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1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2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1" fontId="1" fillId="0" borderId="1" applyAlignment="1" pivotButton="0" quotePrefix="0" xfId="0">
      <alignment horizontal="center" vertical="top" wrapText="1"/>
    </xf>
    <xf numFmtId="0" fontId="23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top" wrapText="1"/>
    </xf>
    <xf numFmtId="0" fontId="24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top"/>
    </xf>
    <xf numFmtId="168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2" fillId="0" borderId="1" applyAlignment="1" pivotButton="0" quotePrefix="0" xfId="0">
      <alignment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2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0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198" min="1" max="2"/>
    <col width="51.6640625" customWidth="1" style="198" min="3" max="3"/>
    <col width="47" customWidth="1" style="198" min="4" max="4"/>
    <col width="37.44140625" customWidth="1" style="198" min="5" max="5"/>
    <col width="9.109375" customWidth="1" style="198" min="6" max="6"/>
  </cols>
  <sheetData>
    <row r="3">
      <c r="B3" s="219" t="inlineStr">
        <is>
          <t>Приложение № 1</t>
        </is>
      </c>
    </row>
    <row r="4">
      <c r="B4" s="220" t="inlineStr">
        <is>
          <t>Сравнительная таблица отбора объекта-представителя</t>
        </is>
      </c>
    </row>
    <row r="5" ht="84" customHeight="1" s="199">
      <c r="B5" s="22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9">
      <c r="B6" s="180" t="n"/>
      <c r="C6" s="180" t="n"/>
      <c r="D6" s="180" t="n"/>
    </row>
    <row r="7" ht="64.5" customHeight="1" s="199">
      <c r="B7" s="221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110(150) кВ.</t>
        </is>
      </c>
    </row>
    <row r="8" ht="31.5" customHeight="1" s="199">
      <c r="B8" s="221" t="inlineStr">
        <is>
          <t>Сопоставимый уровень цен: 3 кв. 2016 г</t>
        </is>
      </c>
    </row>
    <row r="9" ht="15.75" customHeight="1" s="199">
      <c r="B9" s="221" t="inlineStr">
        <is>
          <t>Единица измерения  — 1 тн опор</t>
        </is>
      </c>
    </row>
    <row r="10">
      <c r="B10" s="221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163" t="n"/>
    </row>
    <row r="12" ht="27.6" customHeight="1" s="199">
      <c r="B12" s="228" t="n">
        <v>1</v>
      </c>
      <c r="C12" s="127" t="inlineStr">
        <is>
          <t>Наименование объекта-представителя</t>
        </is>
      </c>
      <c r="D12" s="193" t="inlineStr">
        <is>
          <t>ВЛ 110 кВ ПС О-10 "Зеленоградск" - ПС О-62 "Пионерская" (Л-159)</t>
        </is>
      </c>
    </row>
    <row r="13">
      <c r="B13" s="228" t="n">
        <v>2</v>
      </c>
      <c r="C13" s="127" t="inlineStr">
        <is>
          <t>Наименование субъекта Российской Федерации</t>
        </is>
      </c>
      <c r="D13" s="193" t="inlineStr">
        <is>
          <t>Калининградскач область</t>
        </is>
      </c>
    </row>
    <row r="14">
      <c r="B14" s="228" t="n">
        <v>3</v>
      </c>
      <c r="C14" s="127" t="inlineStr">
        <is>
          <t>Климатический район и подрайон</t>
        </is>
      </c>
      <c r="D14" s="81" t="inlineStr">
        <is>
          <t>IIВ</t>
        </is>
      </c>
    </row>
    <row r="15">
      <c r="B15" s="228" t="n">
        <v>4</v>
      </c>
      <c r="C15" s="127" t="inlineStr">
        <is>
          <t>Мощность объекта</t>
        </is>
      </c>
      <c r="D15" s="193" t="n">
        <v>710.234</v>
      </c>
    </row>
    <row r="16" ht="82.8" customHeight="1" s="199">
      <c r="B16" s="22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3" t="inlineStr">
        <is>
          <t xml:space="preserve">Свая-оболочка для многогранных опор - 22,3 тонн/км
Грибовидные железобетонные фундаменты для решётчатых опор - 7,9 м3/км
</t>
        </is>
      </c>
    </row>
    <row r="17" ht="79.5" customHeight="1" s="199">
      <c r="B17" s="22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SUM(D18:D21)</f>
        <v/>
      </c>
      <c r="E17" s="179" t="n"/>
    </row>
    <row r="18">
      <c r="B18" s="162" t="inlineStr">
        <is>
          <t>6.1</t>
        </is>
      </c>
      <c r="C18" s="127" t="inlineStr">
        <is>
          <t>строительно-монтажные работы</t>
        </is>
      </c>
      <c r="D18" s="172">
        <f>'Прил.2 Расч стоим'!F14</f>
        <v/>
      </c>
    </row>
    <row r="19" ht="15.75" customHeight="1" s="199">
      <c r="B19" s="162" t="inlineStr">
        <is>
          <t>6.2</t>
        </is>
      </c>
      <c r="C19" s="127" t="inlineStr">
        <is>
          <t>оборудование и инвентарь</t>
        </is>
      </c>
      <c r="D19" s="172" t="n"/>
    </row>
    <row r="20" ht="16.5" customHeight="1" s="199">
      <c r="B20" s="162" t="inlineStr">
        <is>
          <t>6.3</t>
        </is>
      </c>
      <c r="C20" s="127" t="inlineStr">
        <is>
          <t>пусконаладочные работы</t>
        </is>
      </c>
      <c r="D20" s="172" t="n"/>
    </row>
    <row r="21">
      <c r="B21" s="162" t="inlineStr">
        <is>
          <t>6.4</t>
        </is>
      </c>
      <c r="C21" s="161" t="inlineStr">
        <is>
          <t>прочие и лимитированные затраты</t>
        </is>
      </c>
      <c r="D21" s="172" t="n"/>
    </row>
    <row r="22">
      <c r="B22" s="228" t="n">
        <v>7</v>
      </c>
      <c r="C22" s="161" t="inlineStr">
        <is>
          <t>Сопоставимый уровень цен</t>
        </is>
      </c>
      <c r="D22" s="191" t="inlineStr">
        <is>
          <t>3 кв. 2016 г</t>
        </is>
      </c>
      <c r="E22" s="159" t="n"/>
    </row>
    <row r="23" ht="78" customHeight="1" s="199">
      <c r="B23" s="228" t="n">
        <v>8</v>
      </c>
      <c r="C23" s="16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79" t="n"/>
    </row>
    <row r="24" ht="60.75" customHeight="1" s="199">
      <c r="B24" s="22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59" t="n"/>
    </row>
    <row r="25">
      <c r="B25" s="228" t="n">
        <v>10</v>
      </c>
      <c r="C25" s="127" t="inlineStr">
        <is>
          <t>Примечание</t>
        </is>
      </c>
      <c r="D25" s="228" t="n"/>
    </row>
    <row r="26">
      <c r="B26" s="158" t="n"/>
      <c r="C26" s="157" t="n"/>
      <c r="D26" s="157" t="n"/>
    </row>
    <row r="27" ht="37.5" customHeight="1" s="199">
      <c r="B27" s="156" t="n"/>
    </row>
    <row r="28">
      <c r="B28" s="198" t="inlineStr">
        <is>
          <t>Составил ______________________    Е. М. Добровольская</t>
        </is>
      </c>
    </row>
    <row r="29">
      <c r="B29" s="156" t="inlineStr">
        <is>
          <t xml:space="preserve">                         (подпись, инициалы, фамилия)</t>
        </is>
      </c>
    </row>
    <row r="31">
      <c r="B31" s="198" t="inlineStr">
        <is>
          <t>Проверил ______________________        А.В. Костянецкая</t>
        </is>
      </c>
    </row>
    <row r="32">
      <c r="B32" s="15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198" min="1" max="1"/>
    <col width="9.109375" customWidth="1" style="198" min="2" max="2"/>
    <col width="35.33203125" customWidth="1" style="198" min="3" max="3"/>
    <col width="13.88671875" customWidth="1" style="198" min="4" max="4"/>
    <col width="24.88671875" customWidth="1" style="198" min="5" max="5"/>
    <col width="15.5546875" customWidth="1" style="198" min="6" max="6"/>
    <col width="14.88671875" customWidth="1" style="198" min="7" max="7"/>
    <col width="16.6640625" customWidth="1" style="198" min="8" max="8"/>
    <col width="13" customWidth="1" style="198" min="9" max="10"/>
    <col width="18" customWidth="1" style="198" min="11" max="11"/>
    <col width="9.109375" customWidth="1" style="198" min="12" max="12"/>
  </cols>
  <sheetData>
    <row r="3">
      <c r="B3" s="219" t="inlineStr">
        <is>
          <t>Приложение № 2</t>
        </is>
      </c>
      <c r="K3" s="156" t="n"/>
    </row>
    <row r="4">
      <c r="B4" s="220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199">
      <c r="B6" s="230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110(150) кВ.</t>
        </is>
      </c>
      <c r="K6" s="156" t="n"/>
    </row>
    <row r="7" ht="15.75" customHeight="1" s="199">
      <c r="B7" s="231" t="inlineStr">
        <is>
          <t>Единица измерения  —  1 тн опор</t>
        </is>
      </c>
      <c r="K7" s="156" t="n"/>
    </row>
    <row r="8" ht="18.75" customHeight="1" s="199">
      <c r="B8" s="133" t="n"/>
    </row>
    <row r="9" ht="15.75" customHeight="1" s="199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317" t="n"/>
      <c r="F9" s="317" t="n"/>
      <c r="G9" s="317" t="n"/>
      <c r="H9" s="317" t="n"/>
      <c r="I9" s="317" t="n"/>
      <c r="J9" s="318" t="n"/>
    </row>
    <row r="10" ht="15.75" customHeight="1" s="199">
      <c r="B10" s="319" t="n"/>
      <c r="C10" s="319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3 кв. 2016 г., тыс. руб.</t>
        </is>
      </c>
      <c r="G10" s="317" t="n"/>
      <c r="H10" s="317" t="n"/>
      <c r="I10" s="317" t="n"/>
      <c r="J10" s="318" t="n"/>
    </row>
    <row r="11" ht="31.5" customHeight="1" s="199">
      <c r="B11" s="320" t="n"/>
      <c r="C11" s="320" t="n"/>
      <c r="D11" s="320" t="n"/>
      <c r="E11" s="320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15" customHeight="1" s="199">
      <c r="B12" s="209" t="n"/>
      <c r="C12" s="209" t="n"/>
      <c r="D12" s="209" t="n"/>
      <c r="E12" s="209" t="n"/>
      <c r="F12" s="321" t="n">
        <v>127949.82122446</v>
      </c>
      <c r="G12" s="318" t="n"/>
      <c r="H12" s="209" t="n"/>
      <c r="I12" s="209" t="n"/>
      <c r="J12" s="209">
        <f>SUM(F12:I12)</f>
        <v/>
      </c>
    </row>
    <row r="13" ht="15.75" customHeight="1" s="199">
      <c r="B13" s="226" t="inlineStr">
        <is>
          <t>Всего по объекту:</t>
        </is>
      </c>
      <c r="C13" s="322" t="n"/>
      <c r="D13" s="322" t="n"/>
      <c r="E13" s="323" t="n"/>
      <c r="F13" s="210" t="n"/>
      <c r="G13" s="210" t="n"/>
      <c r="H13" s="210" t="n"/>
      <c r="I13" s="210" t="n"/>
      <c r="J13" s="209" t="n"/>
    </row>
    <row r="14" ht="15.75" customHeight="1" s="199">
      <c r="B14" s="227" t="inlineStr">
        <is>
          <t>Всего по объекту в сопоставимом уровне цен 3 кв. 2016 г:</t>
        </is>
      </c>
      <c r="C14" s="317" t="n"/>
      <c r="D14" s="317" t="n"/>
      <c r="E14" s="318" t="n"/>
      <c r="F14" s="324">
        <f>F12</f>
        <v/>
      </c>
      <c r="G14" s="318" t="n"/>
      <c r="H14" s="211" t="n"/>
      <c r="I14" s="211" t="n"/>
      <c r="J14" s="211">
        <f>SUM(F14:I14)</f>
        <v/>
      </c>
    </row>
    <row r="15" ht="15" customHeight="1" s="199"/>
    <row r="16" ht="15" customHeight="1" s="199"/>
    <row r="17" ht="15" customHeight="1" s="199"/>
    <row r="18" ht="15" customHeight="1" s="199">
      <c r="C18" s="205" t="inlineStr">
        <is>
          <t>Составил ______________________     Е. М. Добровольская</t>
        </is>
      </c>
      <c r="D18" s="206" t="n"/>
      <c r="E18" s="206" t="n"/>
    </row>
    <row r="19" ht="15" customHeight="1" s="199">
      <c r="C19" s="208" t="inlineStr">
        <is>
          <t xml:space="preserve">                         (подпись, инициалы, фамилия)</t>
        </is>
      </c>
      <c r="D19" s="206" t="n"/>
      <c r="E19" s="206" t="n"/>
    </row>
    <row r="20" ht="15" customHeight="1" s="199">
      <c r="C20" s="205" t="n"/>
      <c r="D20" s="206" t="n"/>
      <c r="E20" s="206" t="n"/>
    </row>
    <row r="21" ht="15" customHeight="1" s="199">
      <c r="C21" s="205" t="inlineStr">
        <is>
          <t>Проверил ______________________        А.В. Костянецкая</t>
        </is>
      </c>
      <c r="D21" s="206" t="n"/>
      <c r="E21" s="206" t="n"/>
    </row>
    <row r="22" ht="15" customHeight="1" s="199">
      <c r="C22" s="208" t="inlineStr">
        <is>
          <t xml:space="preserve">                        (подпись, инициалы, фамилия)</t>
        </is>
      </c>
      <c r="D22" s="206" t="n"/>
      <c r="E22" s="206" t="n"/>
    </row>
    <row r="23" ht="15" customHeight="1" s="199"/>
    <row r="24" ht="15" customHeight="1" s="199"/>
    <row r="25" ht="15" customHeight="1" s="199"/>
    <row r="26" ht="15" customHeight="1" s="199"/>
    <row r="27" ht="15" customHeight="1" s="199"/>
    <row r="28" ht="15" customHeight="1" s="199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41"/>
  <sheetViews>
    <sheetView view="pageBreakPreview" topLeftCell="A22" zoomScale="85" workbookViewId="0">
      <selection activeCell="C37" sqref="C37"/>
    </sheetView>
  </sheetViews>
  <sheetFormatPr baseColWidth="8" defaultColWidth="9.109375" defaultRowHeight="15.6"/>
  <cols>
    <col width="9.109375" customWidth="1" style="198" min="1" max="1"/>
    <col width="12.5546875" customWidth="1" style="198" min="2" max="2"/>
    <col width="22.44140625" customWidth="1" style="198" min="3" max="3"/>
    <col width="49.6640625" customWidth="1" style="198" min="4" max="4"/>
    <col width="10.109375" customWidth="1" style="198" min="5" max="5"/>
    <col width="20.6640625" customWidth="1" style="198" min="6" max="6"/>
    <col width="20" customWidth="1" style="198" min="7" max="7"/>
    <col width="17.88671875" customWidth="1" style="198" min="8" max="8"/>
    <col hidden="1" width="9.109375" customWidth="1" style="198" min="9" max="10"/>
    <col hidden="1" width="15" customWidth="1" style="198" min="11" max="11"/>
    <col hidden="1" width="9.109375" customWidth="1" style="198" min="12" max="12"/>
    <col width="9.109375" customWidth="1" style="198" min="13" max="13"/>
  </cols>
  <sheetData>
    <row r="2">
      <c r="A2" s="219" t="inlineStr">
        <is>
          <t xml:space="preserve">Приложение № 3 </t>
        </is>
      </c>
    </row>
    <row r="3">
      <c r="A3" s="220" t="inlineStr">
        <is>
          <t>Объектная ресурсная ведомость</t>
        </is>
      </c>
    </row>
    <row r="4" ht="18.75" customHeight="1" s="199">
      <c r="A4" s="188" t="n"/>
      <c r="B4" s="188" t="n"/>
      <c r="C4" s="24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1" t="n"/>
    </row>
    <row r="6" ht="30" customHeight="1" s="199">
      <c r="A6" s="230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110(150) кВ.</t>
        </is>
      </c>
    </row>
    <row r="7">
      <c r="A7" s="231" t="n"/>
      <c r="B7" s="231" t="n"/>
      <c r="C7" s="231" t="n"/>
      <c r="D7" s="231" t="n"/>
      <c r="E7" s="231" t="n"/>
      <c r="F7" s="231" t="n"/>
      <c r="G7" s="231" t="n"/>
      <c r="H7" s="231" t="n"/>
    </row>
    <row r="8" ht="38.25" customHeight="1" s="199">
      <c r="A8" s="228" t="inlineStr">
        <is>
          <t>п/п</t>
        </is>
      </c>
      <c r="B8" s="228" t="inlineStr">
        <is>
          <t>№ЛСР</t>
        </is>
      </c>
      <c r="C8" s="228" t="inlineStr">
        <is>
          <t>Код ресурса</t>
        </is>
      </c>
      <c r="D8" s="228" t="inlineStr">
        <is>
          <t>Наименование ресурса</t>
        </is>
      </c>
      <c r="E8" s="228" t="inlineStr">
        <is>
          <t>Ед. изм.</t>
        </is>
      </c>
      <c r="F8" s="228" t="inlineStr">
        <is>
          <t>Кол-во единиц по данным объекта-представителя</t>
        </is>
      </c>
      <c r="G8" s="228" t="inlineStr">
        <is>
          <t>Сметная стоимость в ценах на 01.01.2000 (руб.)</t>
        </is>
      </c>
      <c r="H8" s="318" t="n"/>
    </row>
    <row r="9" ht="40.5" customHeight="1" s="199">
      <c r="A9" s="320" t="n"/>
      <c r="B9" s="320" t="n"/>
      <c r="C9" s="320" t="n"/>
      <c r="D9" s="320" t="n"/>
      <c r="E9" s="320" t="n"/>
      <c r="F9" s="320" t="n"/>
      <c r="G9" s="228" t="inlineStr">
        <is>
          <t>на ед.изм.</t>
        </is>
      </c>
      <c r="H9" s="228" t="inlineStr">
        <is>
          <t>общая</t>
        </is>
      </c>
    </row>
    <row r="10">
      <c r="A10" s="229" t="n">
        <v>1</v>
      </c>
      <c r="B10" s="229" t="n"/>
      <c r="C10" s="229" t="n">
        <v>2</v>
      </c>
      <c r="D10" s="229" t="inlineStr">
        <is>
          <t>З</t>
        </is>
      </c>
      <c r="E10" s="229" t="n">
        <v>4</v>
      </c>
      <c r="F10" s="229" t="n">
        <v>5</v>
      </c>
      <c r="G10" s="229" t="n">
        <v>6</v>
      </c>
      <c r="H10" s="229" t="n">
        <v>7</v>
      </c>
    </row>
    <row r="11" customFormat="1" s="200">
      <c r="A11" s="237" t="inlineStr">
        <is>
          <t>Затраты труда рабочих</t>
        </is>
      </c>
      <c r="B11" s="317" t="n"/>
      <c r="C11" s="317" t="n"/>
      <c r="D11" s="317" t="n"/>
      <c r="E11" s="318" t="n"/>
      <c r="F11" s="186">
        <f>SUM(F12:F12)</f>
        <v/>
      </c>
      <c r="G11" s="10" t="n"/>
      <c r="H11" s="186">
        <f>SUM(H12:H12)</f>
        <v/>
      </c>
    </row>
    <row r="12">
      <c r="A12" s="182" t="n">
        <v>1</v>
      </c>
      <c r="B12" s="170" t="n"/>
      <c r="C12" s="182" t="inlineStr">
        <is>
          <t>1-4-1</t>
        </is>
      </c>
      <c r="D12" s="183" t="inlineStr">
        <is>
          <t>Затраты труда рабочих (ср 4,1)</t>
        </is>
      </c>
      <c r="E12" s="271" t="inlineStr">
        <is>
          <t>чел.час</t>
        </is>
      </c>
      <c r="F12" s="195" t="n">
        <v>14059.703893443</v>
      </c>
      <c r="G12" s="185" t="n">
        <v>9.789999999999999</v>
      </c>
      <c r="H12" s="185">
        <f>ROUND(F12*G12,2)</f>
        <v/>
      </c>
      <c r="I12" s="198" t="n">
        <v>4.1</v>
      </c>
      <c r="J12" s="198">
        <f>I12*F12</f>
        <v/>
      </c>
    </row>
    <row r="13">
      <c r="A13" s="236" t="inlineStr">
        <is>
          <t>Затраты труда машинистов</t>
        </is>
      </c>
      <c r="B13" s="317" t="n"/>
      <c r="C13" s="317" t="n"/>
      <c r="D13" s="317" t="n"/>
      <c r="E13" s="318" t="n"/>
      <c r="F13" s="237" t="n"/>
      <c r="G13" s="168" t="n"/>
      <c r="H13" s="197">
        <f>H14</f>
        <v/>
      </c>
    </row>
    <row r="14">
      <c r="A14" s="271" t="n">
        <v>2</v>
      </c>
      <c r="B14" s="238" t="n"/>
      <c r="C14" s="182" t="n">
        <v>2</v>
      </c>
      <c r="D14" s="183" t="inlineStr">
        <is>
          <t>Затраты труда машинистов</t>
        </is>
      </c>
      <c r="E14" s="271" t="inlineStr">
        <is>
          <t>чел.-ч</t>
        </is>
      </c>
      <c r="F14" s="192" t="n">
        <v>5150.91</v>
      </c>
      <c r="G14" s="185" t="n">
        <v>15.3</v>
      </c>
      <c r="H14" s="196">
        <f>F14*G14</f>
        <v/>
      </c>
      <c r="J14" s="198">
        <f>SUM(J12:J12)</f>
        <v/>
      </c>
    </row>
    <row r="15" customFormat="1" s="200">
      <c r="A15" s="237" t="inlineStr">
        <is>
          <t>Машины и механизмы</t>
        </is>
      </c>
      <c r="B15" s="317" t="n"/>
      <c r="C15" s="317" t="n"/>
      <c r="D15" s="317" t="n"/>
      <c r="E15" s="318" t="n"/>
      <c r="F15" s="237" t="n"/>
      <c r="G15" s="168" t="n"/>
      <c r="H15" s="186">
        <f>SUM(H16:H28)</f>
        <v/>
      </c>
    </row>
    <row r="16" ht="25.5" customHeight="1" s="199">
      <c r="A16" s="271" t="n">
        <v>3</v>
      </c>
      <c r="B16" s="238" t="n"/>
      <c r="C16" s="182" t="inlineStr">
        <is>
          <t>91.15.02-029</t>
        </is>
      </c>
      <c r="D16" s="183" t="inlineStr">
        <is>
          <t>Тракторы на гусеничном ходу с лебедкой 132 кВт (180 л.с.)</t>
        </is>
      </c>
      <c r="E16" s="271" t="inlineStr">
        <is>
          <t>маш.час</t>
        </is>
      </c>
      <c r="F16" s="195" t="n">
        <v>1331.0305937896</v>
      </c>
      <c r="G16" s="196" t="n">
        <v>147.43</v>
      </c>
      <c r="H16" s="185">
        <f>ROUND(F16*G16,2)</f>
        <v/>
      </c>
      <c r="I16" s="173">
        <f>H16/$H$15</f>
        <v/>
      </c>
      <c r="J16" s="189">
        <f>J14/F11</f>
        <v/>
      </c>
      <c r="L16" s="173">
        <f>H16/$H$15</f>
        <v/>
      </c>
    </row>
    <row r="17" ht="38.25" customHeight="1" s="199">
      <c r="A17" s="271" t="n">
        <v>4</v>
      </c>
      <c r="B17" s="238" t="n"/>
      <c r="C17" s="182" t="inlineStr">
        <is>
          <t>91.04.01-011</t>
        </is>
      </c>
      <c r="D17" s="183" t="inlineStr">
        <is>
          <t>Буровые установки (включая универсальные комплексы) с крутящим моментом 250-400 кНм, мощность 350-500 кВт</t>
        </is>
      </c>
      <c r="E17" s="271" t="inlineStr">
        <is>
          <t>маш.час</t>
        </is>
      </c>
      <c r="F17" s="195" t="n">
        <v>29.089868677388</v>
      </c>
      <c r="G17" s="196" t="n">
        <v>6656.69</v>
      </c>
      <c r="H17" s="185">
        <f>ROUND(F17*G17,2)</f>
        <v/>
      </c>
      <c r="I17" s="173">
        <f>H17/$H$15</f>
        <v/>
      </c>
      <c r="J17" s="189" t="n"/>
      <c r="L17" s="173" t="n"/>
    </row>
    <row r="18" ht="25.5" customHeight="1" s="199">
      <c r="A18" s="271" t="n">
        <v>5</v>
      </c>
      <c r="B18" s="238" t="n"/>
      <c r="C18" s="182" t="inlineStr">
        <is>
          <t>91.13.03-111</t>
        </is>
      </c>
      <c r="D18" s="183" t="inlineStr">
        <is>
          <t>Спецавтомашины, грузоподъемность до 8 т, вездеходы</t>
        </is>
      </c>
      <c r="E18" s="271" t="inlineStr">
        <is>
          <t>маш.час</t>
        </is>
      </c>
      <c r="F18" s="195" t="n">
        <v>724.33093693346</v>
      </c>
      <c r="G18" s="196" t="n">
        <v>189.95</v>
      </c>
      <c r="H18" s="185">
        <f>ROUND(F18*G18,2)</f>
        <v/>
      </c>
      <c r="I18" s="173">
        <f>H18/$H$15</f>
        <v/>
      </c>
      <c r="J18" s="189" t="n"/>
      <c r="L18" s="173" t="n"/>
    </row>
    <row r="19">
      <c r="A19" s="271" t="n">
        <v>6</v>
      </c>
      <c r="B19" s="238" t="n"/>
      <c r="C19" s="182" t="inlineStr">
        <is>
          <t>91.06.06-014</t>
        </is>
      </c>
      <c r="D19" s="183" t="inlineStr">
        <is>
          <t>Автогидроподъемники высотой подъема: 28 м</t>
        </is>
      </c>
      <c r="E19" s="271" t="inlineStr">
        <is>
          <t>маш.час</t>
        </is>
      </c>
      <c r="F19" s="195" t="n">
        <v>548.06710447969</v>
      </c>
      <c r="G19" s="196" t="n">
        <v>243.49</v>
      </c>
      <c r="H19" s="185">
        <f>ROUND(F19*G19,2)</f>
        <v/>
      </c>
      <c r="I19" s="173">
        <f>H19/$H$15</f>
        <v/>
      </c>
      <c r="J19" s="189" t="n"/>
      <c r="L19" s="173" t="n"/>
    </row>
    <row r="20" ht="25.5" customHeight="1" s="199">
      <c r="A20" s="271" t="n">
        <v>7</v>
      </c>
      <c r="B20" s="238" t="n"/>
      <c r="C20" s="182" t="inlineStr">
        <is>
          <t>91.04.01-077</t>
        </is>
      </c>
      <c r="D20" s="183" t="inlineStr">
        <is>
          <t>Установки и агрегаты буровые на базе автомобилей глубина бурения: до 200 м, грузоподъемность до 4т</t>
        </is>
      </c>
      <c r="E20" s="271" t="inlineStr">
        <is>
          <t>маш.час</t>
        </is>
      </c>
      <c r="F20" s="195" t="n">
        <v>594.7858811231901</v>
      </c>
      <c r="G20" s="196" t="n">
        <v>219.82</v>
      </c>
      <c r="H20" s="185">
        <f>ROUND(F20*G20,2)</f>
        <v/>
      </c>
      <c r="I20" s="173">
        <f>H20/$H$15</f>
        <v/>
      </c>
      <c r="J20" s="189" t="n"/>
      <c r="L20" s="173" t="n"/>
    </row>
    <row r="21" ht="38.25" customHeight="1" s="199">
      <c r="A21" s="271" t="n">
        <v>8</v>
      </c>
      <c r="B21" s="238" t="n"/>
      <c r="C21" s="182" t="inlineStr">
        <is>
          <t>ФССЦпг-04-01-01-004</t>
        </is>
      </c>
      <c r="D21" s="183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E21" s="271" t="inlineStr">
        <is>
          <t>1 т груза</t>
        </is>
      </c>
      <c r="F21" s="195" t="n">
        <v>2294.2284294291</v>
      </c>
      <c r="G21" s="196" t="n">
        <v>29.93</v>
      </c>
      <c r="H21" s="185">
        <f>ROUND(F21*G21,2)</f>
        <v/>
      </c>
      <c r="I21" s="173">
        <f>H21/$H$15</f>
        <v/>
      </c>
      <c r="J21" s="189" t="n"/>
      <c r="L21" s="173" t="n"/>
    </row>
    <row r="22" ht="25.5" customHeight="1" s="199">
      <c r="A22" s="271" t="n">
        <v>9</v>
      </c>
      <c r="B22" s="238" t="n"/>
      <c r="C22" s="182" t="inlineStr">
        <is>
          <t>91.05.14-024</t>
        </is>
      </c>
      <c r="D22" s="183" t="inlineStr">
        <is>
          <t>Краны на тракторе, мощность 121 кВт (165 л.с.), грузоподъемность 10 т (прицепные)</t>
        </is>
      </c>
      <c r="E22" s="271" t="inlineStr">
        <is>
          <t>маш.час</t>
        </is>
      </c>
      <c r="F22" s="195" t="n">
        <v>886.10396215502</v>
      </c>
      <c r="G22" s="196" t="n">
        <v>69.84</v>
      </c>
      <c r="H22" s="185">
        <f>ROUND(F22*G22,2)</f>
        <v/>
      </c>
      <c r="I22" s="173">
        <f>H22/$H$15</f>
        <v/>
      </c>
      <c r="J22" s="189" t="n"/>
      <c r="L22" s="173" t="n"/>
    </row>
    <row r="23" ht="25.5" customHeight="1" s="199">
      <c r="A23" s="271" t="n">
        <v>10</v>
      </c>
      <c r="B23" s="238" t="n"/>
      <c r="C23" s="182" t="inlineStr">
        <is>
          <t>91.05.05-016</t>
        </is>
      </c>
      <c r="D23" s="183" t="inlineStr">
        <is>
          <t>Краны на автомобильном ходу, грузоподъемность 25 т</t>
        </is>
      </c>
      <c r="E23" s="271" t="inlineStr">
        <is>
          <t>маш.час</t>
        </is>
      </c>
      <c r="F23" s="195" t="n">
        <v>113.37848789212</v>
      </c>
      <c r="G23" s="196" t="n">
        <v>476.43</v>
      </c>
      <c r="H23" s="185">
        <f>ROUND(F23*G23,2)</f>
        <v/>
      </c>
      <c r="I23" s="173">
        <f>H23/$H$15</f>
        <v/>
      </c>
      <c r="J23" s="189" t="n"/>
      <c r="L23" s="173" t="n"/>
    </row>
    <row r="24" ht="25.5" customHeight="1" s="199">
      <c r="A24" s="271" t="n">
        <v>11</v>
      </c>
      <c r="B24" s="238" t="n"/>
      <c r="C24" s="182" t="inlineStr">
        <is>
          <t>91.11.02-021</t>
        </is>
      </c>
      <c r="D24" s="183" t="inlineStr">
        <is>
          <t>Комплекс для монтажа проводов методом "под тяжением"</t>
        </is>
      </c>
      <c r="E24" s="271" t="inlineStr">
        <is>
          <t>маш.час</t>
        </is>
      </c>
      <c r="F24" s="195" t="n">
        <v>74.634377725551</v>
      </c>
      <c r="G24" s="196" t="n">
        <v>637.76</v>
      </c>
      <c r="H24" s="185">
        <f>ROUND(F24*G24,2)</f>
        <v/>
      </c>
      <c r="I24" s="173">
        <f>H24/$H$15</f>
        <v/>
      </c>
      <c r="J24" s="189" t="n"/>
      <c r="L24" s="173" t="n"/>
    </row>
    <row r="25" ht="38.25" customHeight="1" s="199">
      <c r="A25" s="271" t="n">
        <v>12</v>
      </c>
      <c r="B25" s="238" t="n"/>
      <c r="C25" s="182" t="inlineStr">
        <is>
          <t>ФССЦпг-03-21-01-081</t>
        </is>
      </c>
      <c r="D25" s="183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E25" s="271" t="inlineStr">
        <is>
          <t>1 т груза</t>
        </is>
      </c>
      <c r="F25" s="195" t="n">
        <v>1182.2570105455</v>
      </c>
      <c r="G25" s="196" t="n">
        <v>39.36</v>
      </c>
      <c r="H25" s="185">
        <f>ROUND(F25*G25,2)</f>
        <v/>
      </c>
      <c r="I25" s="173">
        <f>H25/$H$15</f>
        <v/>
      </c>
      <c r="J25" s="189" t="n"/>
      <c r="L25" s="173" t="n"/>
    </row>
    <row r="26" ht="38.25" customHeight="1" s="199">
      <c r="A26" s="271" t="n">
        <v>13</v>
      </c>
      <c r="B26" s="238" t="n"/>
      <c r="C26" s="182" t="inlineStr">
        <is>
          <t>91.18.01-007</t>
        </is>
      </c>
      <c r="D26" s="18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6" s="271" t="inlineStr">
        <is>
          <t>маш.час</t>
        </is>
      </c>
      <c r="F26" s="195" t="n">
        <v>445.38144463671</v>
      </c>
      <c r="G26" s="196" t="n">
        <v>90</v>
      </c>
      <c r="H26" s="185">
        <f>ROUND(F26*G26,2)</f>
        <v/>
      </c>
      <c r="I26" s="173">
        <f>H26/$H$15</f>
        <v/>
      </c>
      <c r="J26" s="189" t="n"/>
      <c r="L26" s="173" t="n"/>
    </row>
    <row r="27" ht="25.5" customHeight="1" s="199">
      <c r="A27" s="271" t="n">
        <v>14</v>
      </c>
      <c r="B27" s="238" t="n"/>
      <c r="C27" s="182" t="inlineStr">
        <is>
          <t>91.02.02-003</t>
        </is>
      </c>
      <c r="D27" s="183" t="inlineStr">
        <is>
          <t>Агрегаты копровые без дизель-молота на базе экскаватора: 1 м3</t>
        </is>
      </c>
      <c r="E27" s="271" t="inlineStr">
        <is>
          <t>маш.час</t>
        </is>
      </c>
      <c r="F27" s="195" t="n">
        <v>173.11846633645</v>
      </c>
      <c r="G27" s="196" t="n">
        <v>200.67</v>
      </c>
      <c r="H27" s="185">
        <f>ROUND(F27*G27,2)</f>
        <v/>
      </c>
      <c r="I27" s="173">
        <f>H27/$H$15</f>
        <v/>
      </c>
      <c r="J27" s="189" t="n"/>
      <c r="L27" s="173" t="n"/>
    </row>
    <row r="28" ht="25.5" customHeight="1" s="199">
      <c r="A28" s="271" t="n">
        <v>15</v>
      </c>
      <c r="B28" s="238" t="n"/>
      <c r="C28" s="182" t="inlineStr">
        <is>
          <t>91.05.05-015</t>
        </is>
      </c>
      <c r="D28" s="183" t="inlineStr">
        <is>
          <t>Краны на автомобильном ходу, грузоподъемность 16 т</t>
        </is>
      </c>
      <c r="E28" s="271" t="inlineStr">
        <is>
          <t>маш.час</t>
        </is>
      </c>
      <c r="F28" s="195" t="n">
        <v>287.05657038653</v>
      </c>
      <c r="G28" s="196" t="n">
        <v>115.4</v>
      </c>
      <c r="H28" s="185">
        <f>ROUND(F28*G28,2)</f>
        <v/>
      </c>
      <c r="I28" s="173">
        <f>H28/$H$15</f>
        <v/>
      </c>
      <c r="J28" s="189" t="n"/>
      <c r="L28" s="173" t="n"/>
    </row>
    <row r="29">
      <c r="A29" s="237" t="inlineStr">
        <is>
          <t>Материалы</t>
        </is>
      </c>
      <c r="B29" s="317" t="n"/>
      <c r="C29" s="317" t="n"/>
      <c r="D29" s="317" t="n"/>
      <c r="E29" s="318" t="n"/>
      <c r="F29" s="237" t="n"/>
      <c r="G29" s="168" t="n"/>
      <c r="H29" s="186">
        <f>SUM(H30:H34)</f>
        <v/>
      </c>
    </row>
    <row r="30">
      <c r="A30" s="187" t="n">
        <v>16</v>
      </c>
      <c r="B30" s="238" t="n"/>
      <c r="C30" s="149" t="inlineStr">
        <is>
          <t>Прайс из СД ОП</t>
        </is>
      </c>
      <c r="D30" s="247" t="inlineStr">
        <is>
          <t>Свая-оболочка для многогранных опор</t>
        </is>
      </c>
      <c r="E30" s="248" t="inlineStr">
        <is>
          <t>1 т</t>
        </is>
      </c>
      <c r="F30" s="140" t="n">
        <v>504.182</v>
      </c>
      <c r="G30" s="185" t="n">
        <v>23728.72</v>
      </c>
      <c r="H30" s="185">
        <f>ROUND(F30*G30,2)</f>
        <v/>
      </c>
      <c r="I30" s="190">
        <f>H30/$H$29</f>
        <v/>
      </c>
    </row>
    <row r="31">
      <c r="A31" s="187" t="n">
        <v>17</v>
      </c>
      <c r="B31" s="238" t="n"/>
      <c r="C31" s="149" t="inlineStr">
        <is>
          <t>22.2.01.03-0003</t>
        </is>
      </c>
      <c r="D31" s="247" t="inlineStr">
        <is>
          <t>Изоляторы линейные подвесные стеклянные ПС-70Е</t>
        </is>
      </c>
      <c r="E31" s="248" t="inlineStr">
        <is>
          <t>шт</t>
        </is>
      </c>
      <c r="F31" s="140" t="n">
        <v>4357</v>
      </c>
      <c r="G31" s="185" t="n">
        <v>169.25</v>
      </c>
      <c r="H31" s="185">
        <f>ROUND(F31*G31,2)</f>
        <v/>
      </c>
      <c r="I31" s="190">
        <f>H31/$H$29</f>
        <v/>
      </c>
    </row>
    <row r="32">
      <c r="A32" s="187" t="n">
        <v>18</v>
      </c>
      <c r="B32" s="238" t="n"/>
      <c r="C32" s="149" t="inlineStr">
        <is>
          <t>22.2.01.03-0001</t>
        </is>
      </c>
      <c r="D32" s="247" t="inlineStr">
        <is>
          <t>Изоляторы линейные подвесные стеклянные ПС-120Б</t>
        </is>
      </c>
      <c r="E32" s="248" t="inlineStr">
        <is>
          <t>шт</t>
        </is>
      </c>
      <c r="F32" s="140" t="n">
        <v>2438</v>
      </c>
      <c r="G32" s="185" t="n">
        <v>202.55</v>
      </c>
      <c r="H32" s="185">
        <f>ROUND(F32*G32,2)</f>
        <v/>
      </c>
      <c r="I32" s="190" t="n"/>
    </row>
    <row r="33" ht="25.5" customHeight="1" s="199">
      <c r="A33" s="187" t="n">
        <v>19</v>
      </c>
      <c r="B33" s="238" t="n"/>
      <c r="C33" s="149" t="inlineStr">
        <is>
          <t>22.2.01.03-0002</t>
        </is>
      </c>
      <c r="D33" s="247" t="inlineStr">
        <is>
          <t>Изолятор подвесной стеклянный ПСВ-160А (Прим. Изолятор ПС210В)</t>
        </is>
      </c>
      <c r="E33" s="248" t="inlineStr">
        <is>
          <t>шт</t>
        </is>
      </c>
      <c r="F33" s="140" t="n">
        <v>1129</v>
      </c>
      <c r="G33" s="185" t="n">
        <v>284.68</v>
      </c>
      <c r="H33" s="185">
        <f>ROUND(F33*G33,2)</f>
        <v/>
      </c>
      <c r="I33" s="190" t="n"/>
    </row>
    <row r="34">
      <c r="A34" s="187" t="n">
        <v>20</v>
      </c>
      <c r="B34" s="238" t="n"/>
      <c r="C34" s="149" t="inlineStr">
        <is>
          <t>Прайс из СД ОП</t>
        </is>
      </c>
      <c r="D34" s="247" t="inlineStr">
        <is>
          <t>Сборные желебетонные подножки</t>
        </is>
      </c>
      <c r="E34" s="248" t="inlineStr">
        <is>
          <t>м3</t>
        </is>
      </c>
      <c r="F34" s="140" t="n">
        <v>178.382</v>
      </c>
      <c r="G34" s="250" t="n">
        <v>1597.37</v>
      </c>
      <c r="H34" s="185">
        <f>ROUND(F34*G34,2)</f>
        <v/>
      </c>
      <c r="I34" s="190">
        <f>H34/$H$29</f>
        <v/>
      </c>
    </row>
    <row r="37">
      <c r="B37" s="198" t="inlineStr">
        <is>
          <t>Составил ______________________     Е. М. Добровольская</t>
        </is>
      </c>
    </row>
    <row r="38">
      <c r="B38" s="156" t="inlineStr">
        <is>
          <t xml:space="preserve">                         (подпись, инициалы, фамилия)</t>
        </is>
      </c>
    </row>
    <row r="40">
      <c r="B40" s="198" t="inlineStr">
        <is>
          <t>Проверил ______________________        А.В. Костянецкая</t>
        </is>
      </c>
    </row>
    <row r="41">
      <c r="B41" s="156" t="inlineStr">
        <is>
          <t xml:space="preserve">                        (подпись, инициалы, фамилия)</t>
        </is>
      </c>
    </row>
  </sheetData>
  <mergeCells count="15">
    <mergeCell ref="A3:H3"/>
    <mergeCell ref="A29:E29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4.4"/>
  <cols>
    <col width="4.109375" customWidth="1" style="199" min="1" max="1"/>
    <col width="36.33203125" customWidth="1" style="199" min="2" max="2"/>
    <col width="18.88671875" customWidth="1" style="199" min="3" max="3"/>
    <col width="18.33203125" customWidth="1" style="199" min="4" max="4"/>
    <col width="18.88671875" customWidth="1" style="199" min="5" max="5"/>
    <col width="9.109375" customWidth="1" style="199" min="6" max="6"/>
    <col width="13.44140625" customWidth="1" style="199" min="7" max="7"/>
    <col width="9.109375" customWidth="1" style="199" min="8" max="11"/>
    <col width="13.5546875" customWidth="1" style="199" min="12" max="12"/>
    <col width="9.109375" customWidth="1" style="199" min="13" max="13"/>
  </cols>
  <sheetData>
    <row r="1">
      <c r="B1" s="205" t="n"/>
      <c r="C1" s="205" t="n"/>
      <c r="D1" s="205" t="n"/>
      <c r="E1" s="205" t="n"/>
    </row>
    <row r="2">
      <c r="B2" s="205" t="n"/>
      <c r="C2" s="205" t="n"/>
      <c r="D2" s="205" t="n"/>
      <c r="E2" s="266" t="inlineStr">
        <is>
          <t>Приложение № 4</t>
        </is>
      </c>
    </row>
    <row r="3">
      <c r="B3" s="205" t="n"/>
      <c r="C3" s="205" t="n"/>
      <c r="D3" s="205" t="n"/>
      <c r="E3" s="205" t="n"/>
    </row>
    <row r="4">
      <c r="B4" s="205" t="n"/>
      <c r="C4" s="205" t="n"/>
      <c r="D4" s="205" t="n"/>
      <c r="E4" s="205" t="n"/>
    </row>
    <row r="5">
      <c r="B5" s="212" t="inlineStr">
        <is>
          <t>Ресурсная модель</t>
        </is>
      </c>
    </row>
    <row r="6">
      <c r="B6" s="178" t="n"/>
      <c r="C6" s="205" t="n"/>
      <c r="D6" s="205" t="n"/>
      <c r="E6" s="205" t="n"/>
    </row>
    <row r="7" ht="25.5" customHeight="1" s="199">
      <c r="B7" s="225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110(150) кВ.</t>
        </is>
      </c>
    </row>
    <row r="8">
      <c r="B8" s="241" t="inlineStr">
        <is>
          <t>Единица измерения  —  1 тн опор</t>
        </is>
      </c>
    </row>
    <row r="9">
      <c r="B9" s="178" t="n"/>
      <c r="C9" s="205" t="n"/>
      <c r="D9" s="205" t="n"/>
      <c r="E9" s="205" t="n"/>
    </row>
    <row r="10" ht="51" customHeight="1" s="199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7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75">
        <f>'Прил.5 Расчет СМР и ОБ'!J33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75">
        <f>'Прил.5 Расчет СМР и ОБ'!J34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7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7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75">
        <f>'Прил.5 Расчет СМР и ОБ'!J49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75">
        <f>'Прил.5 Расчет СМР и ОБ'!J50</f>
        <v/>
      </c>
      <c r="D17" s="27">
        <f>C17/$C$24</f>
        <v/>
      </c>
      <c r="E17" s="27">
        <f>C17/$C$40</f>
        <v/>
      </c>
      <c r="G17" s="177" t="n"/>
    </row>
    <row r="18">
      <c r="B18" s="25" t="inlineStr">
        <is>
          <t>МАТЕРИАЛЫ, ВСЕГО:</t>
        </is>
      </c>
      <c r="C18" s="17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7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7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ОБ'!D54</f>
        <v/>
      </c>
      <c r="D21" s="27" t="n"/>
      <c r="E21" s="25" t="n"/>
    </row>
    <row r="22">
      <c r="B22" s="25" t="inlineStr">
        <is>
          <t>Накладные расходы, руб.</t>
        </is>
      </c>
      <c r="C22" s="17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ОБ'!D53</f>
        <v/>
      </c>
      <c r="D23" s="27" t="n"/>
      <c r="E23" s="25" t="n"/>
    </row>
    <row r="24">
      <c r="B24" s="25" t="inlineStr">
        <is>
          <t>ВСЕГО СМР с НР и СП</t>
        </is>
      </c>
      <c r="C24" s="175">
        <f>C19+C20+C22</f>
        <v/>
      </c>
      <c r="D24" s="27">
        <f>C24/$C$24</f>
        <v/>
      </c>
      <c r="E24" s="27">
        <f>C24/$C$40</f>
        <v/>
      </c>
    </row>
    <row r="25" ht="25.5" customHeight="1" s="199">
      <c r="B25" s="25" t="inlineStr">
        <is>
          <t>ВСЕГО стоимость оборудования, в том числе</t>
        </is>
      </c>
      <c r="C25" s="175">
        <f>'Прил.5 Расчет СМР и ОБ'!J40</f>
        <v/>
      </c>
      <c r="D25" s="27" t="n"/>
      <c r="E25" s="27">
        <f>C25/$C$40</f>
        <v/>
      </c>
    </row>
    <row r="26" ht="25.5" customHeight="1" s="199">
      <c r="B26" s="25" t="inlineStr">
        <is>
          <t>стоимость оборудования технологического</t>
        </is>
      </c>
      <c r="C26" s="175">
        <f>'Прил.5 Расчет СМР и ОБ'!J41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76" t="n"/>
    </row>
    <row r="28" ht="33" customHeight="1" s="199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199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>
        <f>C29/$C$40</f>
        <v/>
      </c>
    </row>
    <row r="30" ht="38.25" customHeight="1" s="199">
      <c r="B30" s="25" t="inlineStr">
        <is>
          <t>Дополнительные затраты при производстве строительно-монтажных работ в зимнее время - 1%</t>
        </is>
      </c>
      <c r="C30" s="26">
        <f>ROUND((C24+C29)*1%,2)</f>
        <v/>
      </c>
      <c r="D30" s="25" t="n"/>
      <c r="E30" s="27">
        <f>C30/$C$40</f>
        <v/>
      </c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 s="199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199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199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199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199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7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76" t="n"/>
    </row>
    <row r="38" ht="38.25" customHeight="1" s="199">
      <c r="B38" s="25" t="inlineStr">
        <is>
          <t>ИТОГО (СМР+ОБОРУДОВАНИЕ+ПРОЧ. ЗАТР., УЧТЕННЫЕ ПОКАЗАТЕЛЕМ)</t>
        </is>
      </c>
      <c r="C38" s="175">
        <f>C27+C32+C33+C34+C35+C29+C31+C30+C36+C37</f>
        <v/>
      </c>
      <c r="D38" s="25" t="n"/>
      <c r="E38" s="27">
        <f>C38/$C$40</f>
        <v/>
      </c>
    </row>
    <row r="39" ht="13.5" customHeight="1" s="199">
      <c r="B39" s="25" t="inlineStr">
        <is>
          <t>Непредвиденные расходы</t>
        </is>
      </c>
      <c r="C39" s="17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7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75">
        <f>C40/'Прил.5 Расчет СМР и ОБ'!E57</f>
        <v/>
      </c>
      <c r="D41" s="25" t="n"/>
      <c r="E41" s="25" t="n"/>
    </row>
    <row r="42">
      <c r="B42" s="174" t="n"/>
      <c r="C42" s="205" t="n"/>
      <c r="D42" s="205" t="n"/>
      <c r="E42" s="205" t="n"/>
    </row>
    <row r="43">
      <c r="B43" s="174" t="inlineStr">
        <is>
          <t>Составил ____________________________  Е. М. Добровольская</t>
        </is>
      </c>
      <c r="C43" s="205" t="n"/>
      <c r="D43" s="205" t="n"/>
      <c r="E43" s="205" t="n"/>
    </row>
    <row r="44">
      <c r="B44" s="174" t="inlineStr">
        <is>
          <t xml:space="preserve">(должность, подпись, инициалы, фамилия) </t>
        </is>
      </c>
      <c r="C44" s="205" t="n"/>
      <c r="D44" s="205" t="n"/>
      <c r="E44" s="205" t="n"/>
    </row>
    <row r="45">
      <c r="B45" s="174" t="n"/>
      <c r="C45" s="205" t="n"/>
      <c r="D45" s="205" t="n"/>
      <c r="E45" s="205" t="n"/>
    </row>
    <row r="46">
      <c r="B46" s="174" t="inlineStr">
        <is>
          <t>Проверил ____________________________ А.В. Костянецкая</t>
        </is>
      </c>
      <c r="C46" s="205" t="n"/>
      <c r="D46" s="205" t="n"/>
      <c r="E46" s="205" t="n"/>
    </row>
    <row r="47">
      <c r="B47" s="241" t="inlineStr">
        <is>
          <t>(должность, подпись, инициалы, фамилия)</t>
        </is>
      </c>
      <c r="D47" s="205" t="n"/>
      <c r="E47" s="205" t="n"/>
    </row>
    <row r="49">
      <c r="B49" s="205" t="n"/>
      <c r="C49" s="205" t="n"/>
      <c r="D49" s="205" t="n"/>
      <c r="E49" s="205" t="n"/>
    </row>
    <row r="50">
      <c r="B50" s="205" t="n"/>
      <c r="C50" s="205" t="n"/>
      <c r="D50" s="205" t="n"/>
      <c r="E50" s="2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3"/>
  <sheetViews>
    <sheetView view="pageBreakPreview" topLeftCell="A37" workbookViewId="0">
      <selection activeCell="B59" sqref="B59"/>
    </sheetView>
  </sheetViews>
  <sheetFormatPr baseColWidth="8" defaultColWidth="9.109375" defaultRowHeight="14.4"/>
  <cols>
    <col width="5.6640625" customWidth="1" style="206" min="1" max="1"/>
    <col width="22.5546875" customWidth="1" style="206" min="2" max="2"/>
    <col width="39.109375" customWidth="1" style="206" min="3" max="3"/>
    <col width="10.6640625" customWidth="1" style="206" min="4" max="4"/>
    <col width="12.6640625" customWidth="1" style="206" min="5" max="5"/>
    <col width="14.5546875" customWidth="1" style="206" min="6" max="6"/>
    <col width="14" customWidth="1" style="206" min="7" max="7"/>
    <col width="12.6640625" customWidth="1" style="206" min="8" max="8"/>
    <col width="13.88671875" customWidth="1" style="206" min="9" max="9"/>
    <col width="17.5546875" customWidth="1" style="206" min="10" max="10"/>
    <col width="10.88671875" customWidth="1" style="206" min="11" max="11"/>
    <col width="13.88671875" customWidth="1" style="206" min="12" max="12"/>
  </cols>
  <sheetData>
    <row r="1">
      <c r="M1" s="206" t="n"/>
      <c r="N1" s="206" t="n"/>
    </row>
    <row r="2" ht="15.75" customHeight="1" s="199">
      <c r="H2" s="262" t="inlineStr">
        <is>
          <t>Приложение №5</t>
        </is>
      </c>
      <c r="M2" s="206" t="n"/>
      <c r="N2" s="206" t="n"/>
    </row>
    <row r="3">
      <c r="M3" s="206" t="n"/>
      <c r="N3" s="206" t="n"/>
    </row>
    <row r="4" ht="12.75" customFormat="1" customHeight="1" s="205">
      <c r="A4" s="212" t="inlineStr">
        <is>
          <t>Расчет стоимости СМР и оборудования</t>
        </is>
      </c>
    </row>
    <row r="5" ht="12.75" customFormat="1" customHeight="1" s="205">
      <c r="A5" s="212" t="n"/>
      <c r="B5" s="212" t="n"/>
      <c r="C5" s="274" t="n"/>
      <c r="D5" s="212" t="n"/>
      <c r="E5" s="212" t="n"/>
      <c r="F5" s="212" t="n"/>
      <c r="G5" s="212" t="n"/>
      <c r="H5" s="212" t="n"/>
      <c r="I5" s="212" t="n"/>
      <c r="J5" s="212" t="n"/>
    </row>
    <row r="6" ht="27" customFormat="1" customHeight="1" s="205">
      <c r="A6" s="194" t="inlineStr">
        <is>
          <t>Наименование разрабатываемого показателя УНЦ</t>
        </is>
      </c>
      <c r="B6" s="150" t="n"/>
      <c r="C6" s="150" t="n"/>
      <c r="D6" s="215" t="inlineStr">
        <is>
          <t>Строительно-монтажные работы ВЛ 0,4-750 кВ без опор и провода. Одноцепная, многогранные опоры 110(150) кВ.</t>
        </is>
      </c>
    </row>
    <row r="7" ht="12.75" customFormat="1" customHeight="1" s="205">
      <c r="A7" s="215" t="inlineStr">
        <is>
          <t>Единица измерения  —  1 тн опор</t>
        </is>
      </c>
      <c r="I7" s="225" t="n"/>
      <c r="J7" s="225" t="n"/>
    </row>
    <row r="8" ht="13.5" customFormat="1" customHeight="1" s="205">
      <c r="A8" s="215" t="n"/>
    </row>
    <row r="9" ht="13.2" customFormat="1" customHeight="1" s="205"/>
    <row r="10" ht="27" customHeight="1" s="199">
      <c r="A10" s="248" t="inlineStr">
        <is>
          <t>№ пп.</t>
        </is>
      </c>
      <c r="B10" s="248" t="inlineStr">
        <is>
          <t>Код ресурса</t>
        </is>
      </c>
      <c r="C10" s="248" t="inlineStr">
        <is>
          <t>Наименование</t>
        </is>
      </c>
      <c r="D10" s="248" t="inlineStr">
        <is>
          <t>Ед. изм.</t>
        </is>
      </c>
      <c r="E10" s="248" t="inlineStr">
        <is>
          <t>Кол-во единиц по проектным данным</t>
        </is>
      </c>
      <c r="F10" s="248" t="inlineStr">
        <is>
          <t>Сметная стоимость в ценах на 01.01.2000 (руб.)</t>
        </is>
      </c>
      <c r="G10" s="318" t="n"/>
      <c r="H10" s="248" t="inlineStr">
        <is>
          <t>Удельный вес, %</t>
        </is>
      </c>
      <c r="I10" s="248" t="inlineStr">
        <is>
          <t>Сметная стоимость в ценах на 01.01.2023 (руб.)</t>
        </is>
      </c>
      <c r="J10" s="318" t="n"/>
      <c r="M10" s="206" t="n"/>
      <c r="N10" s="206" t="n"/>
    </row>
    <row r="11" ht="28.5" customHeight="1" s="199">
      <c r="A11" s="320" t="n"/>
      <c r="B11" s="320" t="n"/>
      <c r="C11" s="320" t="n"/>
      <c r="D11" s="320" t="n"/>
      <c r="E11" s="320" t="n"/>
      <c r="F11" s="248" t="inlineStr">
        <is>
          <t>на ед. изм.</t>
        </is>
      </c>
      <c r="G11" s="248" t="inlineStr">
        <is>
          <t>общая</t>
        </is>
      </c>
      <c r="H11" s="320" t="n"/>
      <c r="I11" s="248" t="inlineStr">
        <is>
          <t>на ед. изм.</t>
        </is>
      </c>
      <c r="J11" s="248" t="inlineStr">
        <is>
          <t>общая</t>
        </is>
      </c>
      <c r="M11" s="206" t="n"/>
      <c r="N11" s="206" t="n"/>
    </row>
    <row r="12">
      <c r="A12" s="248" t="n">
        <v>1</v>
      </c>
      <c r="B12" s="248" t="n">
        <v>2</v>
      </c>
      <c r="C12" s="248" t="n">
        <v>3</v>
      </c>
      <c r="D12" s="248" t="n">
        <v>4</v>
      </c>
      <c r="E12" s="248" t="n">
        <v>5</v>
      </c>
      <c r="F12" s="248" t="n">
        <v>6</v>
      </c>
      <c r="G12" s="248" t="n">
        <v>7</v>
      </c>
      <c r="H12" s="248" t="n">
        <v>8</v>
      </c>
      <c r="I12" s="243" t="n">
        <v>9</v>
      </c>
      <c r="J12" s="243" t="n">
        <v>10</v>
      </c>
      <c r="M12" s="206" t="n"/>
      <c r="N12" s="206" t="n"/>
    </row>
    <row r="13">
      <c r="A13" s="248" t="n"/>
      <c r="B13" s="236" t="inlineStr">
        <is>
          <t>Затраты труда рабочих-строителей</t>
        </is>
      </c>
      <c r="C13" s="317" t="n"/>
      <c r="D13" s="317" t="n"/>
      <c r="E13" s="317" t="n"/>
      <c r="F13" s="317" t="n"/>
      <c r="G13" s="317" t="n"/>
      <c r="H13" s="318" t="n"/>
      <c r="I13" s="139" t="n"/>
      <c r="J13" s="139" t="n"/>
    </row>
    <row r="14" ht="25.5" customHeight="1" s="199">
      <c r="A14" s="248" t="n">
        <v>1</v>
      </c>
      <c r="B14" s="149" t="inlineStr">
        <is>
          <t>1-4-1</t>
        </is>
      </c>
      <c r="C14" s="247" t="inlineStr">
        <is>
          <t>Затраты труда рабочих-строителей среднего разряда (4,1)</t>
        </is>
      </c>
      <c r="D14" s="248" t="inlineStr">
        <is>
          <t>чел.-ч.</t>
        </is>
      </c>
      <c r="E14" s="140">
        <f>G14/F14</f>
        <v/>
      </c>
      <c r="F14" s="32" t="n">
        <v>9.76</v>
      </c>
      <c r="G14" s="32">
        <f>'Прил. 3'!H11</f>
        <v/>
      </c>
      <c r="H14" s="14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6">
      <c r="A15" s="248" t="n"/>
      <c r="B15" s="248" t="n"/>
      <c r="C15" s="236" t="inlineStr">
        <is>
          <t>Итого по разделу "Затраты труда рабочих-строителей"</t>
        </is>
      </c>
      <c r="D15" s="248" t="inlineStr">
        <is>
          <t>чел.-ч.</t>
        </is>
      </c>
      <c r="E15" s="140">
        <f>SUM(E14:E14)</f>
        <v/>
      </c>
      <c r="F15" s="32" t="n"/>
      <c r="G15" s="32">
        <f>SUM(G14:G14)</f>
        <v/>
      </c>
      <c r="H15" s="251" t="n">
        <v>1</v>
      </c>
      <c r="I15" s="139" t="n"/>
      <c r="J15" s="32">
        <f>SUM(J14:J14)</f>
        <v/>
      </c>
    </row>
    <row r="16" ht="14.25" customFormat="1" customHeight="1" s="206">
      <c r="A16" s="248" t="n"/>
      <c r="B16" s="247" t="inlineStr">
        <is>
          <t>Затраты труда машинистов</t>
        </is>
      </c>
      <c r="C16" s="317" t="n"/>
      <c r="D16" s="317" t="n"/>
      <c r="E16" s="317" t="n"/>
      <c r="F16" s="317" t="n"/>
      <c r="G16" s="317" t="n"/>
      <c r="H16" s="318" t="n"/>
      <c r="I16" s="139" t="n"/>
      <c r="J16" s="139" t="n"/>
    </row>
    <row r="17" ht="14.25" customFormat="1" customHeight="1" s="206">
      <c r="A17" s="248" t="n">
        <v>2</v>
      </c>
      <c r="B17" s="248" t="n">
        <v>2</v>
      </c>
      <c r="C17" s="247" t="inlineStr">
        <is>
          <t>Затраты труда машинистов</t>
        </is>
      </c>
      <c r="D17" s="248" t="inlineStr">
        <is>
          <t>чел.-ч.</t>
        </is>
      </c>
      <c r="E17" s="140">
        <f>'Прил. 3'!F14</f>
        <v/>
      </c>
      <c r="F17" s="32">
        <f>G17/E17</f>
        <v/>
      </c>
      <c r="G17" s="32">
        <f>'Прил. 3'!H13</f>
        <v/>
      </c>
      <c r="H17" s="25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6">
      <c r="A18" s="248" t="n"/>
      <c r="B18" s="236" t="inlineStr">
        <is>
          <t>Машины и механизмы</t>
        </is>
      </c>
      <c r="C18" s="317" t="n"/>
      <c r="D18" s="317" t="n"/>
      <c r="E18" s="317" t="n"/>
      <c r="F18" s="317" t="n"/>
      <c r="G18" s="317" t="n"/>
      <c r="H18" s="318" t="n"/>
      <c r="I18" s="139" t="n"/>
      <c r="J18" s="139" t="n"/>
    </row>
    <row r="19" ht="14.25" customFormat="1" customHeight="1" s="206">
      <c r="A19" s="248" t="n"/>
      <c r="B19" s="247" t="inlineStr">
        <is>
          <t>Основные машины и механизмы</t>
        </is>
      </c>
      <c r="C19" s="317" t="n"/>
      <c r="D19" s="317" t="n"/>
      <c r="E19" s="317" t="n"/>
      <c r="F19" s="317" t="n"/>
      <c r="G19" s="317" t="n"/>
      <c r="H19" s="318" t="n"/>
      <c r="I19" s="139" t="n"/>
      <c r="J19" s="139" t="n"/>
    </row>
    <row r="20" ht="25.5" customFormat="1" customHeight="1" s="206">
      <c r="A20" s="248" t="n">
        <v>3</v>
      </c>
      <c r="B20" s="149" t="inlineStr">
        <is>
          <t>91.15.02-029</t>
        </is>
      </c>
      <c r="C20" s="247" t="inlineStr">
        <is>
          <t>Тракторы на гусеничном ходу с лебедкой 132 кВт (180 л.с.)</t>
        </is>
      </c>
      <c r="D20" s="248" t="inlineStr">
        <is>
          <t>маш.час</t>
        </is>
      </c>
      <c r="E20" s="140" t="n">
        <v>1331.0305937896</v>
      </c>
      <c r="F20" s="250" t="n">
        <v>147.43</v>
      </c>
      <c r="G20" s="32">
        <f>ROUND(E20*F20,2)</f>
        <v/>
      </c>
      <c r="H20" s="142">
        <f>G20/$G$35</f>
        <v/>
      </c>
      <c r="I20" s="32">
        <f>ROUND(F20*'Прил. 10'!$D$12,2)</f>
        <v/>
      </c>
      <c r="J20" s="32">
        <f>ROUND(I20*E20,2)</f>
        <v/>
      </c>
    </row>
    <row r="21" ht="51" customFormat="1" customHeight="1" s="206">
      <c r="A21" s="248" t="n">
        <v>4</v>
      </c>
      <c r="B21" s="149" t="inlineStr">
        <is>
          <t>91.04.01-011</t>
        </is>
      </c>
      <c r="C21" s="247" t="inlineStr">
        <is>
          <t>Буровые установки (включая универсальные комплексы) с крутящим моментом 250-400 кНм, мощность 350-500 кВт</t>
        </is>
      </c>
      <c r="D21" s="248" t="inlineStr">
        <is>
          <t>маш.час</t>
        </is>
      </c>
      <c r="E21" s="140" t="n">
        <v>29.089868677388</v>
      </c>
      <c r="F21" s="250" t="n">
        <v>6656.69</v>
      </c>
      <c r="G21" s="32">
        <f>ROUND(E21*F21,2)</f>
        <v/>
      </c>
      <c r="H21" s="142">
        <f>G21/$G$35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206">
      <c r="A22" s="248" t="n">
        <v>5</v>
      </c>
      <c r="B22" s="149" t="inlineStr">
        <is>
          <t>91.13.03-111</t>
        </is>
      </c>
      <c r="C22" s="247" t="inlineStr">
        <is>
          <t>Спецавтомашины, грузоподъемность до 8 т, вездеходы</t>
        </is>
      </c>
      <c r="D22" s="248" t="inlineStr">
        <is>
          <t>маш.час</t>
        </is>
      </c>
      <c r="E22" s="140" t="n">
        <v>724.33093693346</v>
      </c>
      <c r="F22" s="250" t="n">
        <v>189.95</v>
      </c>
      <c r="G22" s="32">
        <f>ROUND(E22*F22,2)</f>
        <v/>
      </c>
      <c r="H22" s="142">
        <f>G22/$G$35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206">
      <c r="A23" s="248" t="n">
        <v>6</v>
      </c>
      <c r="B23" s="149" t="inlineStr">
        <is>
          <t>91.06.06-014</t>
        </is>
      </c>
      <c r="C23" s="247" t="inlineStr">
        <is>
          <t>Автогидроподъемники высотой подъема: 28 м</t>
        </is>
      </c>
      <c r="D23" s="248" t="inlineStr">
        <is>
          <t>маш.час</t>
        </is>
      </c>
      <c r="E23" s="140" t="n">
        <v>548.06710447969</v>
      </c>
      <c r="F23" s="250" t="n">
        <v>243.49</v>
      </c>
      <c r="G23" s="32">
        <f>ROUND(E23*F23,2)</f>
        <v/>
      </c>
      <c r="H23" s="142">
        <f>G23/$G$35</f>
        <v/>
      </c>
      <c r="I23" s="32">
        <f>ROUND(F23*'Прил. 10'!$D$12,2)</f>
        <v/>
      </c>
      <c r="J23" s="32">
        <f>ROUND(I23*E23,2)</f>
        <v/>
      </c>
    </row>
    <row r="24" ht="38.25" customFormat="1" customHeight="1" s="206">
      <c r="A24" s="248" t="n">
        <v>7</v>
      </c>
      <c r="B24" s="149" t="inlineStr">
        <is>
          <t>91.04.01-077</t>
        </is>
      </c>
      <c r="C24" s="247" t="inlineStr">
        <is>
          <t>Установки и агрегаты буровые на базе автомобилей глубина бурения: до 200 м, грузоподъемность до 4т</t>
        </is>
      </c>
      <c r="D24" s="248" t="inlineStr">
        <is>
          <t>маш.час</t>
        </is>
      </c>
      <c r="E24" s="140" t="n">
        <v>594.7858811231901</v>
      </c>
      <c r="F24" s="250" t="n">
        <v>219.82</v>
      </c>
      <c r="G24" s="32">
        <f>ROUND(E24*F24,2)</f>
        <v/>
      </c>
      <c r="H24" s="142">
        <f>G24/$G$35</f>
        <v/>
      </c>
      <c r="I24" s="32">
        <f>ROUND(F24*'Прил. 10'!$D$12,2)</f>
        <v/>
      </c>
      <c r="J24" s="32">
        <f>ROUND(I24*E24,2)</f>
        <v/>
      </c>
    </row>
    <row r="25" ht="51" customFormat="1" customHeight="1" s="206">
      <c r="A25" s="248" t="n">
        <v>8</v>
      </c>
      <c r="B25" s="149" t="inlineStr">
        <is>
          <t>ФССЦпг-04-01-01-004</t>
        </is>
      </c>
      <c r="C25" s="247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D25" s="248" t="inlineStr">
        <is>
          <t>1 т груза</t>
        </is>
      </c>
      <c r="E25" s="140" t="n">
        <v>2294.2284294291</v>
      </c>
      <c r="F25" s="250" t="n">
        <v>29.93</v>
      </c>
      <c r="G25" s="32">
        <f>ROUND(E25*F25,2)</f>
        <v/>
      </c>
      <c r="H25" s="142">
        <f>G25/$G$35</f>
        <v/>
      </c>
      <c r="I25" s="32">
        <f>ROUND(F25*'Прил. 10'!$D$12,2)</f>
        <v/>
      </c>
      <c r="J25" s="32">
        <f>ROUND(I25*E25,2)</f>
        <v/>
      </c>
    </row>
    <row r="26" ht="25.5" customFormat="1" customHeight="1" s="206">
      <c r="A26" s="248" t="n">
        <v>9</v>
      </c>
      <c r="B26" s="149" t="inlineStr">
        <is>
          <t>91.05.14-024</t>
        </is>
      </c>
      <c r="C26" s="247" t="inlineStr">
        <is>
          <t>Краны на тракторе, мощность 121 кВт (165 л.с.), грузоподъемность 10 т (прицепные)</t>
        </is>
      </c>
      <c r="D26" s="248" t="inlineStr">
        <is>
          <t>маш.час</t>
        </is>
      </c>
      <c r="E26" s="140" t="n">
        <v>886.10396215502</v>
      </c>
      <c r="F26" s="250" t="n">
        <v>69.84</v>
      </c>
      <c r="G26" s="32">
        <f>ROUND(E26*F26,2)</f>
        <v/>
      </c>
      <c r="H26" s="142">
        <f>G26/$G$35</f>
        <v/>
      </c>
      <c r="I26" s="32">
        <f>ROUND(F26*'Прил. 10'!$D$12,2)</f>
        <v/>
      </c>
      <c r="J26" s="32">
        <f>ROUND(I26*E26,2)</f>
        <v/>
      </c>
    </row>
    <row r="27" ht="25.5" customFormat="1" customHeight="1" s="206">
      <c r="A27" s="248" t="n">
        <v>10</v>
      </c>
      <c r="B27" s="149" t="inlineStr">
        <is>
          <t>91.05.05-016</t>
        </is>
      </c>
      <c r="C27" s="247" t="inlineStr">
        <is>
          <t>Краны на автомобильном ходу, грузоподъемность 25 т</t>
        </is>
      </c>
      <c r="D27" s="248" t="inlineStr">
        <is>
          <t>маш.час</t>
        </is>
      </c>
      <c r="E27" s="140" t="n">
        <v>113.37848789212</v>
      </c>
      <c r="F27" s="250" t="n">
        <v>476.43</v>
      </c>
      <c r="G27" s="32">
        <f>ROUND(E27*F27,2)</f>
        <v/>
      </c>
      <c r="H27" s="142">
        <f>G27/$G$35</f>
        <v/>
      </c>
      <c r="I27" s="32">
        <f>ROUND(F27*'Прил. 10'!$D$12,2)</f>
        <v/>
      </c>
      <c r="J27" s="32">
        <f>ROUND(I27*E27,2)</f>
        <v/>
      </c>
    </row>
    <row r="28" ht="25.5" customFormat="1" customHeight="1" s="206">
      <c r="A28" s="248" t="n">
        <v>11</v>
      </c>
      <c r="B28" s="149" t="inlineStr">
        <is>
          <t>91.11.02-021</t>
        </is>
      </c>
      <c r="C28" s="247" t="inlineStr">
        <is>
          <t>Комплекс для монтажа проводов методом "под тяжением"</t>
        </is>
      </c>
      <c r="D28" s="248" t="inlineStr">
        <is>
          <t>маш.час</t>
        </is>
      </c>
      <c r="E28" s="140" t="n">
        <v>74.634377725551</v>
      </c>
      <c r="F28" s="250" t="n">
        <v>637.76</v>
      </c>
      <c r="G28" s="32">
        <f>ROUND(E28*F28,2)</f>
        <v/>
      </c>
      <c r="H28" s="142">
        <f>G28/$G$35</f>
        <v/>
      </c>
      <c r="I28" s="32">
        <f>ROUND(F28*'Прил. 10'!$D$12,2)</f>
        <v/>
      </c>
      <c r="J28" s="32">
        <f>ROUND(I28*E28,2)</f>
        <v/>
      </c>
    </row>
    <row r="29" ht="51" customFormat="1" customHeight="1" s="206">
      <c r="A29" s="248" t="n">
        <v>12</v>
      </c>
      <c r="B29" s="149" t="inlineStr">
        <is>
          <t>ФССЦпг-03-21-01-081</t>
        </is>
      </c>
      <c r="C29" s="247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D29" s="248" t="inlineStr">
        <is>
          <t>1 т груза</t>
        </is>
      </c>
      <c r="E29" s="140" t="n">
        <v>1182.2570105455</v>
      </c>
      <c r="F29" s="250" t="n">
        <v>39.36</v>
      </c>
      <c r="G29" s="32">
        <f>ROUND(E29*F29,2)</f>
        <v/>
      </c>
      <c r="H29" s="142">
        <f>G29/$G$35</f>
        <v/>
      </c>
      <c r="I29" s="32">
        <f>ROUND(F29*'Прил. 10'!$D$12,2)</f>
        <v/>
      </c>
      <c r="J29" s="32">
        <f>ROUND(I29*E29,2)</f>
        <v/>
      </c>
    </row>
    <row r="30" ht="51" customFormat="1" customHeight="1" s="206">
      <c r="A30" s="248" t="n">
        <v>13</v>
      </c>
      <c r="B30" s="149" t="inlineStr">
        <is>
          <t>91.18.01-007</t>
        </is>
      </c>
      <c r="C30" s="24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0" s="248" t="inlineStr">
        <is>
          <t>маш.час</t>
        </is>
      </c>
      <c r="E30" s="140" t="n">
        <v>445.38144463671</v>
      </c>
      <c r="F30" s="250" t="n">
        <v>90</v>
      </c>
      <c r="G30" s="32">
        <f>ROUND(E30*F30,2)</f>
        <v/>
      </c>
      <c r="H30" s="142">
        <f>G30/$G$35</f>
        <v/>
      </c>
      <c r="I30" s="32">
        <f>ROUND(F30*'Прил. 10'!$D$12,2)</f>
        <v/>
      </c>
      <c r="J30" s="32">
        <f>ROUND(I30*E30,2)</f>
        <v/>
      </c>
    </row>
    <row r="31" ht="25.5" customFormat="1" customHeight="1" s="206">
      <c r="A31" s="248" t="n">
        <v>14</v>
      </c>
      <c r="B31" s="149" t="inlineStr">
        <is>
          <t>91.02.02-003</t>
        </is>
      </c>
      <c r="C31" s="247" t="inlineStr">
        <is>
          <t>Агрегаты копровые без дизель-молота на базе экскаватора: 1 м3</t>
        </is>
      </c>
      <c r="D31" s="248" t="inlineStr">
        <is>
          <t>маш.час</t>
        </is>
      </c>
      <c r="E31" s="140" t="n">
        <v>173.11846633645</v>
      </c>
      <c r="F31" s="250" t="n">
        <v>200.67</v>
      </c>
      <c r="G31" s="32">
        <f>ROUND(E31*F31,2)</f>
        <v/>
      </c>
      <c r="H31" s="142">
        <f>G31/$G$35</f>
        <v/>
      </c>
      <c r="I31" s="32">
        <f>ROUND(F31*'Прил. 10'!$D$12,2)</f>
        <v/>
      </c>
      <c r="J31" s="32">
        <f>ROUND(I31*E31,2)</f>
        <v/>
      </c>
    </row>
    <row r="32" ht="30" customFormat="1" customHeight="1" s="206">
      <c r="A32" s="248" t="n">
        <v>15</v>
      </c>
      <c r="B32" s="149" t="inlineStr">
        <is>
          <t>91.05.05-015</t>
        </is>
      </c>
      <c r="C32" s="247" t="inlineStr">
        <is>
          <t>Краны на автомобильном ходу, грузоподъемность 16 т</t>
        </is>
      </c>
      <c r="D32" s="248" t="inlineStr">
        <is>
          <t>маш.час</t>
        </is>
      </c>
      <c r="E32" s="140" t="n">
        <v>287.05657038653</v>
      </c>
      <c r="F32" s="250" t="n">
        <v>115.4</v>
      </c>
      <c r="G32" s="32">
        <f>ROUND(E32*F32,2)</f>
        <v/>
      </c>
      <c r="H32" s="142">
        <f>G32/$G$35</f>
        <v/>
      </c>
      <c r="I32" s="32">
        <f>ROUND(F32*'Прил. 10'!$D$12,2)</f>
        <v/>
      </c>
      <c r="J32" s="32">
        <f>ROUND(I32*E32,2)</f>
        <v/>
      </c>
    </row>
    <row r="33" ht="14.25" customFormat="1" customHeight="1" s="206">
      <c r="A33" s="248" t="n"/>
      <c r="B33" s="248" t="n"/>
      <c r="C33" s="247" t="inlineStr">
        <is>
          <t>Итого основные машины и механизмы</t>
        </is>
      </c>
      <c r="D33" s="248" t="n"/>
      <c r="E33" s="140" t="n"/>
      <c r="F33" s="32" t="n"/>
      <c r="G33" s="32">
        <f>SUM(G20:G32)</f>
        <v/>
      </c>
      <c r="H33" s="251">
        <f>G33/G35</f>
        <v/>
      </c>
      <c r="I33" s="141" t="n"/>
      <c r="J33" s="32">
        <f>SUM(J20:J32)</f>
        <v/>
      </c>
    </row>
    <row r="34" ht="14.25" customFormat="1" customHeight="1" s="206">
      <c r="A34" s="248" t="n"/>
      <c r="B34" s="248" t="n"/>
      <c r="C34" s="247" t="inlineStr">
        <is>
          <t>Итого прочие машины и механизмы</t>
        </is>
      </c>
      <c r="D34" s="248" t="n"/>
      <c r="E34" s="249" t="n"/>
      <c r="F34" s="32" t="n"/>
      <c r="G34" s="141" t="n">
        <v>176746.335</v>
      </c>
      <c r="H34" s="142">
        <f>G34/G35</f>
        <v/>
      </c>
      <c r="I34" s="32" t="n"/>
      <c r="J34" s="141" t="n">
        <v>2113885.5945</v>
      </c>
    </row>
    <row r="35" ht="25.5" customFormat="1" customHeight="1" s="206">
      <c r="A35" s="248" t="n"/>
      <c r="B35" s="248" t="n"/>
      <c r="C35" s="236" t="inlineStr">
        <is>
          <t>Итого по разделу «Машины и механизмы»</t>
        </is>
      </c>
      <c r="D35" s="248" t="n"/>
      <c r="E35" s="249" t="n"/>
      <c r="F35" s="32" t="n"/>
      <c r="G35" s="32">
        <f>G34+G33</f>
        <v/>
      </c>
      <c r="H35" s="143" t="n">
        <v>1</v>
      </c>
      <c r="I35" s="144" t="n"/>
      <c r="J35" s="145">
        <f>J34+J33</f>
        <v/>
      </c>
    </row>
    <row r="36" ht="14.25" customFormat="1" customHeight="1" s="206">
      <c r="A36" s="248" t="n"/>
      <c r="B36" s="236" t="inlineStr">
        <is>
          <t>Оборудование</t>
        </is>
      </c>
      <c r="C36" s="317" t="n"/>
      <c r="D36" s="317" t="n"/>
      <c r="E36" s="317" t="n"/>
      <c r="F36" s="317" t="n"/>
      <c r="G36" s="317" t="n"/>
      <c r="H36" s="318" t="n"/>
      <c r="I36" s="139" t="n"/>
      <c r="J36" s="139" t="n"/>
    </row>
    <row r="37">
      <c r="A37" s="248" t="n"/>
      <c r="B37" s="242" t="inlineStr">
        <is>
          <t>Основное оборудование</t>
        </is>
      </c>
      <c r="C37" s="325" t="n"/>
      <c r="D37" s="325" t="n"/>
      <c r="E37" s="325" t="n"/>
      <c r="F37" s="325" t="n"/>
      <c r="G37" s="325" t="n"/>
      <c r="H37" s="326" t="n"/>
      <c r="I37" s="139" t="n"/>
      <c r="J37" s="139" t="n"/>
    </row>
    <row r="38">
      <c r="A38" s="248" t="n"/>
      <c r="B38" s="248" t="n"/>
      <c r="C38" s="247" t="inlineStr">
        <is>
          <t>Итого основное оборудование</t>
        </is>
      </c>
      <c r="D38" s="248" t="n"/>
      <c r="E38" s="140" t="n"/>
      <c r="F38" s="250" t="n"/>
      <c r="G38" s="32" t="n">
        <v>0</v>
      </c>
      <c r="H38" s="251" t="n">
        <v>0</v>
      </c>
      <c r="I38" s="141" t="n"/>
      <c r="J38" s="32" t="n">
        <v>0</v>
      </c>
    </row>
    <row r="39">
      <c r="A39" s="248" t="n"/>
      <c r="B39" s="248" t="n"/>
      <c r="C39" s="247" t="inlineStr">
        <is>
          <t>Итого прочее оборудование</t>
        </is>
      </c>
      <c r="D39" s="248" t="n"/>
      <c r="E39" s="140" t="n"/>
      <c r="F39" s="250" t="n"/>
      <c r="G39" s="32" t="n">
        <v>0</v>
      </c>
      <c r="H39" s="251" t="n">
        <v>0</v>
      </c>
      <c r="I39" s="141" t="n"/>
      <c r="J39" s="32" t="n">
        <v>0</v>
      </c>
    </row>
    <row r="40">
      <c r="A40" s="248" t="n"/>
      <c r="B40" s="248" t="n"/>
      <c r="C40" s="236" t="inlineStr">
        <is>
          <t>Итого по разделу «Оборудование»</t>
        </is>
      </c>
      <c r="D40" s="248" t="n"/>
      <c r="E40" s="249" t="n"/>
      <c r="F40" s="250" t="n"/>
      <c r="G40" s="32">
        <f>G39+G38</f>
        <v/>
      </c>
      <c r="H40" s="251">
        <f>H39+H38</f>
        <v/>
      </c>
      <c r="I40" s="141" t="n"/>
      <c r="J40" s="32">
        <f>J39+J38</f>
        <v/>
      </c>
    </row>
    <row r="41" ht="25.5" customHeight="1" s="199">
      <c r="A41" s="248" t="n"/>
      <c r="B41" s="248" t="n"/>
      <c r="C41" s="247" t="inlineStr">
        <is>
          <t>в том числе технологическое оборудование</t>
        </is>
      </c>
      <c r="D41" s="248" t="n"/>
      <c r="E41" s="146" t="n"/>
      <c r="F41" s="250" t="n"/>
      <c r="G41" s="32">
        <f>G40</f>
        <v/>
      </c>
      <c r="H41" s="251" t="n"/>
      <c r="I41" s="141" t="n"/>
      <c r="J41" s="32">
        <f>J40</f>
        <v/>
      </c>
    </row>
    <row r="42" ht="14.25" customFormat="1" customHeight="1" s="206">
      <c r="A42" s="248" t="n"/>
      <c r="B42" s="236" t="inlineStr">
        <is>
          <t>Материалы</t>
        </is>
      </c>
      <c r="C42" s="317" t="n"/>
      <c r="D42" s="317" t="n"/>
      <c r="E42" s="317" t="n"/>
      <c r="F42" s="317" t="n"/>
      <c r="G42" s="317" t="n"/>
      <c r="H42" s="318" t="n"/>
      <c r="I42" s="139" t="n"/>
      <c r="J42" s="139" t="n"/>
    </row>
    <row r="43" ht="14.25" customFormat="1" customHeight="1" s="206">
      <c r="A43" s="243" t="n"/>
      <c r="B43" s="242" t="inlineStr">
        <is>
          <t>Основные материалы</t>
        </is>
      </c>
      <c r="C43" s="325" t="n"/>
      <c r="D43" s="325" t="n"/>
      <c r="E43" s="325" t="n"/>
      <c r="F43" s="325" t="n"/>
      <c r="G43" s="325" t="n"/>
      <c r="H43" s="326" t="n"/>
      <c r="I43" s="151" t="n"/>
      <c r="J43" s="151" t="n"/>
    </row>
    <row r="44" ht="14.25" customFormat="1" customHeight="1" s="206">
      <c r="A44" s="248" t="n">
        <v>16</v>
      </c>
      <c r="B44" s="149" t="inlineStr">
        <is>
          <t>БЦ.114.11</t>
        </is>
      </c>
      <c r="C44" s="247" t="inlineStr">
        <is>
          <t>Свая-оболочка для многогранных опор</t>
        </is>
      </c>
      <c r="D44" s="248" t="inlineStr">
        <is>
          <t>1 т</t>
        </is>
      </c>
      <c r="E44" s="140" t="n">
        <v>504.182</v>
      </c>
      <c r="F44" s="250">
        <f>ROUND(I44/'Прил. 10'!D13,2)</f>
        <v/>
      </c>
      <c r="G44" s="32">
        <f>ROUND(E44*F44,2)</f>
        <v/>
      </c>
      <c r="H44" s="142">
        <f>G44/$G$51</f>
        <v/>
      </c>
      <c r="I44" s="32" t="n">
        <v>233490.57</v>
      </c>
      <c r="J44" s="32">
        <f>ROUND(I44*E44,2)</f>
        <v/>
      </c>
    </row>
    <row r="45" ht="25.5" customFormat="1" customHeight="1" s="206">
      <c r="A45" s="248" t="n">
        <v>17</v>
      </c>
      <c r="B45" s="149" t="inlineStr">
        <is>
          <t>22.2.01.03-0003</t>
        </is>
      </c>
      <c r="C45" s="247" t="inlineStr">
        <is>
          <t>Изоляторы линейные подвесные стеклянные ПС-70Е</t>
        </is>
      </c>
      <c r="D45" s="248" t="inlineStr">
        <is>
          <t>шт</t>
        </is>
      </c>
      <c r="E45" s="140" t="n">
        <v>4357</v>
      </c>
      <c r="F45" s="250" t="n">
        <v>169.25</v>
      </c>
      <c r="G45" s="32">
        <f>ROUND(E45*F45,2)</f>
        <v/>
      </c>
      <c r="H45" s="142">
        <f>G45/$G$51</f>
        <v/>
      </c>
      <c r="I45" s="32">
        <f>ROUND(F45*'Прил. 10'!$D$13,2)</f>
        <v/>
      </c>
      <c r="J45" s="32">
        <f>ROUND(I45*E45,2)</f>
        <v/>
      </c>
    </row>
    <row r="46" ht="25.5" customFormat="1" customHeight="1" s="206">
      <c r="A46" s="248" t="n">
        <v>18</v>
      </c>
      <c r="B46" s="149" t="inlineStr">
        <is>
          <t>22.2.01.03-0001</t>
        </is>
      </c>
      <c r="C46" s="247" t="inlineStr">
        <is>
          <t>Изоляторы линейные подвесные стеклянные ПС-120Б</t>
        </is>
      </c>
      <c r="D46" s="248" t="inlineStr">
        <is>
          <t>шт</t>
        </is>
      </c>
      <c r="E46" s="140" t="n">
        <v>2438</v>
      </c>
      <c r="F46" s="250" t="n">
        <v>202.55</v>
      </c>
      <c r="G46" s="32">
        <f>ROUND(E46*F46,2)</f>
        <v/>
      </c>
      <c r="H46" s="142">
        <f>G46/$G$51</f>
        <v/>
      </c>
      <c r="I46" s="32">
        <f>ROUND(F46*'Прил. 10'!$D$13,2)</f>
        <v/>
      </c>
      <c r="J46" s="32">
        <f>ROUND(I46*E46,2)</f>
        <v/>
      </c>
    </row>
    <row r="47" ht="25.5" customFormat="1" customHeight="1" s="206">
      <c r="A47" s="248" t="n">
        <v>19</v>
      </c>
      <c r="B47" s="149" t="inlineStr">
        <is>
          <t>22.2.01.03-0002</t>
        </is>
      </c>
      <c r="C47" s="247" t="inlineStr">
        <is>
          <t>Изолятор подвесной стеклянный ПСВ-160А (Прим. Изолятор ПС210В)</t>
        </is>
      </c>
      <c r="D47" s="248" t="inlineStr">
        <is>
          <t>шт</t>
        </is>
      </c>
      <c r="E47" s="140" t="n">
        <v>1129</v>
      </c>
      <c r="F47" s="250" t="n">
        <v>284.68</v>
      </c>
      <c r="G47" s="32">
        <f>ROUND(E47*F47,2)</f>
        <v/>
      </c>
      <c r="H47" s="142">
        <f>G47/$G$51</f>
        <v/>
      </c>
      <c r="I47" s="32">
        <f>ROUND(F47*'Прил. 10'!$D$13,2)</f>
        <v/>
      </c>
      <c r="J47" s="32">
        <f>ROUND(I47*E47,2)</f>
        <v/>
      </c>
    </row>
    <row r="48" ht="14.25" customFormat="1" customHeight="1" s="206">
      <c r="A48" s="248" t="n">
        <v>20</v>
      </c>
      <c r="B48" s="149" t="inlineStr">
        <is>
          <t>БЦ.113.16</t>
        </is>
      </c>
      <c r="C48" s="247" t="inlineStr">
        <is>
          <t>Сборные желебетонные подножки</t>
        </is>
      </c>
      <c r="D48" s="248" t="inlineStr">
        <is>
          <t>м3</t>
        </is>
      </c>
      <c r="E48" s="140" t="n">
        <v>178.382</v>
      </c>
      <c r="F48" s="250" t="n">
        <v>1597.37</v>
      </c>
      <c r="G48" s="32">
        <f>ROUND(E48*F48,2)</f>
        <v/>
      </c>
      <c r="H48" s="142">
        <f>G48/$G$51</f>
        <v/>
      </c>
      <c r="I48" s="32" t="n">
        <v>56226.42</v>
      </c>
      <c r="J48" s="32">
        <f>ROUND(I48*E48,2)</f>
        <v/>
      </c>
    </row>
    <row r="49" ht="14.25" customFormat="1" customHeight="1" s="206">
      <c r="A49" s="265" t="n"/>
      <c r="B49" s="153" t="n"/>
      <c r="C49" s="154" t="inlineStr">
        <is>
          <t>Итого основные материалы</t>
        </is>
      </c>
      <c r="D49" s="265" t="n"/>
      <c r="E49" s="140" t="n"/>
      <c r="F49" s="145" t="n"/>
      <c r="G49" s="145">
        <f>SUM(G44:G48)</f>
        <v/>
      </c>
      <c r="H49" s="142">
        <f>G49/$G$51</f>
        <v/>
      </c>
      <c r="I49" s="32" t="n"/>
      <c r="J49" s="145">
        <f>SUM(J44:J48)</f>
        <v/>
      </c>
    </row>
    <row r="50" ht="14.25" customFormat="1" customHeight="1" s="206">
      <c r="A50" s="248" t="n"/>
      <c r="B50" s="248" t="n"/>
      <c r="C50" s="247" t="inlineStr">
        <is>
          <t>Итого прочие материалы</t>
        </is>
      </c>
      <c r="D50" s="248" t="n"/>
      <c r="E50" s="249" t="n"/>
      <c r="F50" s="250" t="n"/>
      <c r="G50" s="145" t="n">
        <v>1518129.6284</v>
      </c>
      <c r="H50" s="142">
        <f>G50/$G$51</f>
        <v/>
      </c>
      <c r="I50" s="32" t="n"/>
      <c r="J50" s="145" t="n">
        <v>15733247.2616</v>
      </c>
    </row>
    <row r="51" ht="14.25" customFormat="1" customHeight="1" s="206">
      <c r="A51" s="248" t="n"/>
      <c r="B51" s="248" t="n"/>
      <c r="C51" s="236" t="inlineStr">
        <is>
          <t>Итого по разделу «Материалы»</t>
        </is>
      </c>
      <c r="D51" s="248" t="n"/>
      <c r="E51" s="249" t="n"/>
      <c r="F51" s="250" t="n"/>
      <c r="G51" s="32">
        <f>G49+G50</f>
        <v/>
      </c>
      <c r="H51" s="142">
        <f>G51/$G$51</f>
        <v/>
      </c>
      <c r="I51" s="32" t="n"/>
      <c r="J51" s="32">
        <f>J49+J50</f>
        <v/>
      </c>
    </row>
    <row r="52" ht="14.25" customFormat="1" customHeight="1" s="206">
      <c r="A52" s="248" t="n"/>
      <c r="B52" s="248" t="n"/>
      <c r="C52" s="247" t="inlineStr">
        <is>
          <t>ИТОГО ПО РМ</t>
        </is>
      </c>
      <c r="D52" s="248" t="n"/>
      <c r="E52" s="249" t="n"/>
      <c r="F52" s="250" t="n"/>
      <c r="G52" s="32">
        <f>G15+G35+G51</f>
        <v/>
      </c>
      <c r="H52" s="251" t="n"/>
      <c r="I52" s="32" t="n"/>
      <c r="J52" s="32">
        <f>J15+J35+J51</f>
        <v/>
      </c>
    </row>
    <row r="53" ht="14.25" customFormat="1" customHeight="1" s="206">
      <c r="A53" s="248" t="n"/>
      <c r="B53" s="248" t="n"/>
      <c r="C53" s="247" t="inlineStr">
        <is>
          <t>Накладные расходы</t>
        </is>
      </c>
      <c r="D53" s="147" t="n">
        <v>1.02</v>
      </c>
      <c r="E53" s="249" t="n"/>
      <c r="F53" s="250" t="n"/>
      <c r="G53" s="32" t="n">
        <v>219645.93080787</v>
      </c>
      <c r="H53" s="251" t="n"/>
      <c r="I53" s="32" t="n"/>
      <c r="J53" s="32">
        <f>ROUND(D53*(J15+J17),2)</f>
        <v/>
      </c>
    </row>
    <row r="54" ht="14.25" customFormat="1" customHeight="1" s="206">
      <c r="A54" s="248" t="n"/>
      <c r="B54" s="248" t="n"/>
      <c r="C54" s="247" t="inlineStr">
        <is>
          <t>Сметная прибыль</t>
        </is>
      </c>
      <c r="D54" s="147" t="n">
        <v>0.6</v>
      </c>
      <c r="E54" s="249" t="n"/>
      <c r="F54" s="250" t="n"/>
      <c r="G54" s="32" t="n">
        <v>130414.77141717</v>
      </c>
      <c r="H54" s="251" t="n"/>
      <c r="I54" s="32" t="n"/>
      <c r="J54" s="32">
        <f>ROUND(D54*(J15+J17),2)</f>
        <v/>
      </c>
    </row>
    <row r="55" ht="14.25" customFormat="1" customHeight="1" s="206">
      <c r="A55" s="248" t="n"/>
      <c r="B55" s="248" t="n"/>
      <c r="C55" s="247" t="inlineStr">
        <is>
          <t>Итого СМР (с НР и СП)</t>
        </is>
      </c>
      <c r="D55" s="248" t="n"/>
      <c r="E55" s="249" t="n"/>
      <c r="F55" s="250" t="n"/>
      <c r="G55" s="32">
        <f>G15+G35+G51+G53+G54</f>
        <v/>
      </c>
      <c r="H55" s="251" t="n"/>
      <c r="I55" s="32" t="n"/>
      <c r="J55" s="32">
        <f>J15+J35+J51+J53+J54</f>
        <v/>
      </c>
    </row>
    <row r="56" ht="14.25" customFormat="1" customHeight="1" s="206">
      <c r="A56" s="248" t="n"/>
      <c r="B56" s="248" t="n"/>
      <c r="C56" s="247" t="inlineStr">
        <is>
          <t>ВСЕГО СМР + ОБОРУДОВАНИЕ</t>
        </is>
      </c>
      <c r="D56" s="248" t="n"/>
      <c r="E56" s="249" t="n"/>
      <c r="F56" s="250" t="n"/>
      <c r="G56" s="32">
        <f>G55+G40</f>
        <v/>
      </c>
      <c r="H56" s="251" t="n"/>
      <c r="I56" s="32" t="n"/>
      <c r="J56" s="32">
        <f>J55+J40</f>
        <v/>
      </c>
    </row>
    <row r="57" ht="34.5" customFormat="1" customHeight="1" s="206">
      <c r="A57" s="248" t="n"/>
      <c r="B57" s="248" t="n"/>
      <c r="C57" s="247" t="inlineStr">
        <is>
          <t>ИТОГО ПОКАЗАТЕЛЬ НА ЕД. ИЗМ.</t>
        </is>
      </c>
      <c r="D57" s="248" t="inlineStr">
        <is>
          <t>1 тн опор</t>
        </is>
      </c>
      <c r="E57" s="146" t="n">
        <v>710.234</v>
      </c>
      <c r="F57" s="250" t="n"/>
      <c r="G57" s="32">
        <f>G56/E57</f>
        <v/>
      </c>
      <c r="H57" s="251" t="n"/>
      <c r="I57" s="32" t="n"/>
      <c r="J57" s="32">
        <f>J56/E57</f>
        <v/>
      </c>
    </row>
    <row r="59" ht="14.25" customFormat="1" customHeight="1" s="206">
      <c r="A59" s="205" t="inlineStr">
        <is>
          <t>Составил ______________________     Е. М. Добровольская</t>
        </is>
      </c>
    </row>
    <row r="60" ht="14.25" customFormat="1" customHeight="1" s="206">
      <c r="A60" s="208" t="inlineStr">
        <is>
          <t xml:space="preserve">                         (подпись, инициалы, фамилия)</t>
        </is>
      </c>
    </row>
    <row r="61" ht="14.25" customFormat="1" customHeight="1" s="206">
      <c r="A61" s="205" t="n"/>
    </row>
    <row r="62" ht="14.25" customFormat="1" customHeight="1" s="206">
      <c r="A62" s="205" t="inlineStr">
        <is>
          <t>Проверил ______________________        А.В. Костянецкая</t>
        </is>
      </c>
    </row>
    <row r="63" ht="14.25" customFormat="1" customHeight="1" s="206">
      <c r="A63" s="2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7:H37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4.4"/>
  <cols>
    <col width="5.6640625" customWidth="1" style="199" min="1" max="1"/>
    <col width="17.5546875" customWidth="1" style="199" min="2" max="2"/>
    <col width="39.109375" customWidth="1" style="199" min="3" max="3"/>
    <col width="10.6640625" customWidth="1" style="199" min="4" max="4"/>
    <col width="13.88671875" customWidth="1" style="199" min="5" max="5"/>
    <col width="13.33203125" customWidth="1" style="199" min="6" max="6"/>
    <col width="14.109375" customWidth="1" style="199" min="7" max="7"/>
  </cols>
  <sheetData>
    <row r="1">
      <c r="A1" s="266" t="inlineStr">
        <is>
          <t>Приложение №6</t>
        </is>
      </c>
    </row>
    <row r="2" ht="21.75" customHeight="1" s="199">
      <c r="A2" s="266" t="n"/>
      <c r="B2" s="266" t="n"/>
      <c r="C2" s="266" t="n"/>
      <c r="D2" s="266" t="n"/>
      <c r="E2" s="266" t="n"/>
      <c r="F2" s="266" t="n"/>
      <c r="G2" s="266" t="n"/>
    </row>
    <row r="3">
      <c r="A3" s="212" t="inlineStr">
        <is>
          <t>Расчет стоимости оборудования</t>
        </is>
      </c>
    </row>
    <row r="4" ht="25.5" customHeight="1" s="199">
      <c r="A4" s="215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110(150) кВ.</t>
        </is>
      </c>
    </row>
    <row r="5">
      <c r="A5" s="205" t="n"/>
      <c r="B5" s="205" t="n"/>
      <c r="C5" s="205" t="n"/>
      <c r="D5" s="205" t="n"/>
      <c r="E5" s="205" t="n"/>
      <c r="F5" s="205" t="n"/>
      <c r="G5" s="205" t="n"/>
    </row>
    <row r="6" ht="30" customHeight="1" s="199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48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18" t="n"/>
    </row>
    <row r="7">
      <c r="A7" s="320" t="n"/>
      <c r="B7" s="320" t="n"/>
      <c r="C7" s="320" t="n"/>
      <c r="D7" s="320" t="n"/>
      <c r="E7" s="320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 s="199">
      <c r="A9" s="25" t="n"/>
      <c r="B9" s="247" t="inlineStr">
        <is>
          <t>ИНЖЕНЕРНОЕ ОБОРУДОВАНИЕ</t>
        </is>
      </c>
      <c r="C9" s="317" t="n"/>
      <c r="D9" s="317" t="n"/>
      <c r="E9" s="317" t="n"/>
      <c r="F9" s="317" t="n"/>
      <c r="G9" s="318" t="n"/>
    </row>
    <row r="10" ht="27" customHeight="1" s="199">
      <c r="A10" s="248" t="n"/>
      <c r="B10" s="236" t="n"/>
      <c r="C10" s="247" t="inlineStr">
        <is>
          <t>ИТОГО ИНЖЕНЕРНОЕ ОБОРУДОВАНИЕ</t>
        </is>
      </c>
      <c r="D10" s="236" t="n"/>
      <c r="E10" s="105" t="n"/>
      <c r="F10" s="250" t="n"/>
      <c r="G10" s="250" t="n">
        <v>0</v>
      </c>
    </row>
    <row r="11">
      <c r="A11" s="248" t="n"/>
      <c r="B11" s="247" t="inlineStr">
        <is>
          <t>ТЕХНОЛОГИЧЕСКОЕ ОБОРУДОВАНИЕ</t>
        </is>
      </c>
      <c r="C11" s="317" t="n"/>
      <c r="D11" s="317" t="n"/>
      <c r="E11" s="317" t="n"/>
      <c r="F11" s="317" t="n"/>
      <c r="G11" s="318" t="n"/>
    </row>
    <row r="12" ht="41.25" customHeight="1" s="199">
      <c r="A12" s="248" t="n">
        <v>1</v>
      </c>
      <c r="B12" s="247" t="n"/>
      <c r="C12" s="247" t="n"/>
      <c r="D12" s="248" t="n"/>
      <c r="E12" s="140" t="n"/>
      <c r="F12" s="270" t="n"/>
      <c r="G12" s="32" t="n"/>
    </row>
    <row r="13" ht="25.5" customHeight="1" s="199">
      <c r="A13" s="248" t="n"/>
      <c r="B13" s="247" t="n"/>
      <c r="C13" s="247" t="inlineStr">
        <is>
          <t>ИТОГО ТЕХНОЛОГИЧЕСКОЕ ОБОРУДОВАНИЕ</t>
        </is>
      </c>
      <c r="D13" s="247" t="n"/>
      <c r="E13" s="270" t="n"/>
      <c r="F13" s="250" t="n"/>
      <c r="G13" s="32">
        <f>SUM(G12:G12)</f>
        <v/>
      </c>
    </row>
    <row r="14" ht="19.5" customHeight="1" s="199">
      <c r="A14" s="248" t="n"/>
      <c r="B14" s="247" t="n"/>
      <c r="C14" s="247" t="inlineStr">
        <is>
          <t>Всего по разделу «Оборудование»</t>
        </is>
      </c>
      <c r="D14" s="247" t="n"/>
      <c r="E14" s="270" t="n"/>
      <c r="F14" s="250" t="n"/>
      <c r="G14" s="32">
        <f>G10+G13</f>
        <v/>
      </c>
    </row>
    <row r="15">
      <c r="A15" s="207" t="n"/>
      <c r="B15" s="106" t="n"/>
      <c r="C15" s="207" t="n"/>
      <c r="D15" s="207" t="n"/>
      <c r="E15" s="207" t="n"/>
      <c r="F15" s="207" t="n"/>
      <c r="G15" s="207" t="n"/>
    </row>
    <row r="16">
      <c r="A16" s="205" t="inlineStr">
        <is>
          <t>Составил ______________________    Е. М. Добровольская</t>
        </is>
      </c>
      <c r="B16" s="206" t="n"/>
      <c r="C16" s="206" t="n"/>
      <c r="D16" s="207" t="n"/>
      <c r="E16" s="207" t="n"/>
      <c r="F16" s="207" t="n"/>
      <c r="G16" s="207" t="n"/>
    </row>
    <row r="17">
      <c r="A17" s="208" t="inlineStr">
        <is>
          <t xml:space="preserve">                         (подпись, инициалы, фамилия)</t>
        </is>
      </c>
      <c r="B17" s="206" t="n"/>
      <c r="C17" s="206" t="n"/>
      <c r="D17" s="207" t="n"/>
      <c r="E17" s="207" t="n"/>
      <c r="F17" s="207" t="n"/>
      <c r="G17" s="207" t="n"/>
    </row>
    <row r="18">
      <c r="A18" s="205" t="n"/>
      <c r="B18" s="206" t="n"/>
      <c r="C18" s="206" t="n"/>
      <c r="D18" s="207" t="n"/>
      <c r="E18" s="207" t="n"/>
      <c r="F18" s="207" t="n"/>
      <c r="G18" s="207" t="n"/>
    </row>
    <row r="19">
      <c r="A19" s="205" t="inlineStr">
        <is>
          <t>Проверил ______________________        А.В. Костянецкая</t>
        </is>
      </c>
      <c r="B19" s="206" t="n"/>
      <c r="C19" s="206" t="n"/>
      <c r="D19" s="207" t="n"/>
      <c r="E19" s="207" t="n"/>
      <c r="F19" s="207" t="n"/>
      <c r="G19" s="207" t="n"/>
    </row>
    <row r="20">
      <c r="A20" s="208" t="inlineStr">
        <is>
          <t xml:space="preserve">                        (подпись, инициалы, фамилия)</t>
        </is>
      </c>
      <c r="B20" s="206" t="n"/>
      <c r="C20" s="206" t="n"/>
      <c r="D20" s="207" t="n"/>
      <c r="E20" s="207" t="n"/>
      <c r="F20" s="207" t="n"/>
      <c r="G20" s="2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topLeftCell="A4" workbookViewId="0">
      <selection activeCell="B13" sqref="B13"/>
    </sheetView>
  </sheetViews>
  <sheetFormatPr baseColWidth="8" defaultRowHeight="14.4"/>
  <cols>
    <col width="12.6640625" customWidth="1" style="199" min="1" max="1"/>
    <col width="22.44140625" customWidth="1" style="199" min="2" max="2"/>
    <col width="37.109375" customWidth="1" style="199" min="3" max="3"/>
    <col width="49" customWidth="1" style="199" min="4" max="4"/>
    <col width="9.109375" customWidth="1" style="199" min="5" max="5"/>
  </cols>
  <sheetData>
    <row r="1" ht="15.75" customHeight="1" s="199">
      <c r="A1" s="198" t="n"/>
      <c r="B1" s="198" t="n"/>
      <c r="C1" s="198" t="n"/>
      <c r="D1" s="198" t="inlineStr">
        <is>
          <t>Приложение №7</t>
        </is>
      </c>
    </row>
    <row r="2" ht="15.75" customHeight="1" s="199">
      <c r="A2" s="198" t="n"/>
      <c r="B2" s="198" t="n"/>
      <c r="C2" s="198" t="n"/>
      <c r="D2" s="198" t="n"/>
    </row>
    <row r="3" ht="15.75" customHeight="1" s="199">
      <c r="A3" s="198" t="n"/>
      <c r="B3" s="200" t="inlineStr">
        <is>
          <t>Расчет показателя УНЦ</t>
        </is>
      </c>
      <c r="C3" s="198" t="n"/>
      <c r="D3" s="198" t="n"/>
    </row>
    <row r="4" ht="15.75" customHeight="1" s="199">
      <c r="A4" s="198" t="n"/>
      <c r="B4" s="198" t="n"/>
      <c r="C4" s="198" t="n"/>
      <c r="D4" s="198" t="n"/>
    </row>
    <row r="5" ht="47.25" customHeight="1" s="199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5.75" customHeight="1" s="199">
      <c r="A6" s="198" t="inlineStr">
        <is>
          <t>Единица измерения  —  1 тн опор</t>
        </is>
      </c>
      <c r="B6" s="198" t="n"/>
      <c r="C6" s="198" t="n"/>
      <c r="D6" s="198" t="n"/>
    </row>
    <row r="7" ht="15.75" customHeight="1" s="199">
      <c r="A7" s="198" t="n"/>
      <c r="B7" s="198" t="n"/>
      <c r="C7" s="198" t="n"/>
      <c r="D7" s="198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320" t="n"/>
      <c r="B9" s="320" t="n"/>
      <c r="C9" s="320" t="n"/>
      <c r="D9" s="320" t="n"/>
    </row>
    <row r="10" ht="15.75" customHeight="1" s="199">
      <c r="A10" s="228" t="n">
        <v>1</v>
      </c>
      <c r="B10" s="228" t="n">
        <v>2</v>
      </c>
      <c r="C10" s="228" t="n">
        <v>3</v>
      </c>
      <c r="D10" s="228" t="n">
        <v>4</v>
      </c>
    </row>
    <row r="11" ht="63" customHeight="1" s="199">
      <c r="A11" s="228" t="inlineStr">
        <is>
          <t>Л2-04-3</t>
        </is>
      </c>
      <c r="B11" s="228" t="inlineStr">
        <is>
          <t>УНЦ ВЛ 0,4 - 750 кВ на строительно-монтажные работы без опор и провода</t>
        </is>
      </c>
      <c r="C11" s="203">
        <f>D5</f>
        <v/>
      </c>
      <c r="D11" s="204">
        <f>'Прил.4 РМ'!C41/1000</f>
        <v/>
      </c>
    </row>
    <row r="13">
      <c r="A13" s="205" t="inlineStr">
        <is>
          <t>Составил ______________________     Е. М. Добровольская</t>
        </is>
      </c>
      <c r="B13" s="206" t="n"/>
      <c r="C13" s="206" t="n"/>
      <c r="D13" s="207" t="n"/>
    </row>
    <row r="14">
      <c r="A14" s="208" t="inlineStr">
        <is>
          <t xml:space="preserve">                         (подпись, инициалы, фамилия)</t>
        </is>
      </c>
      <c r="B14" s="206" t="n"/>
      <c r="C14" s="206" t="n"/>
      <c r="D14" s="207" t="n"/>
    </row>
    <row r="15">
      <c r="A15" s="205" t="n"/>
      <c r="B15" s="206" t="n"/>
      <c r="C15" s="206" t="n"/>
      <c r="D15" s="207" t="n"/>
    </row>
    <row r="16">
      <c r="A16" s="205" t="inlineStr">
        <is>
          <t>Проверил ______________________        А.В. Костянецкая</t>
        </is>
      </c>
      <c r="B16" s="206" t="n"/>
      <c r="C16" s="206" t="n"/>
      <c r="D16" s="207" t="n"/>
    </row>
    <row r="17" ht="20.25" customHeight="1" s="199">
      <c r="A17" s="208" t="inlineStr">
        <is>
          <t xml:space="preserve">                        (подпись, инициалы, фамилия)</t>
        </is>
      </c>
      <c r="B17" s="206" t="n"/>
      <c r="C17" s="206" t="n"/>
      <c r="D17" s="2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B25" sqref="B25"/>
    </sheetView>
  </sheetViews>
  <sheetFormatPr baseColWidth="8" defaultRowHeight="14.4"/>
  <cols>
    <col width="9.109375" customWidth="1" style="199" min="1" max="1"/>
    <col width="40.6640625" customWidth="1" style="199" min="2" max="2"/>
    <col width="37" customWidth="1" style="199" min="3" max="3"/>
    <col width="32" customWidth="1" style="199" min="4" max="4"/>
    <col width="9.109375" customWidth="1" style="199" min="5" max="5"/>
  </cols>
  <sheetData>
    <row r="4" ht="15.75" customHeight="1" s="199">
      <c r="B4" s="219" t="inlineStr">
        <is>
          <t>Приложение № 10</t>
        </is>
      </c>
    </row>
    <row r="5" ht="18.75" customHeight="1" s="199">
      <c r="B5" s="132" t="n"/>
    </row>
    <row r="6" ht="15.75" customHeight="1" s="199">
      <c r="B6" s="220" t="inlineStr">
        <is>
          <t>Используемые индексы изменений сметной стоимости и нормы сопутствующих затрат</t>
        </is>
      </c>
    </row>
    <row r="7">
      <c r="B7" s="273" t="n"/>
    </row>
    <row r="8">
      <c r="B8" s="273" t="n"/>
      <c r="C8" s="273" t="n"/>
      <c r="D8" s="273" t="n"/>
      <c r="E8" s="273" t="n"/>
    </row>
    <row r="9" ht="47.25" customHeight="1" s="199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 s="199">
      <c r="B10" s="228" t="n">
        <v>1</v>
      </c>
      <c r="C10" s="228" t="n">
        <v>2</v>
      </c>
      <c r="D10" s="228" t="n">
        <v>3</v>
      </c>
    </row>
    <row r="11" ht="45" customHeight="1" s="199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46.83</v>
      </c>
    </row>
    <row r="12" ht="29.25" customHeight="1" s="199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11.96</v>
      </c>
    </row>
    <row r="13" ht="29.25" customHeight="1" s="199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9.84</v>
      </c>
    </row>
    <row r="14" ht="30.75" customHeight="1" s="199">
      <c r="B14" s="22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8" t="n">
        <v>6.26</v>
      </c>
    </row>
    <row r="15" ht="89.25" customHeight="1" s="199">
      <c r="B15" s="228" t="inlineStr">
        <is>
          <t>Временные здания и сооружения</t>
        </is>
      </c>
      <c r="C15" s="22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4" t="n">
        <v>0.033</v>
      </c>
    </row>
    <row r="16" ht="78.75" customHeight="1" s="199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4" t="n">
        <v>0.01</v>
      </c>
    </row>
    <row r="17" ht="31.5" customHeight="1" s="199">
      <c r="B17" s="228" t="inlineStr">
        <is>
          <t>Строительный контроль</t>
        </is>
      </c>
      <c r="C17" s="228" t="inlineStr">
        <is>
          <t>Постановление Правительства РФ от 21.06.10 г. № 468</t>
        </is>
      </c>
      <c r="D17" s="134" t="n">
        <v>0.0214</v>
      </c>
    </row>
    <row r="18" ht="31.5" customHeight="1" s="199">
      <c r="B18" s="228" t="inlineStr">
        <is>
          <t>Авторский надзор - 0,2%</t>
        </is>
      </c>
      <c r="C18" s="228" t="inlineStr">
        <is>
          <t>Приказ от 4.08.2020 № 421/пр п.173</t>
        </is>
      </c>
      <c r="D18" s="134" t="n">
        <v>0.002</v>
      </c>
    </row>
    <row r="19" ht="24" customHeight="1" s="199">
      <c r="B19" s="228" t="inlineStr">
        <is>
          <t>Непредвиденные расходы</t>
        </is>
      </c>
      <c r="C19" s="228" t="inlineStr">
        <is>
          <t>Приказ от 4.08.2020 № 421/пр п.179</t>
        </is>
      </c>
      <c r="D19" s="134" t="n">
        <v>0.03</v>
      </c>
    </row>
    <row r="20" ht="18.75" customHeight="1" s="199">
      <c r="B20" s="133" t="n"/>
    </row>
    <row r="21" ht="18.75" customHeight="1" s="199">
      <c r="B21" s="133" t="n"/>
    </row>
    <row r="22" ht="18.75" customHeight="1" s="199">
      <c r="B22" s="133" t="n"/>
    </row>
    <row r="23" ht="18.75" customHeight="1" s="199">
      <c r="B23" s="133" t="n"/>
    </row>
    <row r="26">
      <c r="B26" s="205" t="inlineStr">
        <is>
          <t>Составил ______________________     Е. М. Добровольская</t>
        </is>
      </c>
      <c r="C26" s="206" t="n"/>
    </row>
    <row r="27">
      <c r="B27" s="208" t="inlineStr">
        <is>
          <t xml:space="preserve">                         (подпись, инициалы, фамилия)</t>
        </is>
      </c>
      <c r="C27" s="206" t="n"/>
    </row>
    <row r="28">
      <c r="B28" s="205" t="n"/>
      <c r="C28" s="206" t="n"/>
    </row>
    <row r="29">
      <c r="B29" s="205" t="inlineStr">
        <is>
          <t>Проверил ______________________        А.В. Костянецкая</t>
        </is>
      </c>
      <c r="C29" s="206" t="n"/>
    </row>
    <row r="30">
      <c r="B30" s="208" t="inlineStr">
        <is>
          <t xml:space="preserve">                        (подпись, инициалы, фамилия)</t>
        </is>
      </c>
      <c r="C30" s="2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C17" sqref="C17"/>
    </sheetView>
  </sheetViews>
  <sheetFormatPr baseColWidth="8" defaultRowHeight="14.4"/>
  <cols>
    <col width="9.109375" customWidth="1" style="199" min="1" max="1"/>
    <col width="44.88671875" customWidth="1" style="199" min="2" max="2"/>
    <col width="13" customWidth="1" style="199" min="3" max="3"/>
    <col width="22.88671875" customWidth="1" style="199" min="4" max="4"/>
    <col width="21.5546875" customWidth="1" style="199" min="5" max="5"/>
    <col width="43.88671875" customWidth="1" style="199" min="6" max="6"/>
    <col width="9.109375" customWidth="1" style="199" min="7" max="7"/>
  </cols>
  <sheetData>
    <row r="2" ht="17.25" customHeight="1" s="199">
      <c r="A2" s="22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9">
      <c r="A4" s="117" t="inlineStr">
        <is>
          <t>Составлен в уровне цен на 01.01.2023 г.</t>
        </is>
      </c>
      <c r="B4" s="198" t="n"/>
      <c r="C4" s="198" t="n"/>
      <c r="D4" s="198" t="n"/>
      <c r="E4" s="198" t="n"/>
      <c r="F4" s="198" t="n"/>
      <c r="G4" s="198" t="n"/>
    </row>
    <row r="5" ht="15.75" customHeight="1" s="199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98" t="n"/>
    </row>
    <row r="6" ht="15.75" customHeight="1" s="199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98" t="n"/>
    </row>
    <row r="7" ht="110.25" customHeight="1" s="199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204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8" t="n"/>
    </row>
    <row r="8" ht="31.5" customHeight="1" s="199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204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199">
      <c r="A9" s="120" t="inlineStr">
        <is>
          <t>1.3</t>
        </is>
      </c>
      <c r="B9" s="121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204" t="n">
        <v>1</v>
      </c>
      <c r="F9" s="121" t="n"/>
      <c r="G9" s="124" t="n"/>
    </row>
    <row r="10" ht="15.75" customHeight="1" s="199">
      <c r="A10" s="120" t="inlineStr">
        <is>
          <t>1.4</t>
        </is>
      </c>
      <c r="B10" s="121" t="inlineStr">
        <is>
          <t>Средний разряд работ</t>
        </is>
      </c>
      <c r="C10" s="228" t="n"/>
      <c r="D10" s="228" t="n"/>
      <c r="E10" s="125" t="n">
        <v>4.1</v>
      </c>
      <c r="F10" s="121" t="inlineStr">
        <is>
          <t>РТМ</t>
        </is>
      </c>
      <c r="G10" s="124" t="n"/>
    </row>
    <row r="11" ht="78.75" customHeight="1" s="199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126" t="n">
        <v>1.359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8" t="n"/>
    </row>
    <row r="12" ht="78.75" customHeight="1" s="199">
      <c r="A12" s="120" t="inlineStr">
        <is>
          <t>1.6</t>
        </is>
      </c>
      <c r="B12" s="127" t="inlineStr">
        <is>
          <t>Коэффициент инфляции, определяемый поквартально</t>
        </is>
      </c>
      <c r="C12" s="228" t="inlineStr">
        <is>
          <t>Кинф</t>
        </is>
      </c>
      <c r="D12" s="228" t="inlineStr">
        <is>
          <t>-</t>
        </is>
      </c>
      <c r="E12" s="128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9">
      <c r="A13" s="120" t="inlineStr">
        <is>
          <t>1.7</t>
        </is>
      </c>
      <c r="B13" s="130" t="inlineStr">
        <is>
          <t>Размер средств на оплату труда рабочих-строителей в текущем уровне цен (ФОТр.тек.), руб/чел.-ч</t>
        </is>
      </c>
      <c r="C13" s="228" t="inlineStr">
        <is>
          <t>ФОТр.тек.</t>
        </is>
      </c>
      <c r="D13" s="228" t="inlineStr">
        <is>
          <t>(С1ср/tср*КТ*Т*Кув)*Кинф</t>
        </is>
      </c>
      <c r="E13" s="131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2025-01-24T12:09:54Z</dcterms:modified>
  <cp:lastModifiedBy>user1</cp:lastModifiedBy>
</cp:coreProperties>
</file>