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Panel\home\rm.local\storage\все файлы\"/>
    </mc:Choice>
  </mc:AlternateContent>
  <xr:revisionPtr revIDLastSave="0" documentId="13_ncr:1_{D686EFA5-96A5-4910-841D-56779B935906}" xr6:coauthVersionLast="40" xr6:coauthVersionMax="40" xr10:uidLastSave="{00000000-0000-0000-0000-000000000000}"/>
  <bookViews>
    <workbookView xWindow="0" yWindow="0" windowWidth="28800" windowHeight="12720" activeTab="4" xr2:uid="{00000000-000D-0000-FFFF-FFFF00000000}"/>
  </bookViews>
  <sheets>
    <sheet name="Прил.1 Сравнит табл" sheetId="1" r:id="rId1"/>
    <sheet name="Прил.2 Расч стоим" sheetId="2" r:id="rId2"/>
    <sheet name="Прил. 3" sheetId="3" r:id="rId3"/>
    <sheet name="Прил.4 РМ" sheetId="4" r:id="rId4"/>
    <sheet name="Прил.5 Расчет СМР и ОБ" sheetId="5" r:id="rId5"/>
    <sheet name="Прил.6 Расчет ОБ" sheetId="6" r:id="rId6"/>
    <sheet name="Прил.7" sheetId="7" r:id="rId7"/>
    <sheet name="Прил. 10" sheetId="8" r:id="rId8"/>
    <sheet name="ФОТр.тек." sheetId="9" state="hidden" r:id="rId9"/>
    <sheet name="ФОТи.тек." sheetId="10" r:id="rId10"/>
  </sheets>
  <calcPr calcId="191029"/>
</workbook>
</file>

<file path=xl/calcChain.xml><?xml version="1.0" encoding="utf-8"?>
<calcChain xmlns="http://schemas.openxmlformats.org/spreadsheetml/2006/main">
  <c r="E16" i="10" l="1"/>
  <c r="E15" i="10"/>
  <c r="E8" i="10"/>
  <c r="E13" i="9"/>
  <c r="E8" i="9"/>
  <c r="C11" i="7"/>
  <c r="D5" i="7"/>
  <c r="G15" i="6"/>
  <c r="G14" i="6"/>
  <c r="I201" i="5"/>
  <c r="J201" i="5" s="1"/>
  <c r="G201" i="5"/>
  <c r="J200" i="5"/>
  <c r="I200" i="5"/>
  <c r="G200" i="5"/>
  <c r="I199" i="5"/>
  <c r="J199" i="5" s="1"/>
  <c r="G199" i="5"/>
  <c r="J198" i="5"/>
  <c r="I198" i="5"/>
  <c r="G198" i="5"/>
  <c r="I197" i="5"/>
  <c r="J197" i="5" s="1"/>
  <c r="G197" i="5"/>
  <c r="J196" i="5"/>
  <c r="I196" i="5"/>
  <c r="G196" i="5"/>
  <c r="I195" i="5"/>
  <c r="J195" i="5" s="1"/>
  <c r="G195" i="5"/>
  <c r="J194" i="5"/>
  <c r="I194" i="5"/>
  <c r="G194" i="5"/>
  <c r="I193" i="5"/>
  <c r="J193" i="5" s="1"/>
  <c r="G193" i="5"/>
  <c r="J192" i="5"/>
  <c r="I192" i="5"/>
  <c r="G192" i="5"/>
  <c r="I191" i="5"/>
  <c r="J191" i="5" s="1"/>
  <c r="G191" i="5"/>
  <c r="J190" i="5"/>
  <c r="I190" i="5"/>
  <c r="G190" i="5"/>
  <c r="I189" i="5"/>
  <c r="J189" i="5" s="1"/>
  <c r="G189" i="5"/>
  <c r="J188" i="5"/>
  <c r="I188" i="5"/>
  <c r="G188" i="5"/>
  <c r="I187" i="5"/>
  <c r="J187" i="5" s="1"/>
  <c r="G187" i="5"/>
  <c r="J186" i="5"/>
  <c r="I186" i="5"/>
  <c r="G186" i="5"/>
  <c r="I185" i="5"/>
  <c r="J185" i="5" s="1"/>
  <c r="G185" i="5"/>
  <c r="J184" i="5"/>
  <c r="I184" i="5"/>
  <c r="G184" i="5"/>
  <c r="I183" i="5"/>
  <c r="J183" i="5" s="1"/>
  <c r="G183" i="5"/>
  <c r="J182" i="5"/>
  <c r="I182" i="5"/>
  <c r="G182" i="5"/>
  <c r="I181" i="5"/>
  <c r="J181" i="5" s="1"/>
  <c r="G181" i="5"/>
  <c r="J180" i="5"/>
  <c r="I180" i="5"/>
  <c r="G180" i="5"/>
  <c r="I179" i="5"/>
  <c r="J179" i="5" s="1"/>
  <c r="G179" i="5"/>
  <c r="J178" i="5"/>
  <c r="I178" i="5"/>
  <c r="G178" i="5"/>
  <c r="I177" i="5"/>
  <c r="J177" i="5" s="1"/>
  <c r="G177" i="5"/>
  <c r="J176" i="5"/>
  <c r="I176" i="5"/>
  <c r="G176" i="5"/>
  <c r="I175" i="5"/>
  <c r="J175" i="5" s="1"/>
  <c r="G175" i="5"/>
  <c r="J174" i="5"/>
  <c r="I174" i="5"/>
  <c r="G174" i="5"/>
  <c r="I173" i="5"/>
  <c r="J173" i="5" s="1"/>
  <c r="G173" i="5"/>
  <c r="J172" i="5"/>
  <c r="I172" i="5"/>
  <c r="G172" i="5"/>
  <c r="I171" i="5"/>
  <c r="J171" i="5" s="1"/>
  <c r="G171" i="5"/>
  <c r="J170" i="5"/>
  <c r="I170" i="5"/>
  <c r="G170" i="5"/>
  <c r="I169" i="5"/>
  <c r="J169" i="5" s="1"/>
  <c r="G169" i="5"/>
  <c r="J168" i="5"/>
  <c r="I168" i="5"/>
  <c r="G168" i="5"/>
  <c r="I167" i="5"/>
  <c r="J167" i="5" s="1"/>
  <c r="G167" i="5"/>
  <c r="J166" i="5"/>
  <c r="I166" i="5"/>
  <c r="G166" i="5"/>
  <c r="I165" i="5"/>
  <c r="J165" i="5" s="1"/>
  <c r="G165" i="5"/>
  <c r="J164" i="5"/>
  <c r="I164" i="5"/>
  <c r="G164" i="5"/>
  <c r="I163" i="5"/>
  <c r="J163" i="5" s="1"/>
  <c r="G163" i="5"/>
  <c r="J162" i="5"/>
  <c r="I162" i="5"/>
  <c r="G162" i="5"/>
  <c r="I161" i="5"/>
  <c r="J161" i="5" s="1"/>
  <c r="G161" i="5"/>
  <c r="J160" i="5"/>
  <c r="I160" i="5"/>
  <c r="G160" i="5"/>
  <c r="I159" i="5"/>
  <c r="J159" i="5" s="1"/>
  <c r="G159" i="5"/>
  <c r="J158" i="5"/>
  <c r="I158" i="5"/>
  <c r="G158" i="5"/>
  <c r="I157" i="5"/>
  <c r="J157" i="5" s="1"/>
  <c r="G157" i="5"/>
  <c r="J156" i="5"/>
  <c r="I156" i="5"/>
  <c r="G156" i="5"/>
  <c r="I155" i="5"/>
  <c r="J155" i="5" s="1"/>
  <c r="G155" i="5"/>
  <c r="J154" i="5"/>
  <c r="I154" i="5"/>
  <c r="G154" i="5"/>
  <c r="I153" i="5"/>
  <c r="J153" i="5" s="1"/>
  <c r="G153" i="5"/>
  <c r="J152" i="5"/>
  <c r="I152" i="5"/>
  <c r="G152" i="5"/>
  <c r="I151" i="5"/>
  <c r="J151" i="5" s="1"/>
  <c r="G151" i="5"/>
  <c r="J150" i="5"/>
  <c r="I150" i="5"/>
  <c r="G150" i="5"/>
  <c r="I149" i="5"/>
  <c r="J149" i="5" s="1"/>
  <c r="G149" i="5"/>
  <c r="J148" i="5"/>
  <c r="I148" i="5"/>
  <c r="G148" i="5"/>
  <c r="I147" i="5"/>
  <c r="J147" i="5" s="1"/>
  <c r="G147" i="5"/>
  <c r="J146" i="5"/>
  <c r="I146" i="5"/>
  <c r="G146" i="5"/>
  <c r="I145" i="5"/>
  <c r="J145" i="5" s="1"/>
  <c r="G145" i="5"/>
  <c r="J144" i="5"/>
  <c r="I144" i="5"/>
  <c r="G144" i="5"/>
  <c r="I143" i="5"/>
  <c r="J143" i="5" s="1"/>
  <c r="G143" i="5"/>
  <c r="J142" i="5"/>
  <c r="I142" i="5"/>
  <c r="G142" i="5"/>
  <c r="I141" i="5"/>
  <c r="J141" i="5" s="1"/>
  <c r="G141" i="5"/>
  <c r="J140" i="5"/>
  <c r="I140" i="5"/>
  <c r="G140" i="5"/>
  <c r="I139" i="5"/>
  <c r="J139" i="5" s="1"/>
  <c r="G139" i="5"/>
  <c r="J138" i="5"/>
  <c r="I138" i="5"/>
  <c r="G138" i="5"/>
  <c r="I137" i="5"/>
  <c r="J137" i="5" s="1"/>
  <c r="G137" i="5"/>
  <c r="J136" i="5"/>
  <c r="I136" i="5"/>
  <c r="G136" i="5"/>
  <c r="I135" i="5"/>
  <c r="J135" i="5" s="1"/>
  <c r="G135" i="5"/>
  <c r="J134" i="5"/>
  <c r="I134" i="5"/>
  <c r="G134" i="5"/>
  <c r="I133" i="5"/>
  <c r="J133" i="5" s="1"/>
  <c r="G133" i="5"/>
  <c r="J132" i="5"/>
  <c r="I132" i="5"/>
  <c r="G132" i="5"/>
  <c r="I131" i="5"/>
  <c r="J131" i="5" s="1"/>
  <c r="G131" i="5"/>
  <c r="J130" i="5"/>
  <c r="I130" i="5"/>
  <c r="G130" i="5"/>
  <c r="I129" i="5"/>
  <c r="J129" i="5" s="1"/>
  <c r="G129" i="5"/>
  <c r="J128" i="5"/>
  <c r="I128" i="5"/>
  <c r="G128" i="5"/>
  <c r="I127" i="5"/>
  <c r="J127" i="5" s="1"/>
  <c r="G127" i="5"/>
  <c r="J126" i="5"/>
  <c r="I126" i="5"/>
  <c r="G126" i="5"/>
  <c r="I125" i="5"/>
  <c r="J125" i="5" s="1"/>
  <c r="G125" i="5"/>
  <c r="J124" i="5"/>
  <c r="I124" i="5"/>
  <c r="G124" i="5"/>
  <c r="I123" i="5"/>
  <c r="J123" i="5" s="1"/>
  <c r="G123" i="5"/>
  <c r="J122" i="5"/>
  <c r="I122" i="5"/>
  <c r="G122" i="5"/>
  <c r="I121" i="5"/>
  <c r="J121" i="5" s="1"/>
  <c r="G121" i="5"/>
  <c r="J120" i="5"/>
  <c r="I120" i="5"/>
  <c r="G120" i="5"/>
  <c r="I119" i="5"/>
  <c r="J119" i="5" s="1"/>
  <c r="G119" i="5"/>
  <c r="J118" i="5"/>
  <c r="I118" i="5"/>
  <c r="G118" i="5"/>
  <c r="I117" i="5"/>
  <c r="J117" i="5" s="1"/>
  <c r="G117" i="5"/>
  <c r="J116" i="5"/>
  <c r="I116" i="5"/>
  <c r="G116" i="5"/>
  <c r="I115" i="5"/>
  <c r="J115" i="5" s="1"/>
  <c r="G115" i="5"/>
  <c r="J114" i="5"/>
  <c r="I114" i="5"/>
  <c r="G114" i="5"/>
  <c r="I113" i="5"/>
  <c r="J113" i="5" s="1"/>
  <c r="G113" i="5"/>
  <c r="J112" i="5"/>
  <c r="I112" i="5"/>
  <c r="G112" i="5"/>
  <c r="I111" i="5"/>
  <c r="J111" i="5" s="1"/>
  <c r="G111" i="5"/>
  <c r="J110" i="5"/>
  <c r="I110" i="5"/>
  <c r="G110" i="5"/>
  <c r="J109" i="5"/>
  <c r="G109" i="5"/>
  <c r="F109" i="5"/>
  <c r="J108" i="5"/>
  <c r="I108" i="5"/>
  <c r="G108" i="5"/>
  <c r="I107" i="5"/>
  <c r="J107" i="5" s="1"/>
  <c r="G107" i="5"/>
  <c r="J106" i="5"/>
  <c r="I106" i="5"/>
  <c r="G106" i="5"/>
  <c r="I105" i="5"/>
  <c r="J105" i="5" s="1"/>
  <c r="G105" i="5"/>
  <c r="J104" i="5"/>
  <c r="I104" i="5"/>
  <c r="G104" i="5"/>
  <c r="I103" i="5"/>
  <c r="J103" i="5" s="1"/>
  <c r="G103" i="5"/>
  <c r="J102" i="5"/>
  <c r="I102" i="5"/>
  <c r="G102" i="5"/>
  <c r="I101" i="5"/>
  <c r="J101" i="5" s="1"/>
  <c r="G101" i="5"/>
  <c r="J100" i="5"/>
  <c r="I100" i="5"/>
  <c r="G100" i="5"/>
  <c r="I99" i="5"/>
  <c r="J99" i="5" s="1"/>
  <c r="G99" i="5"/>
  <c r="J98" i="5"/>
  <c r="I98" i="5"/>
  <c r="G98" i="5"/>
  <c r="I97" i="5"/>
  <c r="J97" i="5" s="1"/>
  <c r="G97" i="5"/>
  <c r="G202" i="5" s="1"/>
  <c r="J95" i="5"/>
  <c r="G95" i="5"/>
  <c r="F95" i="5"/>
  <c r="G94" i="5"/>
  <c r="G93" i="5"/>
  <c r="J92" i="5"/>
  <c r="I92" i="5"/>
  <c r="G92" i="5"/>
  <c r="J91" i="5"/>
  <c r="F91" i="5"/>
  <c r="G91" i="5" s="1"/>
  <c r="J90" i="5"/>
  <c r="I90" i="5"/>
  <c r="G90" i="5"/>
  <c r="J89" i="5"/>
  <c r="F89" i="5"/>
  <c r="G89" i="5" s="1"/>
  <c r="J88" i="5"/>
  <c r="F88" i="5"/>
  <c r="G88" i="5" s="1"/>
  <c r="G87" i="5"/>
  <c r="G86" i="5"/>
  <c r="J85" i="5"/>
  <c r="I85" i="5"/>
  <c r="G85" i="5"/>
  <c r="J84" i="5"/>
  <c r="F84" i="5"/>
  <c r="G84" i="5" s="1"/>
  <c r="J83" i="5"/>
  <c r="I83" i="5"/>
  <c r="G83" i="5"/>
  <c r="I82" i="5"/>
  <c r="J82" i="5" s="1"/>
  <c r="J96" i="5" s="1"/>
  <c r="G82" i="5"/>
  <c r="J81" i="5"/>
  <c r="G81" i="5"/>
  <c r="F81" i="5"/>
  <c r="G80" i="5"/>
  <c r="G79" i="5"/>
  <c r="J78" i="5"/>
  <c r="I78" i="5"/>
  <c r="G78" i="5"/>
  <c r="G96" i="5" s="1"/>
  <c r="G75" i="5"/>
  <c r="J75" i="5" s="1"/>
  <c r="J74" i="5"/>
  <c r="G74" i="5"/>
  <c r="J72" i="5"/>
  <c r="G72" i="5"/>
  <c r="J67" i="5"/>
  <c r="I67" i="5"/>
  <c r="G67" i="5"/>
  <c r="J66" i="5"/>
  <c r="I66" i="5"/>
  <c r="G66" i="5"/>
  <c r="J65" i="5"/>
  <c r="I65" i="5"/>
  <c r="G65" i="5"/>
  <c r="J64" i="5"/>
  <c r="I64" i="5"/>
  <c r="G64" i="5"/>
  <c r="J63" i="5"/>
  <c r="I63" i="5"/>
  <c r="G63" i="5"/>
  <c r="J62" i="5"/>
  <c r="I62" i="5"/>
  <c r="G62" i="5"/>
  <c r="J61" i="5"/>
  <c r="I61" i="5"/>
  <c r="G61" i="5"/>
  <c r="J60" i="5"/>
  <c r="I60" i="5"/>
  <c r="G60" i="5"/>
  <c r="J59" i="5"/>
  <c r="I59" i="5"/>
  <c r="G59" i="5"/>
  <c r="J58" i="5"/>
  <c r="I58" i="5"/>
  <c r="G58" i="5"/>
  <c r="J57" i="5"/>
  <c r="I57" i="5"/>
  <c r="G57" i="5"/>
  <c r="J56" i="5"/>
  <c r="I56" i="5"/>
  <c r="G56" i="5"/>
  <c r="J55" i="5"/>
  <c r="I55" i="5"/>
  <c r="G55" i="5"/>
  <c r="J54" i="5"/>
  <c r="I54" i="5"/>
  <c r="G54" i="5"/>
  <c r="J53" i="5"/>
  <c r="I53" i="5"/>
  <c r="G53" i="5"/>
  <c r="J52" i="5"/>
  <c r="I52" i="5"/>
  <c r="G52" i="5"/>
  <c r="J51" i="5"/>
  <c r="I51" i="5"/>
  <c r="G51" i="5"/>
  <c r="J50" i="5"/>
  <c r="I50" i="5"/>
  <c r="G50" i="5"/>
  <c r="J49" i="5"/>
  <c r="I49" i="5"/>
  <c r="G49" i="5"/>
  <c r="J48" i="5"/>
  <c r="I48" i="5"/>
  <c r="G48" i="5"/>
  <c r="J47" i="5"/>
  <c r="I47" i="5"/>
  <c r="G47" i="5"/>
  <c r="J46" i="5"/>
  <c r="I46" i="5"/>
  <c r="G46" i="5"/>
  <c r="J45" i="5"/>
  <c r="I45" i="5"/>
  <c r="G45" i="5"/>
  <c r="J44" i="5"/>
  <c r="I44" i="5"/>
  <c r="G44" i="5"/>
  <c r="J43" i="5"/>
  <c r="I43" i="5"/>
  <c r="G43" i="5"/>
  <c r="J42" i="5"/>
  <c r="I42" i="5"/>
  <c r="G42" i="5"/>
  <c r="J41" i="5"/>
  <c r="I41" i="5"/>
  <c r="G41" i="5"/>
  <c r="J40" i="5"/>
  <c r="I40" i="5"/>
  <c r="G40" i="5"/>
  <c r="J38" i="5"/>
  <c r="I38" i="5"/>
  <c r="G38" i="5"/>
  <c r="G37" i="5"/>
  <c r="G36" i="5"/>
  <c r="J35" i="5"/>
  <c r="I35" i="5"/>
  <c r="G35" i="5"/>
  <c r="I34" i="5"/>
  <c r="J34" i="5" s="1"/>
  <c r="G34" i="5"/>
  <c r="J33" i="5"/>
  <c r="I33" i="5"/>
  <c r="G33" i="5"/>
  <c r="G32" i="5"/>
  <c r="G31" i="5"/>
  <c r="I30" i="5"/>
  <c r="J30" i="5" s="1"/>
  <c r="G30" i="5"/>
  <c r="I29" i="5"/>
  <c r="J29" i="5" s="1"/>
  <c r="G29" i="5"/>
  <c r="G28" i="5"/>
  <c r="G27" i="5"/>
  <c r="G26" i="5"/>
  <c r="J25" i="5"/>
  <c r="I25" i="5"/>
  <c r="G25" i="5"/>
  <c r="G24" i="5"/>
  <c r="G23" i="5"/>
  <c r="G22" i="5"/>
  <c r="I21" i="5"/>
  <c r="J21" i="5" s="1"/>
  <c r="J39" i="5" s="1"/>
  <c r="G21" i="5"/>
  <c r="G18" i="5"/>
  <c r="E18" i="5"/>
  <c r="I15" i="5"/>
  <c r="J15" i="5" s="1"/>
  <c r="G15" i="5"/>
  <c r="I14" i="5"/>
  <c r="J14" i="5" s="1"/>
  <c r="G14" i="5"/>
  <c r="I13" i="5"/>
  <c r="A7" i="5"/>
  <c r="C26" i="4"/>
  <c r="C25" i="4"/>
  <c r="B8" i="4"/>
  <c r="H207" i="3"/>
  <c r="H206" i="3"/>
  <c r="H205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 s="1"/>
  <c r="H82" i="3"/>
  <c r="H81" i="3"/>
  <c r="H80" i="3"/>
  <c r="H79" i="3"/>
  <c r="H78" i="3"/>
  <c r="H77" i="3"/>
  <c r="H76" i="3"/>
  <c r="H75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34" i="3" s="1"/>
  <c r="H41" i="3"/>
  <c r="H40" i="3"/>
  <c r="H39" i="3"/>
  <c r="H38" i="3"/>
  <c r="H37" i="3"/>
  <c r="H36" i="3"/>
  <c r="H35" i="3"/>
  <c r="H32" i="3"/>
  <c r="F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F10" i="3"/>
  <c r="H26" i="2"/>
  <c r="H25" i="2"/>
  <c r="G25" i="2"/>
  <c r="G26" i="2" s="1"/>
  <c r="J24" i="2"/>
  <c r="F24" i="2"/>
  <c r="F23" i="2"/>
  <c r="J23" i="2" s="1"/>
  <c r="J22" i="2"/>
  <c r="G22" i="2"/>
  <c r="J21" i="2"/>
  <c r="F21" i="2"/>
  <c r="F25" i="2" s="1"/>
  <c r="G16" i="2"/>
  <c r="H15" i="2"/>
  <c r="D19" i="1" s="1"/>
  <c r="G15" i="2"/>
  <c r="G14" i="2"/>
  <c r="J14" i="2" s="1"/>
  <c r="F13" i="2"/>
  <c r="J13" i="2" s="1"/>
  <c r="F12" i="2"/>
  <c r="F15" i="2" s="1"/>
  <c r="B7" i="2"/>
  <c r="E22" i="1"/>
  <c r="E19" i="1"/>
  <c r="D8" i="1"/>
  <c r="B7" i="1"/>
  <c r="B7" i="4" s="1"/>
  <c r="G203" i="5" l="1"/>
  <c r="H96" i="5"/>
  <c r="H92" i="5"/>
  <c r="C16" i="4"/>
  <c r="H202" i="5"/>
  <c r="H203" i="5" s="1"/>
  <c r="C12" i="4"/>
  <c r="D18" i="1"/>
  <c r="F16" i="2"/>
  <c r="I15" i="2"/>
  <c r="D21" i="1" s="1"/>
  <c r="H91" i="5"/>
  <c r="F26" i="2"/>
  <c r="E18" i="1"/>
  <c r="I25" i="2"/>
  <c r="J25" i="2" s="1"/>
  <c r="H88" i="5"/>
  <c r="J12" i="2"/>
  <c r="F18" i="5"/>
  <c r="I18" i="5" s="1"/>
  <c r="J18" i="5" s="1"/>
  <c r="C15" i="4" s="1"/>
  <c r="J68" i="5"/>
  <c r="C13" i="4" s="1"/>
  <c r="H78" i="5"/>
  <c r="H82" i="5"/>
  <c r="H93" i="5"/>
  <c r="H94" i="5"/>
  <c r="J202" i="5"/>
  <c r="C17" i="4" s="1"/>
  <c r="G39" i="5"/>
  <c r="H79" i="5"/>
  <c r="H95" i="5"/>
  <c r="G13" i="5"/>
  <c r="H16" i="2"/>
  <c r="H80" i="5"/>
  <c r="B6" i="2"/>
  <c r="G68" i="5"/>
  <c r="H86" i="5"/>
  <c r="A6" i="6"/>
  <c r="A5" i="3"/>
  <c r="H81" i="5"/>
  <c r="H87" i="5"/>
  <c r="G16" i="5" l="1"/>
  <c r="H13" i="5"/>
  <c r="E13" i="5"/>
  <c r="C18" i="4"/>
  <c r="I16" i="2"/>
  <c r="J16" i="2" s="1"/>
  <c r="D23" i="1" s="1"/>
  <c r="D24" i="1" s="1"/>
  <c r="D17" i="1"/>
  <c r="J15" i="2"/>
  <c r="H199" i="5"/>
  <c r="H190" i="5"/>
  <c r="H183" i="5"/>
  <c r="H174" i="5"/>
  <c r="H167" i="5"/>
  <c r="H158" i="5"/>
  <c r="H151" i="5"/>
  <c r="H142" i="5"/>
  <c r="H135" i="5"/>
  <c r="H126" i="5"/>
  <c r="H119" i="5"/>
  <c r="H110" i="5"/>
  <c r="H108" i="5"/>
  <c r="H101" i="5"/>
  <c r="H90" i="5"/>
  <c r="H201" i="5"/>
  <c r="H192" i="5"/>
  <c r="H185" i="5"/>
  <c r="H176" i="5"/>
  <c r="H169" i="5"/>
  <c r="H160" i="5"/>
  <c r="H153" i="5"/>
  <c r="H144" i="5"/>
  <c r="H137" i="5"/>
  <c r="H128" i="5"/>
  <c r="H121" i="5"/>
  <c r="H112" i="5"/>
  <c r="H103" i="5"/>
  <c r="H117" i="5"/>
  <c r="H194" i="5"/>
  <c r="H187" i="5"/>
  <c r="H178" i="5"/>
  <c r="H171" i="5"/>
  <c r="H162" i="5"/>
  <c r="H155" i="5"/>
  <c r="H146" i="5"/>
  <c r="H139" i="5"/>
  <c r="H130" i="5"/>
  <c r="H123" i="5"/>
  <c r="H114" i="5"/>
  <c r="H105" i="5"/>
  <c r="H172" i="5"/>
  <c r="H140" i="5"/>
  <c r="H133" i="5"/>
  <c r="H124" i="5"/>
  <c r="H196" i="5"/>
  <c r="H189" i="5"/>
  <c r="H180" i="5"/>
  <c r="H173" i="5"/>
  <c r="H164" i="5"/>
  <c r="H157" i="5"/>
  <c r="H148" i="5"/>
  <c r="H141" i="5"/>
  <c r="H132" i="5"/>
  <c r="H125" i="5"/>
  <c r="H116" i="5"/>
  <c r="H109" i="5"/>
  <c r="H107" i="5"/>
  <c r="H98" i="5"/>
  <c r="H89" i="5"/>
  <c r="H83" i="5"/>
  <c r="H188" i="5"/>
  <c r="H181" i="5"/>
  <c r="H165" i="5"/>
  <c r="H149" i="5"/>
  <c r="H198" i="5"/>
  <c r="H191" i="5"/>
  <c r="H182" i="5"/>
  <c r="H175" i="5"/>
  <c r="H166" i="5"/>
  <c r="H159" i="5"/>
  <c r="H150" i="5"/>
  <c r="H143" i="5"/>
  <c r="H134" i="5"/>
  <c r="H127" i="5"/>
  <c r="H118" i="5"/>
  <c r="H111" i="5"/>
  <c r="H100" i="5"/>
  <c r="H197" i="5"/>
  <c r="H106" i="5"/>
  <c r="H200" i="5"/>
  <c r="H193" i="5"/>
  <c r="H184" i="5"/>
  <c r="H177" i="5"/>
  <c r="H168" i="5"/>
  <c r="H161" i="5"/>
  <c r="H152" i="5"/>
  <c r="H145" i="5"/>
  <c r="H136" i="5"/>
  <c r="H129" i="5"/>
  <c r="H120" i="5"/>
  <c r="H113" i="5"/>
  <c r="H102" i="5"/>
  <c r="H156" i="5"/>
  <c r="H99" i="5"/>
  <c r="H84" i="5"/>
  <c r="H195" i="5"/>
  <c r="H186" i="5"/>
  <c r="H179" i="5"/>
  <c r="H170" i="5"/>
  <c r="H163" i="5"/>
  <c r="H154" i="5"/>
  <c r="H147" i="5"/>
  <c r="H138" i="5"/>
  <c r="H131" i="5"/>
  <c r="H122" i="5"/>
  <c r="H115" i="5"/>
  <c r="H104" i="5"/>
  <c r="H97" i="5"/>
  <c r="I26" i="2"/>
  <c r="J26" i="2" s="1"/>
  <c r="J203" i="5"/>
  <c r="H68" i="5"/>
  <c r="J69" i="5"/>
  <c r="C14" i="4"/>
  <c r="G69" i="5"/>
  <c r="E21" i="1"/>
  <c r="E17" i="1"/>
  <c r="E23" i="1" s="1"/>
  <c r="E24" i="1" s="1"/>
  <c r="H85" i="5"/>
  <c r="H36" i="5" l="1"/>
  <c r="H34" i="5"/>
  <c r="H31" i="5"/>
  <c r="H29" i="5"/>
  <c r="H22" i="5"/>
  <c r="H56" i="5"/>
  <c r="H40" i="5"/>
  <c r="H58" i="5"/>
  <c r="H42" i="5"/>
  <c r="H54" i="5"/>
  <c r="H60" i="5"/>
  <c r="H44" i="5"/>
  <c r="H28" i="5"/>
  <c r="H62" i="5"/>
  <c r="H46" i="5"/>
  <c r="H64" i="5"/>
  <c r="H48" i="5"/>
  <c r="H25" i="5"/>
  <c r="H66" i="5"/>
  <c r="H50" i="5"/>
  <c r="H52" i="5"/>
  <c r="H37" i="5"/>
  <c r="H61" i="5"/>
  <c r="H27" i="5"/>
  <c r="H32" i="5"/>
  <c r="H38" i="5"/>
  <c r="H30" i="5"/>
  <c r="H26" i="5"/>
  <c r="H47" i="5"/>
  <c r="H45" i="5"/>
  <c r="H24" i="5"/>
  <c r="H21" i="5"/>
  <c r="H23" i="5"/>
  <c r="H43" i="5"/>
  <c r="H41" i="5"/>
  <c r="H55" i="5"/>
  <c r="H35" i="5"/>
  <c r="H49" i="5"/>
  <c r="H63" i="5"/>
  <c r="H59" i="5"/>
  <c r="H57" i="5"/>
  <c r="H51" i="5"/>
  <c r="H65" i="5"/>
  <c r="H67" i="5"/>
  <c r="H33" i="5"/>
  <c r="H53" i="5"/>
  <c r="H39" i="5"/>
  <c r="E16" i="5"/>
  <c r="J13" i="5"/>
  <c r="J16" i="5" s="1"/>
  <c r="G207" i="5"/>
  <c r="G208" i="5" s="1"/>
  <c r="G209" i="5" s="1"/>
  <c r="E206" i="5"/>
  <c r="E205" i="5"/>
  <c r="H15" i="5"/>
  <c r="G204" i="5"/>
  <c r="H14" i="5"/>
  <c r="J204" i="5" l="1"/>
  <c r="C11" i="4"/>
  <c r="J206" i="5"/>
  <c r="C21" i="4"/>
  <c r="C20" i="4" s="1"/>
  <c r="C23" i="4"/>
  <c r="C22" i="4" s="1"/>
  <c r="J205" i="5"/>
  <c r="J207" i="5" s="1"/>
  <c r="J208" i="5" s="1"/>
  <c r="J209" i="5" s="1"/>
  <c r="C19" i="4" l="1"/>
  <c r="C24" i="4" s="1"/>
  <c r="C27" i="4" l="1"/>
  <c r="C29" i="4"/>
  <c r="C30" i="4" s="1"/>
  <c r="D24" i="4"/>
  <c r="D12" i="4"/>
  <c r="D15" i="4"/>
  <c r="D13" i="4"/>
  <c r="D17" i="4"/>
  <c r="D16" i="4"/>
  <c r="D14" i="4"/>
  <c r="D18" i="4"/>
  <c r="D11" i="4"/>
  <c r="D20" i="4"/>
  <c r="D22" i="4"/>
  <c r="C37" i="4" l="1"/>
  <c r="C36" i="4"/>
  <c r="C38" i="4"/>
  <c r="C39" i="4" l="1"/>
  <c r="C40" i="4" l="1"/>
  <c r="C41" i="4" l="1"/>
  <c r="D11" i="7" s="1"/>
  <c r="E34" i="4"/>
  <c r="E33" i="4"/>
  <c r="E32" i="4"/>
  <c r="E31" i="4"/>
  <c r="E40" i="4"/>
  <c r="E35" i="4"/>
  <c r="E26" i="4"/>
  <c r="E25" i="4"/>
  <c r="E13" i="4"/>
  <c r="E15" i="4"/>
  <c r="E17" i="4"/>
  <c r="E16" i="4"/>
  <c r="E12" i="4"/>
  <c r="E18" i="4"/>
  <c r="E14" i="4"/>
  <c r="E11" i="4"/>
  <c r="E22" i="4"/>
  <c r="E20" i="4"/>
  <c r="E24" i="4"/>
  <c r="E29" i="4"/>
  <c r="E30" i="4"/>
  <c r="E27" i="4"/>
  <c r="E38" i="4"/>
  <c r="E37" i="4"/>
  <c r="E36" i="4"/>
  <c r="E39" i="4"/>
</calcChain>
</file>

<file path=xl/sharedStrings.xml><?xml version="1.0" encoding="utf-8"?>
<sst xmlns="http://schemas.openxmlformats.org/spreadsheetml/2006/main" count="1448" uniqueCount="590">
  <si>
    <t>Приложение № 1</t>
  </si>
  <si>
    <t>Сравнительная таблица отбора объекта-представителя</t>
  </si>
  <si>
    <t xml:space="preserve">Сопоставимый уровень цен: </t>
  </si>
  <si>
    <t>Единица измерения  — 1 тн опор</t>
  </si>
  <si>
    <t>№ п/п</t>
  </si>
  <si>
    <t>Параметр</t>
  </si>
  <si>
    <t>Объект-представитель 1</t>
  </si>
  <si>
    <t>Объект-представитель 2</t>
  </si>
  <si>
    <t>Объект-представитель 3</t>
  </si>
  <si>
    <t>Наименование объекта-представителя</t>
  </si>
  <si>
    <t>Реконструкция ВЛ 220 кВ Пеледуй - Сухой Лог №1(№2) с образованием ВЛ 220 кВ Пеледуй - Чертово Корыто и ВЛ 220 кВ Сухой Лог - Чертово Корыто (для ТП энергопринимающих устройств АО "Тонода")</t>
  </si>
  <si>
    <t>Строительство ПП 220 кВ Нюя с заходами ВЛ 220 кВ Городская – Пеледуй с отпайкой на ПС НПС-11 в РУ 220 кВ ПП 220 кВ Нюя ориентировочной протяженностью 4 км (4*1 км), строительство двухцепной ВЛ 220 кВ Нюя – Чаянда ориентировочной протяженностью 149 км (2*74,5), строительство ПС 220 кВ Чаянда трансформаторной мощностью 126 МВА (2*63 МВА)</t>
  </si>
  <si>
    <t>Наименование субъекта Российской Федерации</t>
  </si>
  <si>
    <t>Иркутская область</t>
  </si>
  <si>
    <t>Республика Саха</t>
  </si>
  <si>
    <t>Климатический район и подрайон</t>
  </si>
  <si>
    <t>IД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</si>
  <si>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</si>
  <si>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</si>
  <si>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Ф3-А - 14 шт.
Ф5-А - 8 шт.
ФС1-А - 24 шт.
ФС2-А - 14 шт.
ФПС5-А - 6 шт.
ФСП1-А - 2 шт.
ФС1-4 - 172 шт.
Р1-А - 32 шт.
Линейная арматура</t>
  </si>
  <si>
    <t>Железобетон сборный/монолит - 2753,24 
Фундамент ФП6н-4 - 356 шт;
Фундамент ФС1н-4 - 88 шт;
Фундамент ФС2н-4 - 152 шт;
Фундамент Ф4н-А - 56 шт;
Фундамент Ф5н-А - 120 шт;
Фундамент ФП5н-А - 240 шт;
Линейная арматура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</si>
  <si>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</si>
  <si>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</si>
  <si>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</si>
  <si>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</si>
  <si>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</si>
  <si>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</si>
  <si>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</si>
  <si>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</si>
  <si>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</si>
  <si>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</si>
  <si>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2 кв. 2021г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</si>
  <si>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</si>
  <si>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</si>
  <si>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</si>
  <si>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Выбран объектом-представителем с учетом минимальной удельной стоимости </t>
  </si>
  <si>
    <t>Составил ______________________        Е.А. Князева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</si>
  <si>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</si>
  <si>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</si>
  <si>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</si>
  <si>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</si>
  <si>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</si>
  <si>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</si>
  <si>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</si>
  <si>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</si>
  <si>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2020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</si>
  <si>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</si>
  <si>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</si>
  <si>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</si>
  <si>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</si>
  <si>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</si>
  <si>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Монтаж провода</t>
  </si>
  <si>
    <t>02-01-01</t>
  </si>
  <si>
    <t>Устройство фундаментов</t>
  </si>
  <si>
    <t>02-01-02</t>
  </si>
  <si>
    <t>Конструктивно-строительные решения</t>
  </si>
  <si>
    <t>Монтаж проводов</t>
  </si>
  <si>
    <t>02-01-03</t>
  </si>
  <si>
    <t>Линейная часть ВОЛС</t>
  </si>
  <si>
    <t>Всего по объекту:</t>
  </si>
  <si>
    <t>Всего по объекту в сопоставимом уровне цен 2 кв. 2021г:</t>
  </si>
  <si>
    <t>Сметная стоимость в уровне цен 2 кв. 2021 г., тыс. руб.</t>
  </si>
  <si>
    <t>02-06-01</t>
  </si>
  <si>
    <t>Заземление</t>
  </si>
  <si>
    <t>02-06-02</t>
  </si>
  <si>
    <t>Установка опор и заземление</t>
  </si>
  <si>
    <t>02-06-03</t>
  </si>
  <si>
    <t>Монтаж провода и троса</t>
  </si>
  <si>
    <t>Подвеска тросов</t>
  </si>
  <si>
    <t>05-11-01</t>
  </si>
  <si>
    <t>Монтаж ВОЛС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</si>
  <si>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</si>
  <si>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</si>
  <si>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</si>
  <si>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</si>
  <si>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</si>
  <si>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</si>
  <si>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</si>
  <si>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</si>
  <si>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</si>
  <si>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</si>
  <si>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</si>
  <si>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</si>
  <si>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</si>
  <si>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1-0020</t>
  </si>
  <si>
    <t>Рабочий среднего разряда 2,0</t>
  </si>
  <si>
    <t>чел.-ч</t>
  </si>
  <si>
    <t>1-0015</t>
  </si>
  <si>
    <t>Рабочий среднего разряда 1,5</t>
  </si>
  <si>
    <t>1-0035</t>
  </si>
  <si>
    <t>Рабочий среднего разряда 3,5</t>
  </si>
  <si>
    <t>1-0038</t>
  </si>
  <si>
    <t>Рабочий среднего разряда 3,8</t>
  </si>
  <si>
    <t>1-0030</t>
  </si>
  <si>
    <t>Рабочий среднего разряда 3,0</t>
  </si>
  <si>
    <t>1-0040</t>
  </si>
  <si>
    <t>Рабочий среднего разряда 4,0</t>
  </si>
  <si>
    <t>1-0043</t>
  </si>
  <si>
    <t>Рабочий среднего разряда 4,3</t>
  </si>
  <si>
    <t>1-0039</t>
  </si>
  <si>
    <t>Рабочий среднего разряда 3,9</t>
  </si>
  <si>
    <t>1-0029</t>
  </si>
  <si>
    <t>Рабочий среднего разряда 2,9</t>
  </si>
  <si>
    <t>1-0026</t>
  </si>
  <si>
    <t>Рабочий среднего разряда 2,6</t>
  </si>
  <si>
    <t>1-0010</t>
  </si>
  <si>
    <t>Рабочий среднего разряда 1,0</t>
  </si>
  <si>
    <t>1-0022</t>
  </si>
  <si>
    <t>Рабочий среднего разряда 2,2</t>
  </si>
  <si>
    <t>1-0027</t>
  </si>
  <si>
    <t>Рабочий среднего разряда 2,7</t>
  </si>
  <si>
    <t>1-0037</t>
  </si>
  <si>
    <t>Рабочий среднего разряда 3,7</t>
  </si>
  <si>
    <t>1-0060</t>
  </si>
  <si>
    <t>Рабочий среднего разряда 6,0</t>
  </si>
  <si>
    <t>1-0033</t>
  </si>
  <si>
    <t>Рабочий среднего разряда 3,3</t>
  </si>
  <si>
    <t>1-0042</t>
  </si>
  <si>
    <t>Рабочий среднего разряда 4,2</t>
  </si>
  <si>
    <t>2-0006</t>
  </si>
  <si>
    <t>Рабочий 6 разряда</t>
  </si>
  <si>
    <t>1-0073</t>
  </si>
  <si>
    <t>Рабочий среднего разряда 7,3</t>
  </si>
  <si>
    <t>2-0011</t>
  </si>
  <si>
    <t>Инженер I категории</t>
  </si>
  <si>
    <t>2-2001</t>
  </si>
  <si>
    <t>Ведущий инженер</t>
  </si>
  <si>
    <t>Затраты труда машинистов</t>
  </si>
  <si>
    <t>Машины и механизмы</t>
  </si>
  <si>
    <t>91.06.06-015</t>
  </si>
  <si>
    <t>Автогидроподъемники, высота подъема свыше 35 м</t>
  </si>
  <si>
    <t>маш.-ч.</t>
  </si>
  <si>
    <t>91.06.06-014</t>
  </si>
  <si>
    <t>Автогидроподъемники, высота подъема 28 м</t>
  </si>
  <si>
    <t>91.06.06-042</t>
  </si>
  <si>
    <t>Подъемники гидравлические, высота подъема 10 м</t>
  </si>
  <si>
    <t>91.01.01-036</t>
  </si>
  <si>
    <t>Бульдозеры, мощность 96 кВт (130 л.с.)</t>
  </si>
  <si>
    <t>91.01.01-035</t>
  </si>
  <si>
    <t>Бульдозеры, мощность 79 кВт (108 л.с.)</t>
  </si>
  <si>
    <t>91.01.01-038</t>
  </si>
  <si>
    <t>Бульдозеры, мощность 121 кВт (165 л.с.)</t>
  </si>
  <si>
    <t>91.01.05-086</t>
  </si>
  <si>
    <t>Экскаваторы одноковшовые дизельные на гусеничном ходу, емкость ковша 0,65 м3</t>
  </si>
  <si>
    <t>91.05.05-016</t>
  </si>
  <si>
    <t>Краны на автомобильном ходу, грузоподъемность 25 т</t>
  </si>
  <si>
    <t>91.05.05-015</t>
  </si>
  <si>
    <t>Краны на автомобильном ходу, грузоподъемность 16 т</t>
  </si>
  <si>
    <t>91.02.03-001</t>
  </si>
  <si>
    <t>Гидромолоты на базе экскаватора</t>
  </si>
  <si>
    <t>91.11.02-021</t>
  </si>
  <si>
    <t>Комплексы для монтажа проводов методом "под тяжением"</t>
  </si>
  <si>
    <t>91.15.02-029</t>
  </si>
  <si>
    <t>Тракторы на гусеничном ходу с лебедкой 132 кВт (180 л.с.)</t>
  </si>
  <si>
    <t>91.15.02-024</t>
  </si>
  <si>
    <t>Тракторы на гусеничном ходу, мощность 79 кВт (108 л.с.)</t>
  </si>
  <si>
    <t>91.19.08-004</t>
  </si>
  <si>
    <t>Насосы, мощность 4 кВт</t>
  </si>
  <si>
    <t>Итого основные машины и механизмы</t>
  </si>
  <si>
    <t>91.13.01-038</t>
  </si>
  <si>
    <t>Машины поливомоечные 6000 л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</si>
  <si>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</si>
  <si>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</si>
  <si>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91.13.03-111</t>
  </si>
  <si>
    <t>Спецавтомобили-вездеходы, грузоподъемность до 8 т</t>
  </si>
  <si>
    <t>91.05.08-007</t>
  </si>
  <si>
    <t>Краны на пневмоколесном ходу, грузоподъемность 25 т</t>
  </si>
  <si>
    <t>91.05.14-025</t>
  </si>
  <si>
    <t>Краны переносные 1 т</t>
  </si>
  <si>
    <t>91.14.04-002</t>
  </si>
  <si>
    <t>Тягачи седельные, грузоподъемность 15 т</t>
  </si>
  <si>
    <t>91.01.04-003</t>
  </si>
  <si>
    <t>Установки однобаровые на тракторе, мощность 79 кВт (108 л.с.), ширина щели 14 см</t>
  </si>
  <si>
    <t>91.05.14-001</t>
  </si>
  <si>
    <t>Краны-укосины, грузоподъемность 5 т</t>
  </si>
  <si>
    <t>91.17.04-036</t>
  </si>
  <si>
    <t>Агрегаты сварочные передвижные с дизельным двигателем, номинальный сварочный ток 250-400 А</t>
  </si>
  <si>
    <t>91.14.05-012</t>
  </si>
  <si>
    <t>Полуприцепы общего назначения, грузоподъемность 15 т</t>
  </si>
  <si>
    <t>91.14.02-001</t>
  </si>
  <si>
    <t>Автомобили бортовые, грузоподъемность до 5 т</t>
  </si>
  <si>
    <t>91.06.05-057</t>
  </si>
  <si>
    <t>Погрузчики одноковшовые универсальные фронтальные пневмоколесные, грузоподъемность 3 т</t>
  </si>
  <si>
    <t>91.04.01-021</t>
  </si>
  <si>
    <t>Комплекты оборудования шнекового бурения на базе автомобиля глубина бурения до 50 м, грузоподъемность мачты 3,7 т</t>
  </si>
  <si>
    <t>91.21.10-003</t>
  </si>
  <si>
    <t>Молотки при работе от передвижных компрессорных станций отбойные пневматические</t>
  </si>
  <si>
    <t>91.21.10-002</t>
  </si>
  <si>
    <t>Молотки отбойные пневматические при работе от передвижных компрессоров</t>
  </si>
  <si>
    <t>91.08.09-024</t>
  </si>
  <si>
    <t>Трамбовки пневматические при работе от стационарного компрессора</t>
  </si>
  <si>
    <t>91.04.01-032</t>
  </si>
  <si>
    <t>Машины бурильно-крановые глубина бурения 1,5-3 м, мощность 66 кВт (90 л.с.)</t>
  </si>
  <si>
    <t>91.14.02-003</t>
  </si>
  <si>
    <t>Автомобили бортовые, грузоподъемность до 10 т</t>
  </si>
  <si>
    <t>91.17.04-233</t>
  </si>
  <si>
    <t>Установки для сварки ручной дуговой (постоянного тока)</t>
  </si>
  <si>
    <t>91.21.22-341</t>
  </si>
  <si>
    <t>Рефлектометры</t>
  </si>
  <si>
    <t>91.21.16-012</t>
  </si>
  <si>
    <t>Прессы гидравлические с электроприводом</t>
  </si>
  <si>
    <t>91.17.04-194</t>
  </si>
  <si>
    <t>Аппараты сварочные для сварки оптических кабелей со скалывателем</t>
  </si>
  <si>
    <t>91.08.09-023</t>
  </si>
  <si>
    <t>Трамбовки пневматические при работе от передвижных компрессорных станций</t>
  </si>
  <si>
    <t>91.08.04-021</t>
  </si>
  <si>
    <t>Котлы битумные передвижные 400 л</t>
  </si>
  <si>
    <t>91.06.03-058</t>
  </si>
  <si>
    <t>Лебедки электрические тяговым усилием 156,96 кН (16 т)</t>
  </si>
  <si>
    <t>91.14.02-002</t>
  </si>
  <si>
    <t>Автомобили бортовые, грузоподъемность до 8 т</t>
  </si>
  <si>
    <t>91.06.01-003</t>
  </si>
  <si>
    <t>Домкраты гидравлические, грузоподъемность 63-100 т</t>
  </si>
  <si>
    <t>91.12.06-012</t>
  </si>
  <si>
    <t>Рыхлители прицепные (без трактора)</t>
  </si>
  <si>
    <t>Материалы</t>
  </si>
  <si>
    <t>22.2.01.03-0002</t>
  </si>
  <si>
    <t>Изолятор подвесной стеклянный ПСВ-160А</t>
  </si>
  <si>
    <t>шт</t>
  </si>
  <si>
    <t>22.2.01.03-0001</t>
  </si>
  <si>
    <t>Изолятор подвесной стеклянный ПСВ-120Б</t>
  </si>
  <si>
    <t>Прайс из СД ОП</t>
  </si>
  <si>
    <t>Фундамент ФП6н-4       В35 W10 F400 с гидроизоляцией вес 6,725т</t>
  </si>
  <si>
    <t>м3</t>
  </si>
  <si>
    <t>02.2.04.03-0003</t>
  </si>
  <si>
    <t>Смесь песчано-гравийная природная</t>
  </si>
  <si>
    <t>07.2.01.04-0082</t>
  </si>
  <si>
    <t>Траверса из продольных и поперечных балок, подвесных устройств и сцепов, стали С 255</t>
  </si>
  <si>
    <t>т</t>
  </si>
  <si>
    <t xml:space="preserve">Фундамент ФПС5-А </t>
  </si>
  <si>
    <t>20.1.01.12-0020</t>
  </si>
  <si>
    <t>Зажим поддерживающий глухой ПГН-5-12</t>
  </si>
  <si>
    <t>20.1.01.12-0015</t>
  </si>
  <si>
    <t>Зажим поддерживающий глухой ПГН-3-5</t>
  </si>
  <si>
    <t>Фундамент Ф6-А</t>
  </si>
  <si>
    <t xml:space="preserve">Фундамент Ф5н-А </t>
  </si>
  <si>
    <t>20.5.04.04-0039</t>
  </si>
  <si>
    <t>Зажим натяжной прессуемый НАСУС-500-1</t>
  </si>
  <si>
    <t>Фундамент Ф6-АМ</t>
  </si>
  <si>
    <t>22.2.02.01-0062</t>
  </si>
  <si>
    <t>Гаситель вибрации ОГК-7-13</t>
  </si>
  <si>
    <t>22.2.02.01-0028</t>
  </si>
  <si>
    <t>Гаситель вибрации ГВУ-2,4-3,2</t>
  </si>
  <si>
    <t>Фундамент Ф4н-А       В35 W10 F400 с гидроизоляцией вес 5.0т</t>
  </si>
  <si>
    <t>Итого основные материалы</t>
  </si>
  <si>
    <t>Зажим шлейфовый для провода АСку 240/32 ШАСку-240/39-1</t>
  </si>
  <si>
    <t>Рог индикатор РИ-3</t>
  </si>
  <si>
    <t>Зажим соединительный прессуемый для провода АСку 240/32 САСку-240/32-1</t>
  </si>
  <si>
    <t>22.2.02.04-0040</t>
  </si>
  <si>
    <t>Звено промежуточное регулируемое ПРР-21-1</t>
  </si>
  <si>
    <t>20.1.02.22-0022</t>
  </si>
  <si>
    <t>Ушко: У2-21-20</t>
  </si>
  <si>
    <t>02.2.05.04-1782</t>
  </si>
  <si>
    <t>Щебень М 1000, фракция 20-40 мм, группа 2</t>
  </si>
  <si>
    <t>08.4.03.02-0006</t>
  </si>
  <si>
    <t>Сталь арматурная, горячекатаная, гладкая, класс А-I, диаметр 16-18 мм</t>
  </si>
  <si>
    <t>20.1.02.21-0037</t>
  </si>
  <si>
    <t>Узел крепления КГН-16-5</t>
  </si>
  <si>
    <t>01.7.15.10-0035</t>
  </si>
  <si>
    <t>Скобы СК-21-1А</t>
  </si>
  <si>
    <t>22.2.02.04-0014</t>
  </si>
  <si>
    <t>Звено промежуточное монтажное ПТМ-21-2</t>
  </si>
  <si>
    <t>Гаситель вибрации спиральный для ОКСН 130-РАЕ-14,33/19,30</t>
  </si>
  <si>
    <t>Ограничитель гололедообразования с интегрированным защитным протектором для грозотроса ОГК-1,7/1,3-11-16/20-П(11,2)</t>
  </si>
  <si>
    <t>Фундамент Ф3н-А</t>
  </si>
  <si>
    <t>Узел крепления КГН-25-5</t>
  </si>
  <si>
    <t>20.1.02.21-0048</t>
  </si>
  <si>
    <t>Узел крепления КГП-16-1</t>
  </si>
  <si>
    <t>Изолятор стеклянный подвесной ПСВ70А Р</t>
  </si>
  <si>
    <t>Гаситель вибрации спиральный для ОКГТ 130-РАЕ-8,31/11,72</t>
  </si>
  <si>
    <t>Барабан шлейфовый для крепления муфты и технологического запаса ВОК БШ-1-02.ОЗМ</t>
  </si>
  <si>
    <t>Изолятор стеклянный подвесной ПС70СС Р</t>
  </si>
  <si>
    <t>Звено промежуточное трехлапчатое ПРТ-21/30-2</t>
  </si>
  <si>
    <t>Оптическая муфта МОПГ-М</t>
  </si>
  <si>
    <t>22.2.02.04-0050</t>
  </si>
  <si>
    <t>Звено промежуточное трехлапчатое ПРТ-16/12-2</t>
  </si>
  <si>
    <t>Зажим натяжной спиральный (с коушем К-160) НСО-11,2/12,5П-21(45)</t>
  </si>
  <si>
    <t>22.2.02.04-0052</t>
  </si>
  <si>
    <t>Звено промежуточное трехлапчатое ПРТ-21-1</t>
  </si>
  <si>
    <t>22.2.02.04-0028</t>
  </si>
  <si>
    <t>Звено промежуточное ПТР-21-1</t>
  </si>
  <si>
    <t>Ограничель короны спиральный ОКС-15/25, длина 365/120мм</t>
  </si>
  <si>
    <t>22.2.02.04-0008</t>
  </si>
  <si>
    <t>Звено промежуточное монтажное ПТМ-12-2</t>
  </si>
  <si>
    <t>20.1.02.22-0010</t>
  </si>
  <si>
    <t>Ушко: специальное укороченное УСК-21-20</t>
  </si>
  <si>
    <t>Зажим поддерживающий спиральный (ЛТ-18) с защитным протектором ПСО-11,2/12,5П-33</t>
  </si>
  <si>
    <t>01.7.15.03-0042</t>
  </si>
  <si>
    <t>Болты с гайками и шайбами строительные</t>
  </si>
  <si>
    <t>кг</t>
  </si>
  <si>
    <t>20.1.02.14-1008</t>
  </si>
  <si>
    <t>Серьга СР-21-20</t>
  </si>
  <si>
    <t>Изолятор стеклянный  ПС160М Р</t>
  </si>
  <si>
    <t>Зажим натяжной спиральный ЗНС-Д-14,0-14,9П/40(К-70)</t>
  </si>
  <si>
    <t>01.7.03.01-0001</t>
  </si>
  <si>
    <t>Вода</t>
  </si>
  <si>
    <t>Зажим шлейфовый для крепления ОКГТ к телу опоры СШ.ОКГТм</t>
  </si>
  <si>
    <t>Зажим ремонтный для провода АСку 240/32 РАСку-240/56-1</t>
  </si>
  <si>
    <t>Зажим поддерживающий спиральный (лодочка Л-3) ЗПС-Мл-14,0-14,9П/16(Л-3)</t>
  </si>
  <si>
    <t>Зажим шлейфовый для крепления ОКСН к телу опоры СШ.ОКСНм</t>
  </si>
  <si>
    <t>Скобы СК-45-1А</t>
  </si>
  <si>
    <t>Коромысло универсальное 2КУ-45-1</t>
  </si>
  <si>
    <t>08.3.07.01-0076</t>
  </si>
  <si>
    <t>Прокат полосовой, горячекатаный, марка стали Ст3сп, ширина 50-200 мм, толщина 4-5 мм</t>
  </si>
  <si>
    <t>22.2.02.04-0039</t>
  </si>
  <si>
    <t>Звено промежуточное регулируемое ПРР-16-1А</t>
  </si>
  <si>
    <t>01.7.11.07-0032</t>
  </si>
  <si>
    <t>Электроды сварочные Э42, диаметр 4 мм</t>
  </si>
  <si>
    <t>02.3.01.02-0003</t>
  </si>
  <si>
    <t>Песок для строительных работ природный 50%; обогащенный 50%</t>
  </si>
  <si>
    <t>20.1.02.22-0006</t>
  </si>
  <si>
    <t>Ушко однолапчатое У1-12-16</t>
  </si>
  <si>
    <t>Звено промежуточное ПР-16-6В</t>
  </si>
  <si>
    <t>14.5.09.09-0001</t>
  </si>
  <si>
    <t>Сольвент каменноугольный технический, марка А</t>
  </si>
  <si>
    <t>Скобы СК-25-1А</t>
  </si>
  <si>
    <t>08.4.03.02-0004</t>
  </si>
  <si>
    <t>Сталь арматурная, горячекатаная, гладкая, класс А-I, диаметр 12 мм</t>
  </si>
  <si>
    <t>22.2.02.04-0020</t>
  </si>
  <si>
    <t>Звено промежуточное прямое двойное 2ПР-21-1</t>
  </si>
  <si>
    <t>14.4.02.09-0001</t>
  </si>
  <si>
    <t>Краска</t>
  </si>
  <si>
    <t>Звено промежуточное трехлапчатое ПРТ-25/16-2</t>
  </si>
  <si>
    <t>20.1.02.14-1006</t>
  </si>
  <si>
    <t>Серьга СР-12-16</t>
  </si>
  <si>
    <t>Звено промежуточное трехлапчатое ПРТ-45/30-2</t>
  </si>
  <si>
    <t>Ушко двухлапчатое У2-16-20</t>
  </si>
  <si>
    <t>20.1.01.05-0024</t>
  </si>
  <si>
    <t>Зажим заземляющий прессуемый ЗПС-70-3</t>
  </si>
  <si>
    <t>Звено промежуточное трехлапчатое ПРТ-30/21-2</t>
  </si>
  <si>
    <t>01.7.15.10-0034</t>
  </si>
  <si>
    <t>Скобы СК-16-1А</t>
  </si>
  <si>
    <t>"Бипрон 60ВВ" 6м</t>
  </si>
  <si>
    <t>22.2.02.04-0011</t>
  </si>
  <si>
    <t>Звено промежуточное монтажное ПТМ-16-2</t>
  </si>
  <si>
    <t>22.2.02.04-0035</t>
  </si>
  <si>
    <t>Звено промежуточное регулируемое ПРР-7-1</t>
  </si>
  <si>
    <t>11.1.02.01-0031</t>
  </si>
  <si>
    <t>Лесоматериалы лиственных пород для строительства, круглые, длина 3-6,5 м, диаметр 12-24 см</t>
  </si>
  <si>
    <t>20.1.02.21-0038</t>
  </si>
  <si>
    <t>Узел крепления КГП-7-1</t>
  </si>
  <si>
    <t>Оптическая муфта   МТОК</t>
  </si>
  <si>
    <t>20.1.02.22-0005</t>
  </si>
  <si>
    <t>Ушко: однолапчатое У1-7-16</t>
  </si>
  <si>
    <t>22.2.02.04-0046</t>
  </si>
  <si>
    <t>Звено промежуточное трехлапчатое ПРТ-12/7-2</t>
  </si>
  <si>
    <t>22.2.02.04-0004</t>
  </si>
  <si>
    <t>Звено промежуточное вывернутое ПРВ-21-1</t>
  </si>
  <si>
    <t>14.4.02.09-0301</t>
  </si>
  <si>
    <t>Композиция антикоррозионная цинкнаполненная</t>
  </si>
  <si>
    <t>01.3.01.06-0050</t>
  </si>
  <si>
    <t>Смазка универсальная тугоплавкая УТ (консталин жировой)</t>
  </si>
  <si>
    <t>20.1.02.14-1014</t>
  </si>
  <si>
    <t>Серьга СР-7-16</t>
  </si>
  <si>
    <t>20.1.02.14-0005</t>
  </si>
  <si>
    <t>Серьга СР-16-20</t>
  </si>
  <si>
    <t>01.4.01.03-0151</t>
  </si>
  <si>
    <t>Долото шнековые, диаметр 148 мм</t>
  </si>
  <si>
    <t>01.4.01.10-0017</t>
  </si>
  <si>
    <t>Шнек ПБС-65, длина 1300 мм</t>
  </si>
  <si>
    <t>22.2.02.04-0005</t>
  </si>
  <si>
    <t>Звено промежуточное монтажное ПТМ-7-2</t>
  </si>
  <si>
    <t>20.1.02.21-0047</t>
  </si>
  <si>
    <t>Узел крепления КГП-12-1</t>
  </si>
  <si>
    <t>01.7.11.07-0034</t>
  </si>
  <si>
    <t>Электроды сварочные Э42А, диаметр 4 мм</t>
  </si>
  <si>
    <t>22.2.02.04-0021</t>
  </si>
  <si>
    <t>Звено промежуточное прямое ПР-7-6</t>
  </si>
  <si>
    <t>999-9950</t>
  </si>
  <si>
    <t>Вспомогательные ненормируемые материальные ресурсы</t>
  </si>
  <si>
    <t>руб</t>
  </si>
  <si>
    <t>08.3.03.04-0012</t>
  </si>
  <si>
    <t>Проволока светлая, диаметр 1,1 мм</t>
  </si>
  <si>
    <t>01.7.20.08-0031</t>
  </si>
  <si>
    <t>Бязь суровая</t>
  </si>
  <si>
    <t>10 м2</t>
  </si>
  <si>
    <t>11.1.02.04-0031</t>
  </si>
  <si>
    <t>Лесоматериалы круглые, хвойных пород, для строительства, диаметр 14-24 см, длина 3-6,5 м</t>
  </si>
  <si>
    <t>Зажим петлевой ПС-2-1</t>
  </si>
  <si>
    <t>11.1.03.05-0086</t>
  </si>
  <si>
    <t>Доска необрезная, хвойных пород, длина 4-6,5 м, все ширины, толщина 44 мм и более, сорт IV</t>
  </si>
  <si>
    <t>20.1.02.22-0004</t>
  </si>
  <si>
    <t>Ушко: однолапчатое укороченное У1К-7-16</t>
  </si>
  <si>
    <t>20.1.02.22-0002</t>
  </si>
  <si>
    <t>Ушко: двухлапчатое У2-7-16</t>
  </si>
  <si>
    <t>22.2.02.04-0044</t>
  </si>
  <si>
    <t>Звено промежуточное трехлапчатое ПРТ-7/21-2</t>
  </si>
  <si>
    <t>20.2.10.04-0009</t>
  </si>
  <si>
    <t>Наконечники кабельные медные луженные ТМЛ-95</t>
  </si>
  <si>
    <t>100 шт</t>
  </si>
  <si>
    <t>01.3.01.03-0002</t>
  </si>
  <si>
    <t>Керосин для технических целей</t>
  </si>
  <si>
    <t>01.7.15.10-0031</t>
  </si>
  <si>
    <t>Скобы СК-7-1А</t>
  </si>
  <si>
    <t>20.1.02.21-0043</t>
  </si>
  <si>
    <t>Узел крепления КГП-7-3</t>
  </si>
  <si>
    <t>01.3.01.07-0009</t>
  </si>
  <si>
    <t>Спирт этиловый ректификованный технический, сорт I</t>
  </si>
  <si>
    <t>08.3.07.01-0042</t>
  </si>
  <si>
    <t>Сталь полосовая: 40х4 мм, кипящая</t>
  </si>
  <si>
    <t>01.7.15.06-0111</t>
  </si>
  <si>
    <t>Гвозди строительные</t>
  </si>
  <si>
    <t>01.3.01.01-0001</t>
  </si>
  <si>
    <t>Бензин авиационный Б-70</t>
  </si>
  <si>
    <t>25.2.01.01-0001</t>
  </si>
  <si>
    <t>Бирки-оконцеватели</t>
  </si>
  <si>
    <t>01.3.02.09-0022</t>
  </si>
  <si>
    <t>Пропан-бутан смесь техническая</t>
  </si>
  <si>
    <t>02.3.01.02-0016</t>
  </si>
  <si>
    <t>Песок природный для строительных: работ средний с крупностью зерен размером свыше 5 мм - до 5% по массе</t>
  </si>
  <si>
    <t>24.3.01.01-0002</t>
  </si>
  <si>
    <t>Трубка полихлорвиниловая</t>
  </si>
  <si>
    <t>01.7.06.05-0041</t>
  </si>
  <si>
    <t>Лента изоляционная прорезиненная односторонняя, ширина 20 мм, толщина 0,25-0,35 мм</t>
  </si>
  <si>
    <t>01.7.06.04-0003</t>
  </si>
  <si>
    <t>Лента гидроизоляционная для углов и швов</t>
  </si>
  <si>
    <t>м</t>
  </si>
  <si>
    <t>01.7.06.07-0002</t>
  </si>
  <si>
    <t>Лента монтажная, тип ЛМ-5</t>
  </si>
  <si>
    <t>10 м</t>
  </si>
  <si>
    <t>01.3.01.02-0002</t>
  </si>
  <si>
    <t>Вазелин технический</t>
  </si>
  <si>
    <t>01.7.15.03-0039</t>
  </si>
  <si>
    <t>Болты с гайками и шайбами оцинкованные, диаметр 42 мм</t>
  </si>
  <si>
    <t>01.3.01.05-0009</t>
  </si>
  <si>
    <t>Парафин нефтяной твердый Т-1</t>
  </si>
  <si>
    <t>01.7.20.08-0051</t>
  </si>
  <si>
    <t>Ветошь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</si>
  <si>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</si>
  <si>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</si>
  <si>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</si>
  <si>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</si>
  <si>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</si>
  <si>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</si>
  <si>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</si>
  <si>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</si>
  <si>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</si>
  <si>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</si>
  <si>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</si>
  <si>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</si>
  <si>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</si>
  <si>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</si>
  <si>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</si>
  <si>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</si>
  <si>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</si>
  <si>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</si>
  <si>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</si>
  <si>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</si>
  <si>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</si>
  <si>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</si>
  <si>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</si>
  <si>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</si>
  <si>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- 3,3%</t>
  </si>
  <si>
    <t>Дополнительные затраты при производстве строительно-монтажных работ в зимнее время - 1%</t>
  </si>
  <si>
    <t xml:space="preserve">Пусконаладочные работы </t>
  </si>
  <si>
    <t>Затраты по перевозке работников к месту работы и обратно - 0.59%</t>
  </si>
  <si>
    <t>Затраты, связанные с осуществлением работ вахтовым методом - 17.35%</t>
  </si>
  <si>
    <t xml:space="preserve">Расходы на командировки рабочих и пусконаладочного персонала, привлекаемых для выполнения строительства 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</si>
  <si>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 - 5.51%</t>
  </si>
  <si>
    <t>Строительный контроль и содержание службы заказчика - 2.14%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</si>
  <si>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</si>
  <si>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</si>
  <si>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</si>
  <si>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</si>
  <si>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</si>
  <si>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</si>
  <si>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</si>
  <si>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</si>
  <si>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Строительно-монтажные работы ВЛ 0,4-750 кВ без опор и провода. Двухцепная, все типы опор за исключением многогранных 220 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</si>
  <si>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</si>
  <si>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</si>
  <si>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</si>
  <si>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</si>
  <si>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</si>
  <si>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</si>
  <si>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1-2-6</t>
  </si>
  <si>
    <t>Затраты труда рабочих-строителей среднего разряда (2.6)</t>
  </si>
  <si>
    <t>чел.-ч.</t>
  </si>
  <si>
    <t xml:space="preserve"> 10-3-1</t>
  </si>
  <si>
    <t xml:space="preserve"> 10-2-1</t>
  </si>
  <si>
    <t>Итого по разделу "Затраты труда рабочих-строителей"</t>
  </si>
  <si>
    <t>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</si>
  <si>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</si>
  <si>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</si>
  <si>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</si>
  <si>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</si>
  <si>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</si>
  <si>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</si>
  <si>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</si>
  <si>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</si>
  <si>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</si>
  <si>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БЦ.113.37</t>
  </si>
  <si>
    <t>БЦ.113.51</t>
  </si>
  <si>
    <t>БЦ.113.31</t>
  </si>
  <si>
    <t>БЦ.113.38</t>
  </si>
  <si>
    <t>БЦ.113.27</t>
  </si>
  <si>
    <t>БЦ.113.21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</si>
  <si>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</si>
  <si>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</si>
  <si>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</si>
  <si>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</si>
  <si>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</si>
  <si>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</si>
  <si>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</si>
  <si>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</si>
  <si>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1 тн опор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</si>
  <si>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</si>
  <si>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</si>
  <si>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</si>
  <si>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</si>
  <si>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</si>
  <si>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</si>
  <si>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</si>
  <si>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</si>
  <si>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</si>
  <si>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</si>
  <si>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</si>
  <si>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</si>
  <si>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</si>
  <si>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</si>
  <si>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Л2-05-2</t>
  </si>
  <si>
    <t>УНЦ ВЛ 0,4 - 750 кВ на строительно-монтажные работы без опор и провода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</si>
  <si>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</si>
  <si>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</si>
  <si>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</si>
  <si>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</si>
  <si>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</si>
  <si>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</si>
  <si>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01.04.2023г. №17772-ИФ/09 прил.9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</si>
  <si>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</si>
  <si>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</si>
  <si>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</si>
  <si>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</si>
  <si>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</si>
  <si>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п.39.1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</si>
  <si>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</si>
  <si>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п.51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</si>
  <si>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</si>
  <si>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</si>
  <si>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</si>
  <si>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</si>
  <si>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t/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</si>
  <si>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</si>
  <si>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</si>
  <si>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</si>
  <si>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</si>
  <si>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</si>
  <si>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</si>
  <si>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</si>
  <si>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</si>
  <si>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t/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</si>
  <si>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</si>
  <si>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</si>
  <si>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</si>
  <si>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</si>
  <si>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t/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</si>
  <si>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</si>
  <si>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</si>
  <si>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</si>
  <si>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</si>
  <si>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</si>
  <si>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</si>
  <si>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</si>
  <si>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</si>
  <si>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</si>
  <si>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</si>
  <si>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t/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</si>
  <si>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</si>
  <si>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</si>
  <si>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</si>
  <si>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t/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</si>
  <si>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</si>
  <si>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</si>
  <si>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</si>
  <si>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t/>
  </si>
  <si>
    <t/>
  </si>
  <si>
    <t/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</si>
  <si>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</si>
  <si>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/>
  </si>
  <si>
    <t xml:space="preserve">Тарифный коэффициент 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</si>
  <si>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</si>
  <si>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t>1.5.1</t>
  </si>
  <si>
    <t xml:space="preserve"> - Инженер I категории</t>
  </si>
  <si>
    <t>1.5.2</t>
  </si>
  <si>
    <t xml:space="preserve"> - Ведущий инженер</t>
  </si>
  <si>
    <t/>
  </si>
  <si>
    <t/>
  </si>
  <si>
    <t>1.8</t>
  </si>
  <si>
    <t/>
  </si>
  <si>
    <t>Методика расчета индексов изменения сметной стоимости строительства, утвержденной приказом Минстроя России от 05.06.2019 №326/пр, п.32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</si>
</sst>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0.000"/>
  </numFmts>
  <fonts count="17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8"/>
      <color rgb="FF000000"/>
      <name val="Arial"/>
    </font>
    <font>
      <b/>
      <sz val="11"/>
      <color rgb="FFC00000"/>
      <name val="Arial"/>
    </font>
    <font>
      <sz val="12"/>
      <color rgb="FFFF0000"/>
      <name val="Times New Roman"/>
    </font>
    <font>
      <b/>
      <sz val="12"/>
      <color rgb="FF000000"/>
      <name val="Times New Roman"/>
    </font>
    <font>
      <vertAlign val="superscript"/>
      <sz val="14"/>
      <color rgb="FF000000"/>
      <name val="Times New Roman"/>
    </font>
    <font>
      <b/>
      <sz val="11"/>
      <color rgb="FF000000"/>
      <name val="Arial"/>
    </font>
    <font>
      <sz val="10"/>
      <color rgb="FF0070C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164" fontId="0" fillId="0" borderId="0" xfId="0" applyNumberFormat="1"/>
    <xf numFmtId="4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64" fontId="1" fillId="0" borderId="0" xfId="0" applyNumberFormat="1" applyFont="1"/>
    <xf numFmtId="168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1" fillId="0" borderId="0" xfId="0" applyNumberFormat="1" applyFont="1"/>
    <xf numFmtId="4" fontId="1" fillId="0" borderId="0" xfId="0" applyNumberFormat="1" applyFont="1"/>
    <xf numFmtId="4" fontId="2" fillId="0" borderId="1" xfId="0" applyNumberFormat="1" applyFont="1" applyBorder="1" applyAlignment="1">
      <alignment horizontal="center" vertical="center" wrapText="1"/>
    </xf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top" wrapText="1"/>
    </xf>
    <xf numFmtId="167" fontId="1" fillId="0" borderId="0" xfId="0" applyNumberFormat="1" applyFont="1"/>
    <xf numFmtId="0" fontId="11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/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/>
    <xf numFmtId="0" fontId="9" fillId="0" borderId="1" xfId="0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justify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4" fontId="13" fillId="0" borderId="1" xfId="0" applyNumberFormat="1" applyFont="1" applyBorder="1" applyAlignment="1">
      <alignment vertical="top"/>
    </xf>
    <xf numFmtId="0" fontId="13" fillId="0" borderId="0" xfId="0" applyFont="1"/>
    <xf numFmtId="0" fontId="9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0" fontId="13" fillId="0" borderId="1" xfId="0" applyFont="1" applyBorder="1" applyAlignment="1">
      <alignment vertical="top"/>
    </xf>
    <xf numFmtId="0" fontId="9" fillId="0" borderId="1" xfId="0" applyFont="1" applyBorder="1"/>
    <xf numFmtId="0" fontId="14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center" vertical="top" wrapText="1"/>
    </xf>
    <xf numFmtId="167" fontId="15" fillId="0" borderId="0" xfId="0" applyNumberFormat="1" applyFont="1"/>
    <xf numFmtId="4" fontId="9" fillId="0" borderId="0" xfId="0" applyNumberFormat="1" applyFont="1" applyAlignment="1">
      <alignment horizontal="left"/>
    </xf>
    <xf numFmtId="170" fontId="9" fillId="0" borderId="1" xfId="0" applyNumberFormat="1" applyFont="1" applyBorder="1" applyAlignment="1">
      <alignment horizontal="center" vertical="center" wrapText="1"/>
    </xf>
    <xf numFmtId="10" fontId="0" fillId="0" borderId="0" xfId="0" applyNumberFormat="1"/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4" fontId="9" fillId="0" borderId="0" xfId="0" applyNumberFormat="1" applyFont="1"/>
    <xf numFmtId="0" fontId="9" fillId="0" borderId="1" xfId="0" quotePrefix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right" vertical="center"/>
    </xf>
    <xf numFmtId="166" fontId="9" fillId="0" borderId="1" xfId="0" applyNumberFormat="1" applyFont="1" applyBorder="1" applyAlignment="1">
      <alignment horizontal="right" vertical="center" wrapText="1"/>
    </xf>
    <xf numFmtId="166" fontId="13" fillId="0" borderId="1" xfId="0" applyNumberFormat="1" applyFont="1" applyBorder="1" applyAlignment="1">
      <alignment vertical="center" wrapText="1"/>
    </xf>
    <xf numFmtId="166" fontId="9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168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right" vertical="center" wrapText="1"/>
    </xf>
    <xf numFmtId="4" fontId="16" fillId="0" borderId="1" xfId="0" applyNumberFormat="1" applyFont="1" applyBorder="1" applyAlignment="1">
      <alignment horizontal="right" vertical="center" wrapText="1"/>
    </xf>
    <xf numFmtId="10" fontId="16" fillId="0" borderId="1" xfId="0" applyNumberFormat="1" applyFont="1" applyBorder="1" applyAlignment="1">
      <alignment horizontal="right" vertical="center" wrapText="1"/>
    </xf>
    <xf numFmtId="0" fontId="9" fillId="0" borderId="0" xfId="0" applyFont="1"/>
    <xf numFmtId="0" fontId="13" fillId="0" borderId="0" xfId="0" applyFont="1"/>
    <xf numFmtId="4" fontId="9" fillId="0" borderId="0" xfId="0" applyNumberFormat="1" applyFont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13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5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center" wrapText="1"/>
    </xf>
    <xf numFmtId="4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5"/>
  <sheetViews>
    <sheetView workbookViewId="0"/>
  </sheetViews>
  <sheetFormatPr defaultRowHeight="15" x14ac:dyDescent="0.25"/>
  <sheetData>
    <row r="1" spans="2:11" ht="15.75" x14ac:dyDescent="0.25">
      <c r="G1" s="64"/>
      <c r="H1" s="64"/>
      <c r="I1" s="64"/>
      <c r="J1" s="64"/>
      <c r="K1" s="64"/>
    </row>
    <row r="2" spans="2:11" ht="15.75" x14ac:dyDescent="0.25">
      <c r="G2" s="64"/>
      <c r="H2" s="64"/>
      <c r="I2" s="64"/>
      <c r="J2" s="64"/>
      <c r="K2" s="64"/>
    </row>
    <row r="3" spans="2:11" ht="15.75" x14ac:dyDescent="0.25">
      <c r="B3" s="133" t="s">
        <v>0</v>
      </c>
      <c r="C3" s="133"/>
      <c r="D3" s="133"/>
      <c r="E3" s="133"/>
      <c r="F3" s="133"/>
      <c r="G3" s="64"/>
      <c r="H3" s="64"/>
      <c r="I3" s="64"/>
      <c r="J3" s="64"/>
      <c r="K3" s="64"/>
    </row>
    <row r="4" spans="2:11" ht="15.75" x14ac:dyDescent="0.25">
      <c r="B4" s="134" t="s">
        <v>1</v>
      </c>
      <c r="C4" s="134"/>
      <c r="D4" s="134"/>
      <c r="E4" s="134"/>
      <c r="F4" s="134"/>
      <c r="G4" s="64"/>
      <c r="H4" s="64"/>
      <c r="I4" s="64"/>
      <c r="J4" s="64"/>
      <c r="K4" s="64"/>
    </row>
    <row r="5" spans="2:11" ht="15.75" x14ac:dyDescent="0.25">
      <c r="B5" s="74"/>
      <c r="C5" s="74"/>
      <c r="D5" s="74"/>
      <c r="E5" s="74"/>
      <c r="F5" s="74"/>
      <c r="G5" s="64"/>
      <c r="H5" s="64"/>
      <c r="I5" s="64"/>
      <c r="J5" s="64"/>
      <c r="K5" s="64"/>
    </row>
    <row r="6" spans="2:11" ht="15.75" x14ac:dyDescent="0.25">
      <c r="B6" s="74"/>
      <c r="C6" s="74"/>
      <c r="D6" s="74"/>
      <c r="E6" s="74"/>
      <c r="F6" s="74"/>
      <c r="G6" s="64"/>
      <c r="H6" s="64"/>
      <c r="I6" s="64"/>
      <c r="J6" s="64"/>
      <c r="K6" s="64"/>
    </row>
    <row r="7" spans="2:11" ht="409.5" x14ac:dyDescent="0.25">
      <c r="B7" s="132" t="str">
        <f>_xlfn.CONCAT(TEXT('Прил.5 Расчет СМР и ОБ'!A6,0)," - ",TEXT('Прил.5 Расчет СМР и ОБ'!D6,0))</f>
        <v>Наименование разрабатываемого показателя УНЦ - Строительно-монтажные работы ВЛ 0,4-750 кВ без опор и провода. Двухцепная, все типы опор за исключением многогранных 220 кВ</v>
      </c>
      <c r="C7" s="132"/>
      <c r="D7" s="132"/>
      <c r="E7" s="132"/>
      <c r="F7" s="132"/>
      <c r="G7" s="75"/>
      <c r="H7" s="64"/>
      <c r="I7" s="64"/>
      <c r="J7" s="64"/>
      <c r="K7" s="64"/>
    </row>
    <row r="8" spans="2:11" ht="15.75" x14ac:dyDescent="0.25">
      <c r="B8" s="73" t="s">
        <v>2</v>
      </c>
      <c r="C8" s="73"/>
      <c r="D8" s="73" t="str">
        <f>D22</f>
        <v>2 кв. 2021г</v>
      </c>
      <c r="E8" s="73"/>
      <c r="F8" s="73"/>
      <c r="G8" s="64"/>
      <c r="H8" s="64"/>
      <c r="I8" s="64"/>
      <c r="J8" s="64"/>
      <c r="K8" s="64"/>
    </row>
    <row r="9" spans="2:11" ht="78.75" x14ac:dyDescent="0.25">
      <c r="B9" s="132" t="s">
        <v>3</v>
      </c>
      <c r="C9" s="132"/>
      <c r="D9" s="132"/>
      <c r="E9" s="132"/>
      <c r="F9" s="132"/>
      <c r="G9" s="75"/>
      <c r="H9" s="64"/>
      <c r="I9" s="64"/>
      <c r="J9" s="64"/>
      <c r="K9" s="64"/>
    </row>
    <row r="10" spans="2:11" ht="15.75" x14ac:dyDescent="0.25">
      <c r="B10" s="72"/>
      <c r="G10" s="64"/>
      <c r="H10" s="64"/>
      <c r="I10" s="64"/>
      <c r="J10" s="64"/>
      <c r="K10" s="64"/>
    </row>
    <row r="11" spans="2:11" ht="63" x14ac:dyDescent="0.25">
      <c r="B11" s="37" t="s">
        <v>4</v>
      </c>
      <c r="C11" s="37" t="s">
        <v>5</v>
      </c>
      <c r="D11" s="37" t="s">
        <v>6</v>
      </c>
      <c r="E11" s="37" t="s">
        <v>7</v>
      </c>
      <c r="F11" s="37" t="s">
        <v>8</v>
      </c>
      <c r="G11" s="75"/>
      <c r="H11" s="64"/>
      <c r="I11" s="64"/>
      <c r="J11" s="64"/>
      <c r="K11" s="64"/>
    </row>
    <row r="12" spans="2:11" ht="409.5" x14ac:dyDescent="0.25">
      <c r="B12" s="37">
        <v>1</v>
      </c>
      <c r="C12" s="76" t="s">
        <v>9</v>
      </c>
      <c r="D12" s="37" t="s">
        <v>10</v>
      </c>
      <c r="E12" s="37" t="s">
        <v>11</v>
      </c>
      <c r="F12" s="37"/>
      <c r="G12" s="64"/>
      <c r="H12" s="64"/>
      <c r="I12" s="64"/>
      <c r="J12" s="64"/>
      <c r="K12" s="64"/>
    </row>
    <row r="13" spans="2:11" ht="126" x14ac:dyDescent="0.25">
      <c r="B13" s="37">
        <v>2</v>
      </c>
      <c r="C13" s="76" t="s">
        <v>12</v>
      </c>
      <c r="D13" s="37" t="s">
        <v>13</v>
      </c>
      <c r="E13" s="37" t="s">
        <v>14</v>
      </c>
      <c r="F13" s="37"/>
      <c r="G13" s="64"/>
      <c r="H13" s="64"/>
      <c r="I13" s="64"/>
      <c r="J13" s="64"/>
      <c r="K13" s="64"/>
    </row>
    <row r="14" spans="2:11" ht="78.75" x14ac:dyDescent="0.25">
      <c r="B14" s="37">
        <v>3</v>
      </c>
      <c r="C14" s="76" t="s">
        <v>15</v>
      </c>
      <c r="D14" s="37" t="s">
        <v>16</v>
      </c>
      <c r="E14" s="37" t="s">
        <v>16</v>
      </c>
      <c r="F14" s="37"/>
      <c r="G14" s="64"/>
      <c r="H14" s="64"/>
      <c r="I14" s="64"/>
      <c r="J14" s="64"/>
      <c r="K14" s="64"/>
    </row>
    <row r="15" spans="2:11" ht="47.25" x14ac:dyDescent="0.25">
      <c r="B15" s="37">
        <v>4</v>
      </c>
      <c r="C15" s="76" t="s">
        <v>17</v>
      </c>
      <c r="D15" s="37">
        <v>733.91</v>
      </c>
      <c r="E15" s="37">
        <v>2570.567</v>
      </c>
      <c r="F15" s="37"/>
      <c r="G15" s="64"/>
      <c r="H15" s="64"/>
      <c r="I15" s="64"/>
      <c r="J15" s="64"/>
      <c r="K15" s="64"/>
    </row>
    <row r="16" spans="2:11" ht="409.5" x14ac:dyDescent="0.25">
      <c r="B16" s="37">
        <v>5</v>
      </c>
      <c r="C16" s="38" t="s">
        <v>18</v>
      </c>
      <c r="D16" s="37" t="s">
        <v>19</v>
      </c>
      <c r="E16" s="37" t="s">
        <v>20</v>
      </c>
      <c r="F16" s="37"/>
      <c r="G16" s="64"/>
      <c r="H16" s="64"/>
      <c r="I16" s="64"/>
      <c r="J16" s="64"/>
      <c r="K16" s="64"/>
    </row>
    <row r="17" spans="2:11" ht="378" x14ac:dyDescent="0.25">
      <c r="B17" s="37">
        <v>6</v>
      </c>
      <c r="C17" s="38" t="s">
        <v>21</v>
      </c>
      <c r="D17" s="112">
        <f>SUM(D18:D21)</f>
        <v>180200.03655786481</v>
      </c>
      <c r="E17" s="112">
        <f>SUM(E18:E21)</f>
        <v>804576.19283775042</v>
      </c>
      <c r="F17" s="77"/>
      <c r="G17" s="78"/>
      <c r="H17" s="64"/>
      <c r="I17" s="64"/>
      <c r="J17" s="64"/>
      <c r="K17" s="64"/>
    </row>
    <row r="18" spans="2:11" ht="78.75" x14ac:dyDescent="0.25">
      <c r="B18" s="79" t="s">
        <v>22</v>
      </c>
      <c r="C18" s="76" t="s">
        <v>23</v>
      </c>
      <c r="D18" s="112">
        <f>'Прил.2 Расч стоим'!F15+'Прил.2 Расч стоим'!G15</f>
        <v>175565.11745700001</v>
      </c>
      <c r="E18" s="112">
        <f>'Прил.2 Расч стоим'!F25+'Прил.2 Расч стоим'!G25</f>
        <v>757401.05175840005</v>
      </c>
      <c r="F18" s="77"/>
      <c r="G18" s="64"/>
      <c r="H18" s="64"/>
      <c r="I18" s="64"/>
      <c r="J18" s="64"/>
      <c r="K18" s="64"/>
    </row>
    <row r="19" spans="2:11" ht="63" x14ac:dyDescent="0.25">
      <c r="B19" s="79" t="s">
        <v>24</v>
      </c>
      <c r="C19" s="76" t="s">
        <v>25</v>
      </c>
      <c r="D19" s="112">
        <f>'Прил.2 Расч стоим'!H15</f>
        <v>0</v>
      </c>
      <c r="E19" s="112">
        <f>'Прил.2 Расч стоим'!H21</f>
        <v>0</v>
      </c>
      <c r="F19" s="77"/>
      <c r="G19" s="64"/>
      <c r="H19" s="64"/>
      <c r="I19" s="64"/>
      <c r="J19" s="64"/>
      <c r="K19" s="64"/>
    </row>
    <row r="20" spans="2:11" ht="63" x14ac:dyDescent="0.25">
      <c r="B20" s="79" t="s">
        <v>26</v>
      </c>
      <c r="C20" s="76" t="s">
        <v>27</v>
      </c>
      <c r="D20" s="112">
        <v>0</v>
      </c>
      <c r="E20" s="112">
        <v>0</v>
      </c>
      <c r="F20" s="77"/>
      <c r="G20" s="64"/>
      <c r="H20" s="64"/>
      <c r="I20" s="64"/>
      <c r="J20" s="64"/>
      <c r="K20" s="64"/>
    </row>
    <row r="21" spans="2:11" ht="94.5" x14ac:dyDescent="0.25">
      <c r="B21" s="79" t="s">
        <v>28</v>
      </c>
      <c r="C21" s="80" t="s">
        <v>29</v>
      </c>
      <c r="D21" s="112">
        <f>'Прил.2 Расч стоим'!I15</f>
        <v>4634.9191008648004</v>
      </c>
      <c r="E21" s="112">
        <f>E18*3.3%+(E18+E18*3.3%)*2.7%*1.05</f>
        <v>47175.141079350418</v>
      </c>
      <c r="F21" s="102"/>
      <c r="G21" s="64"/>
      <c r="H21" s="64"/>
      <c r="I21" s="64"/>
      <c r="J21" s="64"/>
      <c r="K21" s="64"/>
    </row>
    <row r="22" spans="2:11" ht="63" x14ac:dyDescent="0.25">
      <c r="B22" s="37">
        <v>7</v>
      </c>
      <c r="C22" s="80" t="s">
        <v>30</v>
      </c>
      <c r="D22" s="37" t="s">
        <v>31</v>
      </c>
      <c r="E22" s="37" t="str">
        <f>D22</f>
        <v>2 кв. 2021г</v>
      </c>
      <c r="F22" s="37"/>
      <c r="G22" s="78"/>
      <c r="H22" s="64"/>
      <c r="I22" s="64"/>
      <c r="J22" s="64"/>
      <c r="K22" s="64"/>
    </row>
    <row r="23" spans="2:11" ht="409.5" x14ac:dyDescent="0.25">
      <c r="B23" s="37">
        <v>8</v>
      </c>
      <c r="C23" s="81" t="s">
        <v>32</v>
      </c>
      <c r="D23" s="77">
        <f>'Прил.2 Расч стоим'!J16</f>
        <v>183395.0726670468</v>
      </c>
      <c r="E23" s="77">
        <f>E17</f>
        <v>804576.19283775042</v>
      </c>
      <c r="F23" s="77"/>
      <c r="G23" s="64"/>
      <c r="H23" s="64"/>
      <c r="I23" s="64"/>
      <c r="J23" s="64"/>
      <c r="K23" s="64"/>
    </row>
    <row r="24" spans="2:11" ht="204.75" x14ac:dyDescent="0.25">
      <c r="B24" s="37">
        <v>9</v>
      </c>
      <c r="C24" s="38" t="s">
        <v>33</v>
      </c>
      <c r="D24" s="77">
        <f>D23/D15</f>
        <v>249.88768740996417</v>
      </c>
      <c r="E24" s="77">
        <f>E23/E15</f>
        <v>312.99561257798393</v>
      </c>
      <c r="F24" s="82"/>
      <c r="G24" s="78"/>
      <c r="H24" s="64"/>
      <c r="I24" s="64"/>
      <c r="J24" s="64"/>
      <c r="K24" s="64"/>
    </row>
    <row r="25" spans="2:11" ht="204.75" x14ac:dyDescent="0.25">
      <c r="B25" s="37">
        <v>10</v>
      </c>
      <c r="C25" s="76" t="s">
        <v>34</v>
      </c>
      <c r="D25" s="76"/>
      <c r="E25" s="76" t="s">
        <v>35</v>
      </c>
      <c r="F25" s="94"/>
      <c r="G25" s="64"/>
      <c r="H25" s="64"/>
      <c r="I25" s="64"/>
      <c r="J25" s="64"/>
      <c r="K25" s="64"/>
    </row>
    <row r="26" spans="2:11" ht="15.75" x14ac:dyDescent="0.25">
      <c r="B26" s="83"/>
      <c r="C26" s="84"/>
      <c r="D26" s="84"/>
      <c r="E26" s="84"/>
      <c r="F26" s="84"/>
      <c r="G26" s="64"/>
      <c r="H26" s="64"/>
      <c r="I26" s="64"/>
      <c r="J26" s="64"/>
      <c r="K26" s="64"/>
    </row>
    <row r="27" spans="2:11" ht="15.75" x14ac:dyDescent="0.25">
      <c r="B27" s="73"/>
      <c r="G27" s="64"/>
      <c r="H27" s="64"/>
      <c r="I27" s="64"/>
      <c r="J27" s="64"/>
      <c r="K27" s="64"/>
    </row>
    <row r="28" spans="2:11" ht="15.75" x14ac:dyDescent="0.25">
      <c r="B28" s="64" t="s">
        <v>36</v>
      </c>
      <c r="G28" s="64"/>
      <c r="H28" s="64"/>
      <c r="I28" s="64"/>
      <c r="J28" s="64"/>
      <c r="K28" s="64"/>
    </row>
    <row r="29" spans="2:11" ht="22.5" x14ac:dyDescent="0.25">
      <c r="B29" s="95" t="s">
        <v>37</v>
      </c>
      <c r="G29" s="64"/>
      <c r="H29" s="64"/>
      <c r="I29" s="64"/>
      <c r="J29" s="64"/>
      <c r="K29" s="64"/>
    </row>
    <row r="30" spans="2:11" ht="15.75" x14ac:dyDescent="0.25">
      <c r="G30" s="64"/>
      <c r="H30" s="64"/>
      <c r="I30" s="64"/>
      <c r="J30" s="64"/>
      <c r="K30" s="64"/>
    </row>
    <row r="31" spans="2:11" ht="15.75" x14ac:dyDescent="0.25">
      <c r="B31" s="64" t="s">
        <v>38</v>
      </c>
      <c r="G31" s="64"/>
      <c r="H31" s="64"/>
      <c r="I31" s="64"/>
      <c r="J31" s="64"/>
      <c r="K31" s="64"/>
    </row>
    <row r="32" spans="2:11" ht="22.5" x14ac:dyDescent="0.25">
      <c r="B32" s="95" t="s">
        <v>39</v>
      </c>
      <c r="G32" s="64"/>
      <c r="H32" s="64"/>
      <c r="I32" s="64"/>
      <c r="J32" s="64"/>
      <c r="K32" s="64"/>
    </row>
    <row r="33" spans="7:11" ht="15.75" x14ac:dyDescent="0.25">
      <c r="G33" s="64"/>
      <c r="H33" s="64"/>
      <c r="I33" s="64"/>
      <c r="J33" s="64"/>
      <c r="K33" s="64"/>
    </row>
    <row r="34" spans="7:11" ht="15.75" x14ac:dyDescent="0.25">
      <c r="G34" s="64"/>
      <c r="H34" s="64"/>
      <c r="I34" s="64"/>
      <c r="J34" s="64"/>
      <c r="K34" s="64"/>
    </row>
    <row r="35" spans="7:11" ht="15.75" x14ac:dyDescent="0.25">
      <c r="G35" s="64"/>
      <c r="H35" s="64"/>
      <c r="I35" s="64"/>
      <c r="J35" s="64"/>
      <c r="K35" s="6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16"/>
  <sheetViews>
    <sheetView workbookViewId="0"/>
  </sheetViews>
  <sheetFormatPr defaultRowHeight="15" x14ac:dyDescent="0.25"/>
  <sheetData>
    <row r="2" spans="1:7" x14ac:dyDescent="0.25">
      <c r="A2" s="169" t="s">
        <v>578</v>
      </c>
      <c r="B2" s="169"/>
      <c r="C2" s="169"/>
      <c r="D2" s="169"/>
      <c r="E2" s="169"/>
      <c r="F2" s="169"/>
    </row>
    <row r="4" spans="1:7" x14ac:dyDescent="0.25">
      <c r="A4" s="20" t="s">
        <v>542</v>
      </c>
    </row>
    <row r="5" spans="1:7" x14ac:dyDescent="0.25">
      <c r="A5" s="21" t="s">
        <v>469</v>
      </c>
      <c r="B5" s="21" t="s">
        <v>543</v>
      </c>
      <c r="C5" s="21" t="s">
        <v>544</v>
      </c>
      <c r="D5" s="21" t="s">
        <v>545</v>
      </c>
      <c r="E5" s="21" t="s">
        <v>546</v>
      </c>
      <c r="F5" s="21" t="s">
        <v>547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409.5" x14ac:dyDescent="0.25">
      <c r="A7" s="22" t="s">
        <v>548</v>
      </c>
      <c r="B7" s="24" t="s">
        <v>549</v>
      </c>
      <c r="C7" s="23" t="s">
        <v>550</v>
      </c>
      <c r="D7" s="23" t="s">
        <v>551</v>
      </c>
      <c r="E7" s="25">
        <v>47872.94</v>
      </c>
      <c r="F7" s="24" t="s">
        <v>552</v>
      </c>
    </row>
    <row r="8" spans="1:7" ht="180" x14ac:dyDescent="0.25">
      <c r="A8" s="22" t="s">
        <v>553</v>
      </c>
      <c r="B8" s="24" t="s">
        <v>554</v>
      </c>
      <c r="C8" s="23" t="s">
        <v>555</v>
      </c>
      <c r="D8" s="23" t="s">
        <v>556</v>
      </c>
      <c r="E8" s="25">
        <f>1973/12</f>
        <v>164.41666666666666</v>
      </c>
      <c r="F8" s="24" t="s">
        <v>557</v>
      </c>
      <c r="G8" s="26"/>
    </row>
    <row r="9" spans="1:7" ht="60" x14ac:dyDescent="0.25">
      <c r="A9" s="22" t="s">
        <v>558</v>
      </c>
      <c r="B9" s="24" t="s">
        <v>559</v>
      </c>
      <c r="C9" s="23" t="s">
        <v>560</v>
      </c>
      <c r="D9" s="23" t="s">
        <v>551</v>
      </c>
      <c r="E9" s="25">
        <v>1</v>
      </c>
      <c r="F9" s="24"/>
      <c r="G9" s="27"/>
    </row>
    <row r="10" spans="1:7" ht="45" x14ac:dyDescent="0.25">
      <c r="A10" s="22" t="s">
        <v>561</v>
      </c>
      <c r="B10" s="24" t="s">
        <v>562</v>
      </c>
      <c r="C10" s="23"/>
      <c r="D10" s="23"/>
      <c r="E10" s="28">
        <v>1</v>
      </c>
      <c r="F10" s="24" t="s">
        <v>563</v>
      </c>
      <c r="G10" s="27"/>
    </row>
    <row r="11" spans="1:7" ht="360" x14ac:dyDescent="0.25">
      <c r="A11" s="22" t="s">
        <v>564</v>
      </c>
      <c r="B11" s="24" t="s">
        <v>579</v>
      </c>
      <c r="C11" s="23" t="s">
        <v>566</v>
      </c>
      <c r="D11" s="23" t="s">
        <v>551</v>
      </c>
      <c r="F11" s="24" t="s">
        <v>580</v>
      </c>
    </row>
    <row r="12" spans="1:7" ht="75" x14ac:dyDescent="0.25">
      <c r="A12" s="22" t="s">
        <v>581</v>
      </c>
      <c r="B12" s="24" t="s">
        <v>582</v>
      </c>
      <c r="C12" s="23"/>
      <c r="D12" s="23" t="s">
        <v>551</v>
      </c>
      <c r="E12" s="29">
        <v>2.15</v>
      </c>
      <c r="F12" s="24"/>
    </row>
    <row r="13" spans="1:7" ht="75" x14ac:dyDescent="0.25">
      <c r="A13" s="22" t="s">
        <v>583</v>
      </c>
      <c r="B13" s="24" t="s">
        <v>584</v>
      </c>
      <c r="C13" s="23"/>
      <c r="D13" s="23" t="s">
        <v>551</v>
      </c>
      <c r="E13" s="29">
        <v>2.35</v>
      </c>
      <c r="F13" s="24"/>
    </row>
    <row r="14" spans="1:7" ht="360" x14ac:dyDescent="0.25">
      <c r="A14" s="22" t="s">
        <v>568</v>
      </c>
      <c r="B14" s="30" t="s">
        <v>569</v>
      </c>
      <c r="C14" s="23" t="s">
        <v>570</v>
      </c>
      <c r="D14" s="23" t="s">
        <v>551</v>
      </c>
      <c r="E14" s="31">
        <v>1.139</v>
      </c>
      <c r="F14" s="32" t="s">
        <v>571</v>
      </c>
      <c r="G14" s="27" t="s">
        <v>572</v>
      </c>
    </row>
    <row r="15" spans="1:7" ht="345" x14ac:dyDescent="0.25">
      <c r="A15" s="22" t="s">
        <v>573</v>
      </c>
      <c r="B15" s="33" t="s">
        <v>585</v>
      </c>
      <c r="C15" s="23" t="s">
        <v>586</v>
      </c>
      <c r="D15" s="23" t="s">
        <v>576</v>
      </c>
      <c r="E15" s="34">
        <f>((E7*E9/E8)*E12)*E14</f>
        <v>713.02776960364929</v>
      </c>
      <c r="F15" s="24" t="s">
        <v>577</v>
      </c>
    </row>
    <row r="16" spans="1:7" ht="345" x14ac:dyDescent="0.25">
      <c r="A16" s="22" t="s">
        <v>587</v>
      </c>
      <c r="B16" s="33" t="s">
        <v>588</v>
      </c>
      <c r="C16" s="23" t="s">
        <v>586</v>
      </c>
      <c r="D16" s="23" t="s">
        <v>576</v>
      </c>
      <c r="E16" s="34">
        <f>((E7*E9/E8)*E13)*E14</f>
        <v>779.35593421794226</v>
      </c>
      <c r="F16" s="24" t="s">
        <v>589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"/>
  <sheetViews>
    <sheetView workbookViewId="0"/>
  </sheetViews>
  <sheetFormatPr defaultRowHeight="15" x14ac:dyDescent="0.25"/>
  <sheetData>
    <row r="1" spans="1:10" ht="15.75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</row>
    <row r="2" spans="1:10" ht="15.75" x14ac:dyDescent="0.25">
      <c r="A2" s="64"/>
      <c r="B2" s="64"/>
      <c r="C2" s="64"/>
      <c r="D2" s="64"/>
      <c r="E2" s="64"/>
      <c r="F2" s="64"/>
      <c r="G2" s="64"/>
      <c r="H2" s="64"/>
      <c r="I2" s="64"/>
      <c r="J2" s="64"/>
    </row>
    <row r="3" spans="1:10" ht="15.75" x14ac:dyDescent="0.25">
      <c r="A3" s="64"/>
      <c r="B3" s="133" t="s">
        <v>40</v>
      </c>
      <c r="C3" s="133"/>
      <c r="D3" s="133"/>
      <c r="E3" s="133"/>
      <c r="F3" s="133"/>
      <c r="G3" s="133"/>
      <c r="H3" s="133"/>
      <c r="I3" s="133"/>
      <c r="J3" s="133"/>
    </row>
    <row r="4" spans="1:10" ht="15.75" x14ac:dyDescent="0.25">
      <c r="A4" s="64"/>
      <c r="B4" s="134" t="s">
        <v>41</v>
      </c>
      <c r="C4" s="134"/>
      <c r="D4" s="134"/>
      <c r="E4" s="134"/>
      <c r="F4" s="134"/>
      <c r="G4" s="134"/>
      <c r="H4" s="134"/>
      <c r="I4" s="134"/>
      <c r="J4" s="134"/>
    </row>
    <row r="5" spans="1:10" ht="15.75" x14ac:dyDescent="0.25">
      <c r="A5" s="64"/>
      <c r="B5" s="74"/>
      <c r="C5" s="74"/>
      <c r="D5" s="74"/>
      <c r="E5" s="74"/>
      <c r="F5" s="74"/>
      <c r="G5" s="74"/>
      <c r="H5" s="74"/>
      <c r="I5" s="74"/>
      <c r="J5" s="74"/>
    </row>
    <row r="6" spans="1:10" ht="409.5" x14ac:dyDescent="0.25">
      <c r="A6" s="64"/>
      <c r="B6" s="137" t="str">
        <f>'Прил.1 Сравнит табл'!B7</f>
        <v>Наименование разрабатываемого показателя УНЦ - Строительно-монтажные работы ВЛ 0,4-750 кВ без опор и провода. Двухцепная, все типы опор за исключением многогранных 220 кВ</v>
      </c>
      <c r="C6" s="137"/>
      <c r="D6" s="137"/>
      <c r="E6" s="137"/>
      <c r="F6" s="137"/>
      <c r="G6" s="137"/>
      <c r="H6" s="137"/>
      <c r="I6" s="137"/>
      <c r="J6" s="137"/>
    </row>
    <row r="7" spans="1:10" ht="78.75" x14ac:dyDescent="0.25">
      <c r="A7" s="64"/>
      <c r="B7" s="132" t="str">
        <f>'Прил.1 Сравнит табл'!B9</f>
        <v>Единица измерения  — 1 тн опор</v>
      </c>
      <c r="C7" s="132"/>
      <c r="D7" s="132"/>
      <c r="E7" s="132"/>
      <c r="F7" s="132"/>
      <c r="G7" s="132"/>
      <c r="H7" s="132"/>
      <c r="I7" s="132"/>
      <c r="J7" s="132"/>
    </row>
    <row r="8" spans="1:10" ht="15.75" x14ac:dyDescent="0.25">
      <c r="A8" s="64"/>
      <c r="B8" s="72"/>
      <c r="C8" s="64"/>
      <c r="D8" s="64"/>
      <c r="E8" s="64"/>
      <c r="F8" s="64"/>
      <c r="G8" s="64"/>
      <c r="H8" s="64"/>
      <c r="I8" s="64"/>
      <c r="J8" s="64"/>
    </row>
    <row r="9" spans="1:10" ht="409.5" x14ac:dyDescent="0.25">
      <c r="A9" s="64"/>
      <c r="B9" s="135" t="s">
        <v>4</v>
      </c>
      <c r="C9" s="135" t="s">
        <v>42</v>
      </c>
      <c r="D9" s="135" t="s">
        <v>6</v>
      </c>
      <c r="E9" s="135"/>
      <c r="F9" s="135"/>
      <c r="G9" s="135"/>
      <c r="H9" s="135"/>
      <c r="I9" s="135"/>
      <c r="J9" s="135"/>
    </row>
    <row r="10" spans="1:10" ht="141.75" x14ac:dyDescent="0.25">
      <c r="A10" s="64"/>
      <c r="B10" s="135"/>
      <c r="C10" s="135"/>
      <c r="D10" s="135" t="s">
        <v>43</v>
      </c>
      <c r="E10" s="135" t="s">
        <v>44</v>
      </c>
      <c r="F10" s="135" t="s">
        <v>45</v>
      </c>
      <c r="G10" s="135"/>
      <c r="H10" s="135"/>
      <c r="I10" s="135"/>
      <c r="J10" s="135"/>
    </row>
    <row r="11" spans="1:10" ht="47.25" x14ac:dyDescent="0.25">
      <c r="A11" s="64"/>
      <c r="B11" s="135"/>
      <c r="C11" s="135"/>
      <c r="D11" s="135"/>
      <c r="E11" s="135"/>
      <c r="F11" s="37" t="s">
        <v>46</v>
      </c>
      <c r="G11" s="37" t="s">
        <v>47</v>
      </c>
      <c r="H11" s="37" t="s">
        <v>48</v>
      </c>
      <c r="I11" s="37" t="s">
        <v>49</v>
      </c>
      <c r="J11" s="37" t="s">
        <v>50</v>
      </c>
    </row>
    <row r="12" spans="1:10" ht="31.5" x14ac:dyDescent="0.25">
      <c r="A12" s="64"/>
      <c r="B12" s="94">
        <v>1</v>
      </c>
      <c r="C12" s="76" t="s">
        <v>51</v>
      </c>
      <c r="D12" s="108" t="s">
        <v>52</v>
      </c>
      <c r="E12" s="76" t="s">
        <v>51</v>
      </c>
      <c r="F12" s="109">
        <f>9117.30766*8.46</f>
        <v>77132.422803600013</v>
      </c>
      <c r="G12" s="109"/>
      <c r="H12" s="109"/>
      <c r="I12" s="109"/>
      <c r="J12" s="110">
        <f>SUM(F12:I12)</f>
        <v>77132.422803600013</v>
      </c>
    </row>
    <row r="13" spans="1:10" ht="94.5" x14ac:dyDescent="0.25">
      <c r="A13" s="64"/>
      <c r="B13" s="94">
        <v>2</v>
      </c>
      <c r="C13" s="76" t="s">
        <v>53</v>
      </c>
      <c r="D13" s="108" t="s">
        <v>54</v>
      </c>
      <c r="E13" s="76" t="s">
        <v>55</v>
      </c>
      <c r="F13" s="109">
        <f>10277.09009*8.46</f>
        <v>86944.182161400007</v>
      </c>
      <c r="G13" s="109"/>
      <c r="H13" s="109"/>
      <c r="I13" s="109"/>
      <c r="J13" s="110">
        <f>SUM(F13:I13)</f>
        <v>86944.182161400007</v>
      </c>
    </row>
    <row r="14" spans="1:10" ht="47.25" x14ac:dyDescent="0.25">
      <c r="A14" s="64"/>
      <c r="B14" s="94">
        <v>3</v>
      </c>
      <c r="C14" s="76" t="s">
        <v>56</v>
      </c>
      <c r="D14" s="108" t="s">
        <v>57</v>
      </c>
      <c r="E14" s="76" t="s">
        <v>58</v>
      </c>
      <c r="F14" s="109"/>
      <c r="G14" s="109">
        <f>1357.9802*8.46</f>
        <v>11488.512492000002</v>
      </c>
      <c r="H14" s="109"/>
      <c r="I14" s="109"/>
      <c r="J14" s="110">
        <f>SUM(F14:I14)</f>
        <v>11488.512492000002</v>
      </c>
    </row>
    <row r="15" spans="1:10" ht="63" x14ac:dyDescent="0.25">
      <c r="A15" s="64"/>
      <c r="B15" s="136" t="s">
        <v>59</v>
      </c>
      <c r="C15" s="136"/>
      <c r="D15" s="136"/>
      <c r="E15" s="136"/>
      <c r="F15" s="111">
        <f>SUM(F12:F14)</f>
        <v>164076.60496500001</v>
      </c>
      <c r="G15" s="111">
        <f>SUM(G12:G14)</f>
        <v>11488.512492000002</v>
      </c>
      <c r="H15" s="111">
        <f>SUM(H12:H14)</f>
        <v>0</v>
      </c>
      <c r="I15" s="111">
        <f>(F15+G15)*3.3%*0.8</f>
        <v>4634.9191008648004</v>
      </c>
      <c r="J15" s="111">
        <f>SUM(F15:I15)</f>
        <v>180200.03655786481</v>
      </c>
    </row>
    <row r="16" spans="1:10" ht="157.5" x14ac:dyDescent="0.25">
      <c r="A16" s="64"/>
      <c r="B16" s="136" t="s">
        <v>60</v>
      </c>
      <c r="C16" s="136"/>
      <c r="D16" s="136"/>
      <c r="E16" s="136"/>
      <c r="F16" s="111">
        <f>F15/8.46*8.61</f>
        <v>166985.7646275</v>
      </c>
      <c r="G16" s="111">
        <f>G15/8.46*8.61</f>
        <v>11692.209521999999</v>
      </c>
      <c r="H16" s="111">
        <f>H15</f>
        <v>0</v>
      </c>
      <c r="I16" s="111">
        <f>(F16+G16)*3.3%*0.8</f>
        <v>4717.0985175468004</v>
      </c>
      <c r="J16" s="111">
        <f>SUM(F16:I16)</f>
        <v>183395.0726670468</v>
      </c>
    </row>
    <row r="17" spans="1:10" ht="15.75" x14ac:dyDescent="0.25">
      <c r="A17" s="64"/>
      <c r="B17" s="72"/>
      <c r="C17" s="64"/>
      <c r="D17" s="64"/>
      <c r="E17" s="64"/>
      <c r="F17" s="64"/>
      <c r="G17" s="64"/>
      <c r="H17" s="64"/>
      <c r="I17" s="64"/>
      <c r="J17" s="64"/>
    </row>
    <row r="18" spans="1:10" ht="409.5" x14ac:dyDescent="0.25">
      <c r="A18" s="64"/>
      <c r="B18" s="135" t="s">
        <v>4</v>
      </c>
      <c r="C18" s="135" t="s">
        <v>42</v>
      </c>
      <c r="D18" s="135" t="s">
        <v>7</v>
      </c>
      <c r="E18" s="135"/>
      <c r="F18" s="135"/>
      <c r="G18" s="135"/>
      <c r="H18" s="135"/>
      <c r="I18" s="135"/>
      <c r="J18" s="135"/>
    </row>
    <row r="19" spans="1:10" ht="141.75" x14ac:dyDescent="0.25">
      <c r="A19" s="64"/>
      <c r="B19" s="135"/>
      <c r="C19" s="135"/>
      <c r="D19" s="135" t="s">
        <v>43</v>
      </c>
      <c r="E19" s="135" t="s">
        <v>44</v>
      </c>
      <c r="F19" s="135" t="s">
        <v>61</v>
      </c>
      <c r="G19" s="135"/>
      <c r="H19" s="135"/>
      <c r="I19" s="135"/>
      <c r="J19" s="135"/>
    </row>
    <row r="20" spans="1:10" ht="47.25" x14ac:dyDescent="0.25">
      <c r="A20" s="64"/>
      <c r="B20" s="135"/>
      <c r="C20" s="135"/>
      <c r="D20" s="135"/>
      <c r="E20" s="135"/>
      <c r="F20" s="37" t="s">
        <v>46</v>
      </c>
      <c r="G20" s="37" t="s">
        <v>47</v>
      </c>
      <c r="H20" s="37" t="s">
        <v>48</v>
      </c>
      <c r="I20" s="37" t="s">
        <v>49</v>
      </c>
      <c r="J20" s="37" t="s">
        <v>50</v>
      </c>
    </row>
    <row r="21" spans="1:10" ht="63" x14ac:dyDescent="0.25">
      <c r="A21" s="64"/>
      <c r="B21" s="76">
        <v>1</v>
      </c>
      <c r="C21" s="76" t="s">
        <v>53</v>
      </c>
      <c r="D21" s="108" t="s">
        <v>62</v>
      </c>
      <c r="E21" s="76" t="s">
        <v>53</v>
      </c>
      <c r="F21" s="109">
        <f>31265.75056*11.32</f>
        <v>353928.29633919999</v>
      </c>
      <c r="G21" s="109"/>
      <c r="H21" s="109"/>
      <c r="I21" s="109"/>
      <c r="J21" s="110">
        <f t="shared" ref="J21:J26" si="0">SUM(F21:I21)</f>
        <v>353928.29633919999</v>
      </c>
    </row>
    <row r="22" spans="1:10" ht="78.75" x14ac:dyDescent="0.25">
      <c r="A22" s="64"/>
      <c r="B22" s="76">
        <v>2</v>
      </c>
      <c r="C22" s="76" t="s">
        <v>63</v>
      </c>
      <c r="D22" s="108" t="s">
        <v>64</v>
      </c>
      <c r="E22" s="76" t="s">
        <v>65</v>
      </c>
      <c r="F22" s="109"/>
      <c r="G22" s="109">
        <f>387.2511*11.32</f>
        <v>4383.682452</v>
      </c>
      <c r="H22" s="109"/>
      <c r="I22" s="109"/>
      <c r="J22" s="110">
        <f t="shared" si="0"/>
        <v>4383.682452</v>
      </c>
    </row>
    <row r="23" spans="1:10" ht="47.25" x14ac:dyDescent="0.25">
      <c r="A23" s="64"/>
      <c r="B23" s="76">
        <v>3</v>
      </c>
      <c r="C23" s="76" t="s">
        <v>56</v>
      </c>
      <c r="D23" s="108" t="s">
        <v>66</v>
      </c>
      <c r="E23" s="76" t="s">
        <v>67</v>
      </c>
      <c r="F23" s="109">
        <f>34617.87832*11.32</f>
        <v>391874.38258240005</v>
      </c>
      <c r="G23" s="109"/>
      <c r="H23" s="109"/>
      <c r="I23" s="109"/>
      <c r="J23" s="110">
        <f t="shared" si="0"/>
        <v>391874.38258240005</v>
      </c>
    </row>
    <row r="24" spans="1:10" ht="31.5" x14ac:dyDescent="0.25">
      <c r="A24" s="64"/>
      <c r="B24" s="76">
        <v>4</v>
      </c>
      <c r="C24" s="76" t="s">
        <v>68</v>
      </c>
      <c r="D24" s="108" t="s">
        <v>69</v>
      </c>
      <c r="E24" s="76" t="s">
        <v>70</v>
      </c>
      <c r="F24" s="109">
        <f>637.34014*11.32</f>
        <v>7214.6903848000002</v>
      </c>
      <c r="G24" s="109"/>
      <c r="H24" s="109"/>
      <c r="I24" s="109"/>
      <c r="J24" s="110">
        <f t="shared" si="0"/>
        <v>7214.6903848000002</v>
      </c>
    </row>
    <row r="25" spans="1:10" ht="63" x14ac:dyDescent="0.25">
      <c r="A25" s="64"/>
      <c r="B25" s="136" t="s">
        <v>59</v>
      </c>
      <c r="C25" s="136"/>
      <c r="D25" s="136"/>
      <c r="E25" s="136"/>
      <c r="F25" s="111">
        <f>SUM(F21:F24)</f>
        <v>753017.36930640007</v>
      </c>
      <c r="G25" s="111">
        <f>SUM(G21:G24)</f>
        <v>4383.682452</v>
      </c>
      <c r="H25" s="111">
        <f>SUM(H21:H24)</f>
        <v>0</v>
      </c>
      <c r="I25" s="111">
        <f>(F25+G25)*3.3%+((F25+G25)*3.3%+F25+G25)*2.7%*1.05</f>
        <v>47175.141079350418</v>
      </c>
      <c r="J25" s="111">
        <f t="shared" si="0"/>
        <v>804576.19283775042</v>
      </c>
    </row>
    <row r="26" spans="1:10" ht="157.5" x14ac:dyDescent="0.25">
      <c r="A26" s="64"/>
      <c r="B26" s="136" t="s">
        <v>60</v>
      </c>
      <c r="C26" s="136"/>
      <c r="D26" s="136"/>
      <c r="E26" s="136"/>
      <c r="F26" s="111">
        <f>F25</f>
        <v>753017.36930640007</v>
      </c>
      <c r="G26" s="111">
        <f>G25</f>
        <v>4383.682452</v>
      </c>
      <c r="H26" s="111">
        <f>H25</f>
        <v>0</v>
      </c>
      <c r="I26" s="111">
        <f>(F26+G26)*3.3%+((F26+G26)*3.3%+F26+G26)*2.7%*1.05</f>
        <v>47175.141079350418</v>
      </c>
      <c r="J26" s="111">
        <f t="shared" si="0"/>
        <v>804576.19283775042</v>
      </c>
    </row>
    <row r="27" spans="1:10" ht="15.75" x14ac:dyDescent="0.25">
      <c r="A27" s="64"/>
      <c r="B27" s="64"/>
      <c r="C27" s="64"/>
      <c r="D27" s="64"/>
      <c r="E27" s="64"/>
      <c r="F27" s="64"/>
      <c r="G27" s="64"/>
      <c r="H27" s="64"/>
      <c r="I27" s="64"/>
      <c r="J27" s="64"/>
    </row>
    <row r="28" spans="1:10" ht="15.75" x14ac:dyDescent="0.25">
      <c r="A28" s="64"/>
      <c r="B28" s="64"/>
      <c r="C28" s="64"/>
      <c r="D28" s="64"/>
      <c r="E28" s="64"/>
      <c r="F28" s="64"/>
      <c r="G28" s="64"/>
      <c r="H28" s="64"/>
      <c r="I28" s="64"/>
      <c r="J28" s="64"/>
    </row>
    <row r="29" spans="1:10" ht="15.75" x14ac:dyDescent="0.25">
      <c r="A29" s="64"/>
      <c r="B29" s="64"/>
      <c r="C29" s="64"/>
      <c r="D29" s="64"/>
      <c r="E29" s="64"/>
      <c r="F29" s="64"/>
      <c r="G29" s="64"/>
      <c r="H29" s="64"/>
      <c r="I29" s="64"/>
      <c r="J29" s="64"/>
    </row>
    <row r="30" spans="1:10" ht="15.75" x14ac:dyDescent="0.25">
      <c r="A30" s="64"/>
      <c r="B30" s="64"/>
      <c r="C30" s="64"/>
      <c r="D30" s="64"/>
      <c r="E30" s="64"/>
      <c r="F30" s="64"/>
      <c r="G30" s="64"/>
      <c r="H30" s="64"/>
      <c r="I30" s="64"/>
      <c r="J30" s="64"/>
    </row>
    <row r="31" spans="1:10" ht="15.75" x14ac:dyDescent="0.25">
      <c r="A31" s="64"/>
      <c r="B31" s="64"/>
      <c r="C31" s="64"/>
      <c r="D31" s="64"/>
      <c r="E31" s="64"/>
      <c r="F31" s="64"/>
      <c r="G31" s="64"/>
      <c r="H31" s="64"/>
      <c r="I31" s="64"/>
      <c r="J31" s="64"/>
    </row>
    <row r="32" spans="1:10" ht="15.75" x14ac:dyDescent="0.25">
      <c r="A32" s="64"/>
      <c r="B32" s="64" t="s">
        <v>36</v>
      </c>
      <c r="C32" s="64"/>
      <c r="D32" s="64"/>
      <c r="E32" s="64"/>
      <c r="F32" s="64"/>
      <c r="G32" s="64"/>
      <c r="H32" s="64"/>
      <c r="I32" s="64"/>
      <c r="J32" s="64"/>
    </row>
    <row r="33" spans="1:10" ht="22.5" x14ac:dyDescent="0.25">
      <c r="A33" s="64"/>
      <c r="B33" s="95" t="s">
        <v>37</v>
      </c>
      <c r="C33" s="64"/>
      <c r="D33" s="64"/>
      <c r="E33" s="64"/>
      <c r="F33" s="64"/>
      <c r="G33" s="64"/>
      <c r="H33" s="64"/>
      <c r="I33" s="64"/>
      <c r="J33" s="64"/>
    </row>
    <row r="34" spans="1:10" ht="15.75" x14ac:dyDescent="0.25">
      <c r="A34" s="64"/>
      <c r="B34" s="64"/>
      <c r="C34" s="64"/>
      <c r="D34" s="64"/>
      <c r="E34" s="64"/>
      <c r="F34" s="64"/>
      <c r="G34" s="64"/>
      <c r="H34" s="64"/>
      <c r="I34" s="64"/>
      <c r="J34" s="64"/>
    </row>
    <row r="35" spans="1:10" ht="15.75" x14ac:dyDescent="0.25">
      <c r="A35" s="64"/>
      <c r="B35" s="64" t="s">
        <v>38</v>
      </c>
      <c r="C35" s="64"/>
      <c r="D35" s="64"/>
      <c r="E35" s="64"/>
      <c r="F35" s="64"/>
      <c r="G35" s="64"/>
      <c r="H35" s="64"/>
      <c r="I35" s="64"/>
      <c r="J35" s="64"/>
    </row>
    <row r="36" spans="1:10" ht="22.5" x14ac:dyDescent="0.25">
      <c r="A36" s="64"/>
      <c r="B36" s="95" t="s">
        <v>39</v>
      </c>
      <c r="C36" s="64"/>
      <c r="D36" s="64"/>
      <c r="E36" s="64"/>
      <c r="F36" s="64"/>
      <c r="G36" s="64"/>
      <c r="H36" s="64"/>
      <c r="I36" s="64"/>
      <c r="J36" s="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4"/>
  <sheetViews>
    <sheetView workbookViewId="0"/>
  </sheetViews>
  <sheetFormatPr defaultRowHeight="15" x14ac:dyDescent="0.25"/>
  <sheetData>
    <row r="1" spans="1:11" ht="15.75" x14ac:dyDescent="0.25">
      <c r="K1" s="64"/>
    </row>
    <row r="2" spans="1:11" ht="15.75" x14ac:dyDescent="0.25">
      <c r="A2" s="133" t="s">
        <v>71</v>
      </c>
      <c r="B2" s="133"/>
      <c r="C2" s="133"/>
      <c r="D2" s="133"/>
      <c r="E2" s="133"/>
      <c r="F2" s="133"/>
      <c r="G2" s="133"/>
      <c r="H2" s="133"/>
      <c r="K2" s="64"/>
    </row>
    <row r="3" spans="1:11" ht="15.75" x14ac:dyDescent="0.25">
      <c r="A3" s="134" t="s">
        <v>72</v>
      </c>
      <c r="B3" s="134"/>
      <c r="C3" s="134"/>
      <c r="D3" s="134"/>
      <c r="E3" s="134"/>
      <c r="F3" s="134"/>
      <c r="G3" s="134"/>
      <c r="H3" s="134"/>
      <c r="K3" s="64"/>
    </row>
    <row r="4" spans="1:11" ht="15.75" x14ac:dyDescent="0.25">
      <c r="A4" s="72"/>
      <c r="K4" s="64"/>
    </row>
    <row r="5" spans="1:11" ht="409.5" x14ac:dyDescent="0.25">
      <c r="A5" s="137" t="str">
        <f>'Прил.1 Сравнит табл'!B7</f>
        <v>Наименование разрабатываемого показателя УНЦ - Строительно-монтажные работы ВЛ 0,4-750 кВ без опор и провода. Двухцепная, все типы опор за исключением многогранных 220 кВ</v>
      </c>
      <c r="B5" s="137"/>
      <c r="C5" s="137"/>
      <c r="D5" s="137"/>
      <c r="E5" s="137"/>
      <c r="F5" s="137"/>
      <c r="G5" s="137"/>
      <c r="H5" s="137"/>
      <c r="K5" s="64"/>
    </row>
    <row r="6" spans="1:11" ht="15.75" x14ac:dyDescent="0.25">
      <c r="A6" s="85"/>
      <c r="B6" s="85"/>
      <c r="C6" s="85"/>
      <c r="D6" s="85"/>
      <c r="E6" s="85"/>
      <c r="F6" s="85"/>
      <c r="G6" s="85"/>
      <c r="H6" s="85"/>
      <c r="K6" s="64"/>
    </row>
    <row r="7" spans="1:11" ht="126" x14ac:dyDescent="0.25">
      <c r="A7" s="135" t="s">
        <v>73</v>
      </c>
      <c r="B7" s="135" t="s">
        <v>74</v>
      </c>
      <c r="C7" s="135" t="s">
        <v>75</v>
      </c>
      <c r="D7" s="135" t="s">
        <v>76</v>
      </c>
      <c r="E7" s="135" t="s">
        <v>77</v>
      </c>
      <c r="F7" s="135" t="s">
        <v>78</v>
      </c>
      <c r="G7" s="135" t="s">
        <v>79</v>
      </c>
      <c r="H7" s="135"/>
      <c r="K7" s="64"/>
    </row>
    <row r="8" spans="1:11" ht="31.5" x14ac:dyDescent="0.25">
      <c r="A8" s="135"/>
      <c r="B8" s="135"/>
      <c r="C8" s="135"/>
      <c r="D8" s="135"/>
      <c r="E8" s="135"/>
      <c r="F8" s="135"/>
      <c r="G8" s="37" t="s">
        <v>80</v>
      </c>
      <c r="H8" s="37" t="s">
        <v>81</v>
      </c>
      <c r="K8" s="64"/>
    </row>
    <row r="9" spans="1:11" ht="15.75" x14ac:dyDescent="0.25">
      <c r="A9" s="86">
        <v>1</v>
      </c>
      <c r="B9" s="86"/>
      <c r="C9" s="86">
        <v>2</v>
      </c>
      <c r="D9" s="86" t="s">
        <v>82</v>
      </c>
      <c r="E9" s="86">
        <v>4</v>
      </c>
      <c r="F9" s="86">
        <v>5</v>
      </c>
      <c r="G9" s="86">
        <v>6</v>
      </c>
      <c r="H9" s="86">
        <v>7</v>
      </c>
      <c r="K9" s="64"/>
    </row>
    <row r="10" spans="1:11" ht="15.75" x14ac:dyDescent="0.25">
      <c r="A10" s="138" t="s">
        <v>83</v>
      </c>
      <c r="B10" s="139"/>
      <c r="C10" s="140"/>
      <c r="D10" s="140"/>
      <c r="E10" s="139"/>
      <c r="F10" s="87">
        <f>SUM(F11:F31)</f>
        <v>137620.28859099999</v>
      </c>
      <c r="G10" s="87"/>
      <c r="H10" s="87">
        <f>SUM(H11:H31)</f>
        <v>1152055.9700000002</v>
      </c>
      <c r="I10" s="88"/>
      <c r="J10" s="88"/>
      <c r="K10" s="88"/>
    </row>
    <row r="11" spans="1:11" ht="94.5" x14ac:dyDescent="0.25">
      <c r="A11" s="89">
        <v>1</v>
      </c>
      <c r="B11" s="104"/>
      <c r="C11" s="90" t="s">
        <v>84</v>
      </c>
      <c r="D11" s="91" t="s">
        <v>85</v>
      </c>
      <c r="E11" s="89" t="s">
        <v>86</v>
      </c>
      <c r="F11" s="89">
        <v>35111.113729999997</v>
      </c>
      <c r="G11" s="92">
        <v>7.8</v>
      </c>
      <c r="H11" s="92">
        <f t="shared" ref="H11:H31" si="0">ROUND(F11*G11,2)</f>
        <v>273866.69</v>
      </c>
      <c r="K11" s="64"/>
    </row>
    <row r="12" spans="1:11" ht="94.5" x14ac:dyDescent="0.25">
      <c r="A12" s="89">
        <v>2</v>
      </c>
      <c r="B12" s="104"/>
      <c r="C12" s="90" t="s">
        <v>87</v>
      </c>
      <c r="D12" s="91" t="s">
        <v>88</v>
      </c>
      <c r="E12" s="89" t="s">
        <v>86</v>
      </c>
      <c r="F12" s="89">
        <v>33515.888722999996</v>
      </c>
      <c r="G12" s="92">
        <v>7.5</v>
      </c>
      <c r="H12" s="92">
        <f t="shared" si="0"/>
        <v>251369.17</v>
      </c>
      <c r="K12" s="64"/>
    </row>
    <row r="13" spans="1:11" ht="94.5" x14ac:dyDescent="0.25">
      <c r="A13" s="89">
        <v>3</v>
      </c>
      <c r="B13" s="104"/>
      <c r="C13" s="90" t="s">
        <v>89</v>
      </c>
      <c r="D13" s="91" t="s">
        <v>90</v>
      </c>
      <c r="E13" s="89" t="s">
        <v>86</v>
      </c>
      <c r="F13" s="89">
        <v>18557.294699999999</v>
      </c>
      <c r="G13" s="92">
        <v>9.07</v>
      </c>
      <c r="H13" s="92">
        <f t="shared" si="0"/>
        <v>168314.66</v>
      </c>
      <c r="K13" s="64"/>
    </row>
    <row r="14" spans="1:11" ht="94.5" x14ac:dyDescent="0.25">
      <c r="A14" s="89">
        <v>4</v>
      </c>
      <c r="B14" s="104"/>
      <c r="C14" s="90" t="s">
        <v>91</v>
      </c>
      <c r="D14" s="91" t="s">
        <v>92</v>
      </c>
      <c r="E14" s="89" t="s">
        <v>86</v>
      </c>
      <c r="F14" s="89">
        <v>12599.323861000001</v>
      </c>
      <c r="G14" s="92">
        <v>9.4</v>
      </c>
      <c r="H14" s="92">
        <f t="shared" si="0"/>
        <v>118433.64</v>
      </c>
      <c r="K14" s="64"/>
    </row>
    <row r="15" spans="1:11" ht="94.5" x14ac:dyDescent="0.25">
      <c r="A15" s="89">
        <v>5</v>
      </c>
      <c r="B15" s="104"/>
      <c r="C15" s="90" t="s">
        <v>93</v>
      </c>
      <c r="D15" s="91" t="s">
        <v>94</v>
      </c>
      <c r="E15" s="89" t="s">
        <v>86</v>
      </c>
      <c r="F15" s="89">
        <v>11824.92815</v>
      </c>
      <c r="G15" s="92">
        <v>8.5299999999999994</v>
      </c>
      <c r="H15" s="92">
        <f t="shared" si="0"/>
        <v>100866.64</v>
      </c>
      <c r="K15" s="64"/>
    </row>
    <row r="16" spans="1:11" ht="94.5" x14ac:dyDescent="0.25">
      <c r="A16" s="89">
        <v>6</v>
      </c>
      <c r="B16" s="104"/>
      <c r="C16" s="90" t="s">
        <v>95</v>
      </c>
      <c r="D16" s="91" t="s">
        <v>96</v>
      </c>
      <c r="E16" s="89" t="s">
        <v>86</v>
      </c>
      <c r="F16" s="89">
        <v>9167.1059999999998</v>
      </c>
      <c r="G16" s="92">
        <v>9.6199999999999992</v>
      </c>
      <c r="H16" s="92">
        <f t="shared" si="0"/>
        <v>88187.56</v>
      </c>
      <c r="K16" s="64"/>
    </row>
    <row r="17" spans="1:12" ht="94.5" x14ac:dyDescent="0.25">
      <c r="A17" s="89">
        <v>7</v>
      </c>
      <c r="B17" s="104"/>
      <c r="C17" s="90" t="s">
        <v>97</v>
      </c>
      <c r="D17" s="91" t="s">
        <v>98</v>
      </c>
      <c r="E17" s="89" t="s">
        <v>86</v>
      </c>
      <c r="F17" s="89">
        <v>4165.7967779999999</v>
      </c>
      <c r="G17" s="92">
        <v>10.06</v>
      </c>
      <c r="H17" s="92">
        <f t="shared" si="0"/>
        <v>41907.919999999998</v>
      </c>
      <c r="K17" s="64"/>
    </row>
    <row r="18" spans="1:12" ht="94.5" x14ac:dyDescent="0.25">
      <c r="A18" s="89">
        <v>8</v>
      </c>
      <c r="B18" s="104"/>
      <c r="C18" s="90" t="s">
        <v>99</v>
      </c>
      <c r="D18" s="91" t="s">
        <v>100</v>
      </c>
      <c r="E18" s="89" t="s">
        <v>86</v>
      </c>
      <c r="F18" s="89">
        <v>2424.1796589999999</v>
      </c>
      <c r="G18" s="92">
        <v>9.51</v>
      </c>
      <c r="H18" s="92">
        <f t="shared" si="0"/>
        <v>23053.95</v>
      </c>
      <c r="K18" s="64"/>
    </row>
    <row r="19" spans="1:12" ht="94.5" x14ac:dyDescent="0.25">
      <c r="A19" s="89">
        <v>9</v>
      </c>
      <c r="B19" s="104"/>
      <c r="C19" s="90" t="s">
        <v>101</v>
      </c>
      <c r="D19" s="91" t="s">
        <v>102</v>
      </c>
      <c r="E19" s="89" t="s">
        <v>86</v>
      </c>
      <c r="F19" s="89">
        <v>2162.46</v>
      </c>
      <c r="G19" s="92">
        <v>8.48</v>
      </c>
      <c r="H19" s="92">
        <f t="shared" si="0"/>
        <v>18337.66</v>
      </c>
      <c r="K19" s="64"/>
      <c r="L19" s="40"/>
    </row>
    <row r="20" spans="1:12" ht="94.5" x14ac:dyDescent="0.25">
      <c r="A20" s="89">
        <v>10</v>
      </c>
      <c r="B20" s="104"/>
      <c r="C20" s="90" t="s">
        <v>103</v>
      </c>
      <c r="D20" s="91" t="s">
        <v>104</v>
      </c>
      <c r="E20" s="89" t="s">
        <v>86</v>
      </c>
      <c r="F20" s="89">
        <v>1928.5</v>
      </c>
      <c r="G20" s="92">
        <v>8.24</v>
      </c>
      <c r="H20" s="92">
        <f t="shared" si="0"/>
        <v>15890.84</v>
      </c>
      <c r="K20" s="64"/>
    </row>
    <row r="21" spans="1:12" ht="94.5" x14ac:dyDescent="0.25">
      <c r="A21" s="89">
        <v>11</v>
      </c>
      <c r="B21" s="104"/>
      <c r="C21" s="90" t="s">
        <v>105</v>
      </c>
      <c r="D21" s="91" t="s">
        <v>106</v>
      </c>
      <c r="E21" s="89" t="s">
        <v>86</v>
      </c>
      <c r="F21" s="89">
        <v>1958.37499</v>
      </c>
      <c r="G21" s="92">
        <v>7.19</v>
      </c>
      <c r="H21" s="92">
        <f t="shared" si="0"/>
        <v>14080.72</v>
      </c>
      <c r="K21" s="64"/>
    </row>
    <row r="22" spans="1:12" ht="94.5" x14ac:dyDescent="0.25">
      <c r="A22" s="89">
        <v>12</v>
      </c>
      <c r="B22" s="104"/>
      <c r="C22" s="90" t="s">
        <v>107</v>
      </c>
      <c r="D22" s="91" t="s">
        <v>108</v>
      </c>
      <c r="E22" s="89" t="s">
        <v>86</v>
      </c>
      <c r="F22" s="89">
        <v>1460.54</v>
      </c>
      <c r="G22" s="92">
        <v>7.94</v>
      </c>
      <c r="H22" s="92">
        <f t="shared" si="0"/>
        <v>11596.69</v>
      </c>
      <c r="K22" s="64"/>
    </row>
    <row r="23" spans="1:12" ht="94.5" x14ac:dyDescent="0.25">
      <c r="A23" s="89">
        <v>13</v>
      </c>
      <c r="B23" s="104"/>
      <c r="C23" s="90" t="s">
        <v>109</v>
      </c>
      <c r="D23" s="91" t="s">
        <v>110</v>
      </c>
      <c r="E23" s="89" t="s">
        <v>86</v>
      </c>
      <c r="F23" s="89">
        <v>1248.3</v>
      </c>
      <c r="G23" s="92">
        <v>8.31</v>
      </c>
      <c r="H23" s="92">
        <f t="shared" si="0"/>
        <v>10373.370000000001</v>
      </c>
      <c r="K23" s="64"/>
    </row>
    <row r="24" spans="1:12" ht="94.5" x14ac:dyDescent="0.25">
      <c r="A24" s="89">
        <v>14</v>
      </c>
      <c r="B24" s="104"/>
      <c r="C24" s="90" t="s">
        <v>111</v>
      </c>
      <c r="D24" s="91" t="s">
        <v>112</v>
      </c>
      <c r="E24" s="89" t="s">
        <v>86</v>
      </c>
      <c r="F24" s="89">
        <v>576</v>
      </c>
      <c r="G24" s="92">
        <v>9.2899999999999991</v>
      </c>
      <c r="H24" s="92">
        <f t="shared" si="0"/>
        <v>5351.04</v>
      </c>
      <c r="K24" s="64"/>
    </row>
    <row r="25" spans="1:12" ht="94.5" x14ac:dyDescent="0.25">
      <c r="A25" s="89">
        <v>15</v>
      </c>
      <c r="B25" s="104"/>
      <c r="C25" s="90" t="s">
        <v>113</v>
      </c>
      <c r="D25" s="91" t="s">
        <v>114</v>
      </c>
      <c r="E25" s="89" t="s">
        <v>86</v>
      </c>
      <c r="F25" s="89">
        <v>272.68</v>
      </c>
      <c r="G25" s="92">
        <v>12.92</v>
      </c>
      <c r="H25" s="92">
        <f t="shared" si="0"/>
        <v>3523.03</v>
      </c>
      <c r="K25" s="64"/>
    </row>
    <row r="26" spans="1:12" ht="94.5" x14ac:dyDescent="0.25">
      <c r="A26" s="89">
        <v>16</v>
      </c>
      <c r="B26" s="104"/>
      <c r="C26" s="90" t="s">
        <v>115</v>
      </c>
      <c r="D26" s="91" t="s">
        <v>116</v>
      </c>
      <c r="E26" s="89" t="s">
        <v>86</v>
      </c>
      <c r="F26" s="89">
        <v>280.30200000000002</v>
      </c>
      <c r="G26" s="92">
        <v>8.86</v>
      </c>
      <c r="H26" s="92">
        <f t="shared" si="0"/>
        <v>2483.48</v>
      </c>
      <c r="K26" s="64"/>
    </row>
    <row r="27" spans="1:12" ht="94.5" x14ac:dyDescent="0.25">
      <c r="A27" s="89">
        <v>17</v>
      </c>
      <c r="B27" s="104"/>
      <c r="C27" s="90" t="s">
        <v>117</v>
      </c>
      <c r="D27" s="91" t="s">
        <v>118</v>
      </c>
      <c r="E27" s="89" t="s">
        <v>86</v>
      </c>
      <c r="F27" s="89">
        <v>187.2</v>
      </c>
      <c r="G27" s="92">
        <v>9.92</v>
      </c>
      <c r="H27" s="92">
        <f t="shared" si="0"/>
        <v>1857.02</v>
      </c>
      <c r="K27" s="64"/>
    </row>
    <row r="28" spans="1:12" ht="47.25" x14ac:dyDescent="0.25">
      <c r="A28" s="89">
        <v>18</v>
      </c>
      <c r="B28" s="104"/>
      <c r="C28" s="90" t="s">
        <v>119</v>
      </c>
      <c r="D28" s="91" t="s">
        <v>120</v>
      </c>
      <c r="E28" s="89" t="s">
        <v>86</v>
      </c>
      <c r="F28" s="89">
        <v>68.900000000000006</v>
      </c>
      <c r="G28" s="92">
        <v>12.92</v>
      </c>
      <c r="H28" s="92">
        <f t="shared" si="0"/>
        <v>890.19</v>
      </c>
      <c r="K28" s="64"/>
    </row>
    <row r="29" spans="1:12" ht="94.5" x14ac:dyDescent="0.25">
      <c r="A29" s="89">
        <v>19</v>
      </c>
      <c r="B29" s="104"/>
      <c r="C29" s="90" t="s">
        <v>121</v>
      </c>
      <c r="D29" s="91" t="s">
        <v>122</v>
      </c>
      <c r="E29" s="89" t="s">
        <v>86</v>
      </c>
      <c r="F29" s="89">
        <v>40.68</v>
      </c>
      <c r="G29" s="92">
        <v>14.06</v>
      </c>
      <c r="H29" s="92">
        <f t="shared" si="0"/>
        <v>571.96</v>
      </c>
      <c r="K29" s="64"/>
    </row>
    <row r="30" spans="1:12" ht="63" x14ac:dyDescent="0.25">
      <c r="A30" s="89">
        <v>20</v>
      </c>
      <c r="B30" s="104"/>
      <c r="C30" s="90" t="s">
        <v>123</v>
      </c>
      <c r="D30" s="91" t="s">
        <v>124</v>
      </c>
      <c r="E30" s="89" t="s">
        <v>86</v>
      </c>
      <c r="F30" s="89">
        <v>67.739999999999995</v>
      </c>
      <c r="G30" s="92">
        <v>15.49</v>
      </c>
      <c r="H30" s="92">
        <f t="shared" si="0"/>
        <v>1049.29</v>
      </c>
      <c r="K30" s="64"/>
      <c r="L30" s="40"/>
    </row>
    <row r="31" spans="1:12" ht="63" x14ac:dyDescent="0.25">
      <c r="A31" s="89">
        <v>21</v>
      </c>
      <c r="B31" s="104"/>
      <c r="C31" s="90" t="s">
        <v>125</v>
      </c>
      <c r="D31" s="91" t="s">
        <v>126</v>
      </c>
      <c r="E31" s="89" t="s">
        <v>86</v>
      </c>
      <c r="F31" s="89">
        <v>2.98</v>
      </c>
      <c r="G31" s="92">
        <v>16.93</v>
      </c>
      <c r="H31" s="92">
        <f t="shared" si="0"/>
        <v>50.45</v>
      </c>
      <c r="K31" s="64"/>
    </row>
    <row r="32" spans="1:12" ht="15.75" x14ac:dyDescent="0.25">
      <c r="A32" s="138" t="s">
        <v>127</v>
      </c>
      <c r="B32" s="139"/>
      <c r="C32" s="140"/>
      <c r="D32" s="140"/>
      <c r="E32" s="139"/>
      <c r="F32" s="93">
        <f>F33</f>
        <v>46210.180326299997</v>
      </c>
      <c r="G32" s="87"/>
      <c r="H32" s="87">
        <f>H33</f>
        <v>606994.22</v>
      </c>
      <c r="K32" s="64"/>
    </row>
    <row r="33" spans="1:11" ht="63" x14ac:dyDescent="0.25">
      <c r="A33" s="89">
        <v>22</v>
      </c>
      <c r="B33" s="105"/>
      <c r="C33" s="99">
        <v>2</v>
      </c>
      <c r="D33" s="91" t="s">
        <v>127</v>
      </c>
      <c r="E33" s="89" t="s">
        <v>86</v>
      </c>
      <c r="F33" s="89">
        <v>46210.180326299997</v>
      </c>
      <c r="G33" s="92"/>
      <c r="H33" s="92">
        <v>606994.22</v>
      </c>
      <c r="K33" s="64"/>
    </row>
    <row r="34" spans="1:11" ht="15.75" x14ac:dyDescent="0.25">
      <c r="A34" s="138" t="s">
        <v>128</v>
      </c>
      <c r="B34" s="139"/>
      <c r="C34" s="140"/>
      <c r="D34" s="140"/>
      <c r="E34" s="139"/>
      <c r="F34" s="93"/>
      <c r="G34" s="87"/>
      <c r="H34" s="87">
        <f>SUM(H35:H81)</f>
        <v>11615889.670000002</v>
      </c>
      <c r="I34" s="88"/>
      <c r="J34" s="88"/>
      <c r="K34" s="88"/>
    </row>
    <row r="35" spans="1:11" ht="110.25" x14ac:dyDescent="0.25">
      <c r="A35" s="89">
        <v>23</v>
      </c>
      <c r="B35" s="105"/>
      <c r="C35" s="91" t="s">
        <v>129</v>
      </c>
      <c r="D35" s="91" t="s">
        <v>130</v>
      </c>
      <c r="E35" s="89" t="s">
        <v>131</v>
      </c>
      <c r="F35" s="89">
        <v>3103.9004439605001</v>
      </c>
      <c r="G35" s="92">
        <v>477.52</v>
      </c>
      <c r="H35" s="92">
        <f t="shared" ref="H35:H68" si="1">ROUND(F35*G35,2)</f>
        <v>1482174.54</v>
      </c>
      <c r="K35" s="64"/>
    </row>
    <row r="36" spans="1:11" ht="110.25" x14ac:dyDescent="0.25">
      <c r="A36" s="89">
        <v>24</v>
      </c>
      <c r="B36" s="105"/>
      <c r="C36" s="91" t="s">
        <v>129</v>
      </c>
      <c r="D36" s="91" t="s">
        <v>130</v>
      </c>
      <c r="E36" s="89" t="s">
        <v>131</v>
      </c>
      <c r="F36" s="89">
        <v>2308.42</v>
      </c>
      <c r="G36" s="92">
        <v>477.52</v>
      </c>
      <c r="H36" s="92">
        <f t="shared" si="1"/>
        <v>1102316.72</v>
      </c>
      <c r="I36" s="88"/>
      <c r="J36" s="88"/>
      <c r="K36" s="88"/>
    </row>
    <row r="37" spans="1:11" ht="94.5" x14ac:dyDescent="0.25">
      <c r="A37" s="130">
        <v>25</v>
      </c>
      <c r="B37" s="105"/>
      <c r="C37" s="91" t="s">
        <v>132</v>
      </c>
      <c r="D37" s="91" t="s">
        <v>133</v>
      </c>
      <c r="E37" s="89" t="s">
        <v>131</v>
      </c>
      <c r="F37" s="89">
        <v>1500.3980429999999</v>
      </c>
      <c r="G37" s="92">
        <v>243.49</v>
      </c>
      <c r="H37" s="92">
        <f t="shared" si="1"/>
        <v>365331.92</v>
      </c>
      <c r="K37" s="64"/>
    </row>
    <row r="38" spans="1:11" ht="110.25" x14ac:dyDescent="0.25">
      <c r="A38" s="130">
        <v>26</v>
      </c>
      <c r="B38" s="105"/>
      <c r="C38" s="91" t="s">
        <v>134</v>
      </c>
      <c r="D38" s="91" t="s">
        <v>135</v>
      </c>
      <c r="E38" s="89" t="s">
        <v>131</v>
      </c>
      <c r="F38" s="89">
        <v>490.74</v>
      </c>
      <c r="G38" s="92">
        <v>29.6</v>
      </c>
      <c r="H38" s="92">
        <f t="shared" si="1"/>
        <v>14525.9</v>
      </c>
      <c r="K38" s="64"/>
    </row>
    <row r="39" spans="1:11" ht="94.5" x14ac:dyDescent="0.25">
      <c r="A39" s="130">
        <v>27</v>
      </c>
      <c r="B39" s="105"/>
      <c r="C39" s="91" t="s">
        <v>136</v>
      </c>
      <c r="D39" s="91" t="s">
        <v>137</v>
      </c>
      <c r="E39" s="89" t="s">
        <v>131</v>
      </c>
      <c r="F39" s="89">
        <v>14013.947155768001</v>
      </c>
      <c r="G39" s="92">
        <v>94.05</v>
      </c>
      <c r="H39" s="92">
        <f t="shared" si="1"/>
        <v>1318011.73</v>
      </c>
      <c r="K39" s="64"/>
    </row>
    <row r="40" spans="1:11" ht="94.5" x14ac:dyDescent="0.25">
      <c r="A40" s="130">
        <v>28</v>
      </c>
      <c r="B40" s="105"/>
      <c r="C40" s="91" t="s">
        <v>136</v>
      </c>
      <c r="D40" s="91" t="s">
        <v>137</v>
      </c>
      <c r="E40" s="89" t="s">
        <v>131</v>
      </c>
      <c r="F40" s="89">
        <v>13987.2791</v>
      </c>
      <c r="G40" s="92">
        <v>94.05</v>
      </c>
      <c r="H40" s="92">
        <f t="shared" si="1"/>
        <v>1315503.6000000001</v>
      </c>
      <c r="K40" s="64"/>
    </row>
    <row r="41" spans="1:11" ht="94.5" x14ac:dyDescent="0.25">
      <c r="A41" s="130">
        <v>29</v>
      </c>
      <c r="B41" s="105"/>
      <c r="C41" s="91" t="s">
        <v>138</v>
      </c>
      <c r="D41" s="91" t="s">
        <v>139</v>
      </c>
      <c r="E41" s="89" t="s">
        <v>131</v>
      </c>
      <c r="F41" s="89">
        <v>12.27984</v>
      </c>
      <c r="G41" s="92">
        <v>79.069999999999993</v>
      </c>
      <c r="H41" s="92">
        <f t="shared" si="1"/>
        <v>970.97</v>
      </c>
      <c r="K41" s="64"/>
    </row>
    <row r="42" spans="1:11" ht="94.5" x14ac:dyDescent="0.25">
      <c r="A42" s="130">
        <v>30</v>
      </c>
      <c r="B42" s="105"/>
      <c r="C42" s="91" t="s">
        <v>140</v>
      </c>
      <c r="D42" s="91" t="s">
        <v>141</v>
      </c>
      <c r="E42" s="89" t="s">
        <v>131</v>
      </c>
      <c r="F42" s="89">
        <v>12.55846</v>
      </c>
      <c r="G42" s="92">
        <v>122.4</v>
      </c>
      <c r="H42" s="92">
        <f t="shared" si="1"/>
        <v>1537.16</v>
      </c>
      <c r="K42" s="64"/>
    </row>
    <row r="43" spans="1:11" ht="189" x14ac:dyDescent="0.25">
      <c r="A43" s="130">
        <v>31</v>
      </c>
      <c r="B43" s="105"/>
      <c r="C43" s="91" t="s">
        <v>142</v>
      </c>
      <c r="D43" s="91" t="s">
        <v>143</v>
      </c>
      <c r="E43" s="89" t="s">
        <v>131</v>
      </c>
      <c r="F43" s="89">
        <v>8316.5365999999995</v>
      </c>
      <c r="G43" s="92">
        <v>115.27</v>
      </c>
      <c r="H43" s="92">
        <f t="shared" si="1"/>
        <v>958647.17</v>
      </c>
      <c r="K43" s="64"/>
    </row>
    <row r="44" spans="1:11" ht="126" x14ac:dyDescent="0.25">
      <c r="A44" s="130">
        <v>32</v>
      </c>
      <c r="B44" s="105"/>
      <c r="C44" s="91" t="s">
        <v>144</v>
      </c>
      <c r="D44" s="91" t="s">
        <v>145</v>
      </c>
      <c r="E44" s="89" t="s">
        <v>131</v>
      </c>
      <c r="F44" s="89">
        <v>1957.8921352560001</v>
      </c>
      <c r="G44" s="92">
        <v>476.43</v>
      </c>
      <c r="H44" s="92">
        <f t="shared" si="1"/>
        <v>932798.55</v>
      </c>
      <c r="K44" s="64"/>
    </row>
    <row r="45" spans="1:11" ht="126" x14ac:dyDescent="0.25">
      <c r="A45" s="130">
        <v>33</v>
      </c>
      <c r="B45" s="105"/>
      <c r="C45" s="91" t="s">
        <v>144</v>
      </c>
      <c r="D45" s="91" t="s">
        <v>145</v>
      </c>
      <c r="E45" s="89" t="s">
        <v>131</v>
      </c>
      <c r="F45" s="89">
        <v>1126.404378</v>
      </c>
      <c r="G45" s="92">
        <v>476.43</v>
      </c>
      <c r="H45" s="92">
        <f t="shared" si="1"/>
        <v>536652.84</v>
      </c>
      <c r="K45" s="64"/>
    </row>
    <row r="46" spans="1:11" ht="126" x14ac:dyDescent="0.25">
      <c r="A46" s="130">
        <v>34</v>
      </c>
      <c r="B46" s="105"/>
      <c r="C46" s="91" t="s">
        <v>146</v>
      </c>
      <c r="D46" s="91" t="s">
        <v>147</v>
      </c>
      <c r="E46" s="89" t="s">
        <v>131</v>
      </c>
      <c r="F46" s="89">
        <v>3432.805104</v>
      </c>
      <c r="G46" s="92">
        <v>115.4</v>
      </c>
      <c r="H46" s="92">
        <f t="shared" si="1"/>
        <v>396145.71</v>
      </c>
      <c r="K46" s="64"/>
    </row>
    <row r="47" spans="1:11" ht="78.75" x14ac:dyDescent="0.25">
      <c r="A47" s="130">
        <v>35</v>
      </c>
      <c r="B47" s="105"/>
      <c r="C47" s="91" t="s">
        <v>148</v>
      </c>
      <c r="D47" s="91" t="s">
        <v>149</v>
      </c>
      <c r="E47" s="89" t="s">
        <v>131</v>
      </c>
      <c r="F47" s="89">
        <v>1106.27585</v>
      </c>
      <c r="G47" s="92">
        <v>793.53</v>
      </c>
      <c r="H47" s="92">
        <f t="shared" si="1"/>
        <v>877863.08</v>
      </c>
      <c r="K47" s="64"/>
    </row>
    <row r="48" spans="1:11" ht="157.5" x14ac:dyDescent="0.25">
      <c r="A48" s="130">
        <v>36</v>
      </c>
      <c r="B48" s="105"/>
      <c r="C48" s="91" t="s">
        <v>150</v>
      </c>
      <c r="D48" s="91" t="s">
        <v>151</v>
      </c>
      <c r="E48" s="89" t="s">
        <v>131</v>
      </c>
      <c r="F48" s="89">
        <v>723.43281200000001</v>
      </c>
      <c r="G48" s="92">
        <v>637.76</v>
      </c>
      <c r="H48" s="92">
        <f t="shared" si="1"/>
        <v>461376.51</v>
      </c>
      <c r="K48" s="64"/>
    </row>
    <row r="49" spans="1:11" ht="141.75" x14ac:dyDescent="0.25">
      <c r="A49" s="130">
        <v>37</v>
      </c>
      <c r="B49" s="105"/>
      <c r="C49" s="91" t="s">
        <v>152</v>
      </c>
      <c r="D49" s="91" t="s">
        <v>153</v>
      </c>
      <c r="E49" s="89" t="s">
        <v>131</v>
      </c>
      <c r="F49" s="89">
        <v>2246.2915281829</v>
      </c>
      <c r="G49" s="92">
        <v>147.43</v>
      </c>
      <c r="H49" s="92">
        <f t="shared" si="1"/>
        <v>331170.76</v>
      </c>
      <c r="K49" s="64"/>
    </row>
    <row r="50" spans="1:11" ht="141.75" x14ac:dyDescent="0.25">
      <c r="A50" s="130">
        <v>38</v>
      </c>
      <c r="B50" s="105"/>
      <c r="C50" s="91" t="s">
        <v>152</v>
      </c>
      <c r="D50" s="91" t="s">
        <v>153</v>
      </c>
      <c r="E50" s="89" t="s">
        <v>131</v>
      </c>
      <c r="F50" s="89">
        <v>2246.2810100000002</v>
      </c>
      <c r="G50" s="92">
        <v>147.43</v>
      </c>
      <c r="H50" s="92">
        <f t="shared" si="1"/>
        <v>331169.21000000002</v>
      </c>
      <c r="K50" s="64"/>
    </row>
    <row r="51" spans="1:11" ht="141.75" x14ac:dyDescent="0.25">
      <c r="A51" s="130">
        <v>39</v>
      </c>
      <c r="B51" s="105"/>
      <c r="C51" s="91" t="s">
        <v>154</v>
      </c>
      <c r="D51" s="91" t="s">
        <v>155</v>
      </c>
      <c r="E51" s="89" t="s">
        <v>131</v>
      </c>
      <c r="F51" s="89">
        <v>1.8620000000000001E-2</v>
      </c>
      <c r="G51" s="92">
        <v>83.24</v>
      </c>
      <c r="H51" s="92">
        <f t="shared" si="1"/>
        <v>1.55</v>
      </c>
      <c r="K51" s="64"/>
    </row>
    <row r="52" spans="1:11" ht="47.25" x14ac:dyDescent="0.25">
      <c r="A52" s="130">
        <v>40</v>
      </c>
      <c r="B52" s="105"/>
      <c r="C52" s="91" t="s">
        <v>156</v>
      </c>
      <c r="D52" s="91" t="s">
        <v>157</v>
      </c>
      <c r="E52" s="89" t="s">
        <v>131</v>
      </c>
      <c r="F52" s="89">
        <v>110639.4</v>
      </c>
      <c r="G52" s="92">
        <v>2.96</v>
      </c>
      <c r="H52" s="92">
        <f t="shared" si="1"/>
        <v>327492.62</v>
      </c>
      <c r="K52" s="64"/>
    </row>
    <row r="53" spans="1:11" ht="110.25" x14ac:dyDescent="0.25">
      <c r="A53" s="130">
        <v>41</v>
      </c>
      <c r="B53" s="105"/>
      <c r="C53" s="91"/>
      <c r="D53" s="91" t="s">
        <v>158</v>
      </c>
      <c r="E53" s="89"/>
      <c r="F53" s="89"/>
      <c r="G53" s="92"/>
      <c r="H53" s="92">
        <f t="shared" si="1"/>
        <v>0</v>
      </c>
      <c r="K53" s="64"/>
    </row>
    <row r="54" spans="1:11" ht="78.75" x14ac:dyDescent="0.25">
      <c r="A54" s="130">
        <v>42</v>
      </c>
      <c r="B54" s="105"/>
      <c r="C54" s="91" t="s">
        <v>159</v>
      </c>
      <c r="D54" s="91" t="s">
        <v>160</v>
      </c>
      <c r="E54" s="89" t="s">
        <v>131</v>
      </c>
      <c r="F54" s="89">
        <v>1717.6258</v>
      </c>
      <c r="G54" s="92">
        <v>110</v>
      </c>
      <c r="H54" s="92">
        <f t="shared" si="1"/>
        <v>188938.84</v>
      </c>
      <c r="K54" s="64"/>
    </row>
    <row r="55" spans="1:11" ht="299.25" x14ac:dyDescent="0.25">
      <c r="A55" s="130">
        <v>43</v>
      </c>
      <c r="B55" s="105"/>
      <c r="C55" s="91" t="s">
        <v>161</v>
      </c>
      <c r="D55" s="91" t="s">
        <v>162</v>
      </c>
      <c r="E55" s="89" t="s">
        <v>131</v>
      </c>
      <c r="F55" s="89">
        <v>1827.60554</v>
      </c>
      <c r="G55" s="92">
        <v>90</v>
      </c>
      <c r="H55" s="92">
        <f t="shared" si="1"/>
        <v>164484.5</v>
      </c>
      <c r="K55" s="64"/>
    </row>
    <row r="56" spans="1:11" ht="126" x14ac:dyDescent="0.25">
      <c r="A56" s="130">
        <v>44</v>
      </c>
      <c r="B56" s="105"/>
      <c r="C56" s="91" t="s">
        <v>163</v>
      </c>
      <c r="D56" s="91" t="s">
        <v>164</v>
      </c>
      <c r="E56" s="89" t="s">
        <v>131</v>
      </c>
      <c r="F56" s="89">
        <v>787.13720000000001</v>
      </c>
      <c r="G56" s="92">
        <v>189.96</v>
      </c>
      <c r="H56" s="92">
        <f t="shared" si="1"/>
        <v>149524.57999999999</v>
      </c>
      <c r="K56" s="64"/>
    </row>
    <row r="57" spans="1:11" ht="126" x14ac:dyDescent="0.25">
      <c r="A57" s="130">
        <v>45</v>
      </c>
      <c r="B57" s="105"/>
      <c r="C57" s="91" t="s">
        <v>165</v>
      </c>
      <c r="D57" s="91" t="s">
        <v>166</v>
      </c>
      <c r="E57" s="89" t="s">
        <v>131</v>
      </c>
      <c r="F57" s="89">
        <v>1124.424</v>
      </c>
      <c r="G57" s="92">
        <v>102.51</v>
      </c>
      <c r="H57" s="92">
        <f t="shared" si="1"/>
        <v>115264.7</v>
      </c>
      <c r="K57" s="64"/>
    </row>
    <row r="58" spans="1:11" ht="47.25" x14ac:dyDescent="0.25">
      <c r="A58" s="130">
        <v>46</v>
      </c>
      <c r="B58" s="105"/>
      <c r="C58" s="91" t="s">
        <v>167</v>
      </c>
      <c r="D58" s="91" t="s">
        <v>168</v>
      </c>
      <c r="E58" s="89" t="s">
        <v>131</v>
      </c>
      <c r="F58" s="89">
        <v>3103.7</v>
      </c>
      <c r="G58" s="92">
        <v>27.2</v>
      </c>
      <c r="H58" s="92">
        <f t="shared" si="1"/>
        <v>84420.64</v>
      </c>
      <c r="K58" s="64"/>
    </row>
    <row r="59" spans="1:11" ht="94.5" x14ac:dyDescent="0.25">
      <c r="A59" s="130">
        <v>47</v>
      </c>
      <c r="B59" s="105"/>
      <c r="C59" s="91" t="s">
        <v>169</v>
      </c>
      <c r="D59" s="91" t="s">
        <v>170</v>
      </c>
      <c r="E59" s="89" t="s">
        <v>131</v>
      </c>
      <c r="F59" s="89">
        <v>620.10308799999996</v>
      </c>
      <c r="G59" s="92">
        <v>94.38</v>
      </c>
      <c r="H59" s="92">
        <f t="shared" si="1"/>
        <v>58525.33</v>
      </c>
      <c r="K59" s="64"/>
    </row>
    <row r="60" spans="1:11" ht="204.75" x14ac:dyDescent="0.25">
      <c r="A60" s="130">
        <v>48</v>
      </c>
      <c r="B60" s="105"/>
      <c r="C60" s="91" t="s">
        <v>171</v>
      </c>
      <c r="D60" s="91" t="s">
        <v>172</v>
      </c>
      <c r="E60" s="89" t="s">
        <v>131</v>
      </c>
      <c r="F60" s="89">
        <v>137.88399999999999</v>
      </c>
      <c r="G60" s="92">
        <v>127.95</v>
      </c>
      <c r="H60" s="92">
        <f t="shared" si="1"/>
        <v>17642.259999999998</v>
      </c>
      <c r="K60" s="64"/>
    </row>
    <row r="61" spans="1:11" ht="94.5" x14ac:dyDescent="0.25">
      <c r="A61" s="130">
        <v>49</v>
      </c>
      <c r="B61" s="105"/>
      <c r="C61" s="91" t="s">
        <v>173</v>
      </c>
      <c r="D61" s="91" t="s">
        <v>174</v>
      </c>
      <c r="E61" s="89" t="s">
        <v>131</v>
      </c>
      <c r="F61" s="89">
        <v>502.99849999999998</v>
      </c>
      <c r="G61" s="92">
        <v>32.090000000000003</v>
      </c>
      <c r="H61" s="92">
        <f t="shared" si="1"/>
        <v>16141.22</v>
      </c>
      <c r="K61" s="64"/>
    </row>
    <row r="62" spans="1:11" ht="252" x14ac:dyDescent="0.25">
      <c r="A62" s="130">
        <v>50</v>
      </c>
      <c r="B62" s="105"/>
      <c r="C62" s="91" t="s">
        <v>175</v>
      </c>
      <c r="D62" s="91" t="s">
        <v>176</v>
      </c>
      <c r="E62" s="89" t="s">
        <v>131</v>
      </c>
      <c r="F62" s="89">
        <v>1113.4208759999999</v>
      </c>
      <c r="G62" s="92">
        <v>14</v>
      </c>
      <c r="H62" s="92">
        <f t="shared" si="1"/>
        <v>15587.89</v>
      </c>
      <c r="K62" s="64"/>
    </row>
    <row r="63" spans="1:11" ht="126" x14ac:dyDescent="0.25">
      <c r="A63" s="130">
        <v>51</v>
      </c>
      <c r="B63" s="105"/>
      <c r="C63" s="91" t="s">
        <v>177</v>
      </c>
      <c r="D63" s="91" t="s">
        <v>178</v>
      </c>
      <c r="E63" s="89" t="s">
        <v>131</v>
      </c>
      <c r="F63" s="89">
        <v>620.10308799999996</v>
      </c>
      <c r="G63" s="92">
        <v>19.760000000000002</v>
      </c>
      <c r="H63" s="92">
        <f t="shared" si="1"/>
        <v>12253.24</v>
      </c>
      <c r="K63" s="64"/>
    </row>
    <row r="64" spans="1:11" ht="110.25" x14ac:dyDescent="0.25">
      <c r="A64" s="130">
        <v>52</v>
      </c>
      <c r="B64" s="105"/>
      <c r="C64" s="91" t="s">
        <v>179</v>
      </c>
      <c r="D64" s="91" t="s">
        <v>180</v>
      </c>
      <c r="E64" s="89" t="s">
        <v>131</v>
      </c>
      <c r="F64" s="89">
        <v>186.14869999999999</v>
      </c>
      <c r="G64" s="92">
        <v>65.709999999999994</v>
      </c>
      <c r="H64" s="92">
        <f t="shared" si="1"/>
        <v>12231.83</v>
      </c>
      <c r="K64" s="64"/>
    </row>
    <row r="65" spans="1:11" ht="220.5" x14ac:dyDescent="0.25">
      <c r="A65" s="130">
        <v>53</v>
      </c>
      <c r="B65" s="105"/>
      <c r="C65" s="91" t="s">
        <v>181</v>
      </c>
      <c r="D65" s="91" t="s">
        <v>182</v>
      </c>
      <c r="E65" s="89" t="s">
        <v>131</v>
      </c>
      <c r="F65" s="89">
        <v>122.43</v>
      </c>
      <c r="G65" s="92">
        <v>90.43</v>
      </c>
      <c r="H65" s="92">
        <f t="shared" si="1"/>
        <v>11071.34</v>
      </c>
      <c r="K65" s="64"/>
    </row>
    <row r="66" spans="1:11" ht="283.5" x14ac:dyDescent="0.25">
      <c r="A66" s="130">
        <v>54</v>
      </c>
      <c r="B66" s="105"/>
      <c r="C66" s="91" t="s">
        <v>183</v>
      </c>
      <c r="D66" s="91" t="s">
        <v>184</v>
      </c>
      <c r="E66" s="89" t="s">
        <v>131</v>
      </c>
      <c r="F66" s="89">
        <v>66.414400000000001</v>
      </c>
      <c r="G66" s="92">
        <v>87.6</v>
      </c>
      <c r="H66" s="92">
        <f t="shared" si="1"/>
        <v>5817.9</v>
      </c>
      <c r="K66" s="64"/>
    </row>
    <row r="67" spans="1:11" ht="204.75" x14ac:dyDescent="0.25">
      <c r="A67" s="130">
        <v>55</v>
      </c>
      <c r="B67" s="105"/>
      <c r="C67" s="91" t="s">
        <v>185</v>
      </c>
      <c r="D67" s="91" t="s">
        <v>186</v>
      </c>
      <c r="E67" s="89" t="s">
        <v>131</v>
      </c>
      <c r="F67" s="89">
        <v>2368.65</v>
      </c>
      <c r="G67" s="92">
        <v>1.53</v>
      </c>
      <c r="H67" s="92">
        <f t="shared" si="1"/>
        <v>3624.03</v>
      </c>
      <c r="K67" s="64"/>
    </row>
    <row r="68" spans="1:11" ht="204.75" x14ac:dyDescent="0.25">
      <c r="A68" s="130">
        <v>56</v>
      </c>
      <c r="B68" s="105"/>
      <c r="C68" s="91" t="s">
        <v>187</v>
      </c>
      <c r="D68" s="91" t="s">
        <v>188</v>
      </c>
      <c r="E68" s="89" t="s">
        <v>131</v>
      </c>
      <c r="F68" s="89">
        <v>2979.6</v>
      </c>
      <c r="G68" s="92">
        <v>1.2</v>
      </c>
      <c r="H68" s="92">
        <f t="shared" si="1"/>
        <v>3575.52</v>
      </c>
      <c r="K68" s="64"/>
    </row>
    <row r="69" spans="1:11" ht="173.25" x14ac:dyDescent="0.25">
      <c r="A69" s="130">
        <v>57</v>
      </c>
      <c r="B69" s="105"/>
      <c r="C69" s="131" t="s">
        <v>189</v>
      </c>
      <c r="D69" s="131" t="s">
        <v>190</v>
      </c>
      <c r="E69" s="130" t="s">
        <v>131</v>
      </c>
      <c r="F69" s="130">
        <v>684.68</v>
      </c>
      <c r="G69" s="92">
        <v>4.9000000000000004</v>
      </c>
      <c r="H69" s="92"/>
      <c r="K69" s="64"/>
    </row>
    <row r="70" spans="1:11" ht="204.75" x14ac:dyDescent="0.25">
      <c r="A70" s="130">
        <v>58</v>
      </c>
      <c r="B70" s="105"/>
      <c r="C70" s="131" t="s">
        <v>191</v>
      </c>
      <c r="D70" s="131" t="s">
        <v>192</v>
      </c>
      <c r="E70" s="130" t="s">
        <v>131</v>
      </c>
      <c r="F70" s="130">
        <v>18.899999999999999</v>
      </c>
      <c r="G70" s="92">
        <v>140.94999999999999</v>
      </c>
      <c r="H70" s="92"/>
      <c r="K70" s="64"/>
    </row>
    <row r="71" spans="1:11" ht="126" x14ac:dyDescent="0.25">
      <c r="A71" s="130">
        <v>59</v>
      </c>
      <c r="B71" s="105"/>
      <c r="C71" s="131" t="s">
        <v>193</v>
      </c>
      <c r="D71" s="131" t="s">
        <v>194</v>
      </c>
      <c r="E71" s="130" t="s">
        <v>131</v>
      </c>
      <c r="F71" s="130">
        <v>30.206</v>
      </c>
      <c r="G71" s="92">
        <v>80</v>
      </c>
      <c r="H71" s="92"/>
      <c r="K71" s="64"/>
    </row>
    <row r="72" spans="1:11" ht="126" x14ac:dyDescent="0.25">
      <c r="A72" s="130">
        <v>60</v>
      </c>
      <c r="B72" s="105"/>
      <c r="C72" s="131" t="s">
        <v>195</v>
      </c>
      <c r="D72" s="131" t="s">
        <v>196</v>
      </c>
      <c r="E72" s="130" t="s">
        <v>131</v>
      </c>
      <c r="F72" s="130">
        <v>268.00799999999998</v>
      </c>
      <c r="G72" s="92">
        <v>8.1</v>
      </c>
      <c r="H72" s="92"/>
      <c r="K72" s="64"/>
    </row>
    <row r="73" spans="1:11" ht="31.5" x14ac:dyDescent="0.25">
      <c r="A73" s="130">
        <v>61</v>
      </c>
      <c r="B73" s="105"/>
      <c r="C73" s="131" t="s">
        <v>197</v>
      </c>
      <c r="D73" s="131" t="s">
        <v>198</v>
      </c>
      <c r="E73" s="130" t="s">
        <v>131</v>
      </c>
      <c r="F73" s="130">
        <v>163.32</v>
      </c>
      <c r="G73" s="92">
        <v>10.62</v>
      </c>
      <c r="H73" s="92"/>
      <c r="K73" s="64"/>
    </row>
    <row r="74" spans="1:11" ht="110.25" x14ac:dyDescent="0.25">
      <c r="A74" s="130">
        <v>62</v>
      </c>
      <c r="B74" s="105"/>
      <c r="C74" s="131" t="s">
        <v>199</v>
      </c>
      <c r="D74" s="131" t="s">
        <v>200</v>
      </c>
      <c r="E74" s="130" t="s">
        <v>131</v>
      </c>
      <c r="F74" s="130">
        <v>1479.425491</v>
      </c>
      <c r="G74" s="92">
        <v>1.1100000000000001</v>
      </c>
      <c r="H74" s="92"/>
      <c r="K74" s="64"/>
    </row>
    <row r="75" spans="1:11" ht="173.25" x14ac:dyDescent="0.25">
      <c r="A75" s="130">
        <v>63</v>
      </c>
      <c r="B75" s="105"/>
      <c r="C75" s="91" t="s">
        <v>201</v>
      </c>
      <c r="D75" s="91" t="s">
        <v>202</v>
      </c>
      <c r="E75" s="89" t="s">
        <v>131</v>
      </c>
      <c r="F75" s="89">
        <v>99.7</v>
      </c>
      <c r="G75" s="92">
        <v>12.14</v>
      </c>
      <c r="H75" s="92">
        <f t="shared" ref="H75:H81" si="2">ROUND(F75*G75,2)</f>
        <v>1210.3599999999999</v>
      </c>
      <c r="K75" s="64"/>
    </row>
    <row r="76" spans="1:11" ht="189" x14ac:dyDescent="0.25">
      <c r="A76" s="130">
        <v>64</v>
      </c>
      <c r="B76" s="105"/>
      <c r="C76" s="91" t="s">
        <v>203</v>
      </c>
      <c r="D76" s="91" t="s">
        <v>204</v>
      </c>
      <c r="E76" s="89" t="s">
        <v>131</v>
      </c>
      <c r="F76" s="89">
        <v>1488.0564999999999</v>
      </c>
      <c r="G76" s="92">
        <v>0.55000000000000004</v>
      </c>
      <c r="H76" s="92">
        <f t="shared" si="2"/>
        <v>818.43</v>
      </c>
      <c r="K76" s="64"/>
    </row>
    <row r="77" spans="1:11" ht="94.5" x14ac:dyDescent="0.25">
      <c r="A77" s="130">
        <v>65</v>
      </c>
      <c r="B77" s="105"/>
      <c r="C77" s="91" t="s">
        <v>205</v>
      </c>
      <c r="D77" s="91" t="s">
        <v>206</v>
      </c>
      <c r="E77" s="89" t="s">
        <v>131</v>
      </c>
      <c r="F77" s="89">
        <v>13.298999999999999</v>
      </c>
      <c r="G77" s="92">
        <v>30</v>
      </c>
      <c r="H77" s="92">
        <f t="shared" si="2"/>
        <v>398.97</v>
      </c>
      <c r="K77" s="64"/>
    </row>
    <row r="78" spans="1:11" ht="126" x14ac:dyDescent="0.25">
      <c r="A78" s="130">
        <v>66</v>
      </c>
      <c r="B78" s="105"/>
      <c r="C78" s="91" t="s">
        <v>207</v>
      </c>
      <c r="D78" s="91" t="s">
        <v>208</v>
      </c>
      <c r="E78" s="89" t="s">
        <v>131</v>
      </c>
      <c r="F78" s="89">
        <v>2.88</v>
      </c>
      <c r="G78" s="92">
        <v>131.5</v>
      </c>
      <c r="H78" s="92">
        <f t="shared" si="2"/>
        <v>378.72</v>
      </c>
      <c r="K78" s="64"/>
    </row>
    <row r="79" spans="1:11" ht="110.25" x14ac:dyDescent="0.25">
      <c r="A79" s="130">
        <v>67</v>
      </c>
      <c r="B79" s="105"/>
      <c r="C79" s="91" t="s">
        <v>209</v>
      </c>
      <c r="D79" s="91" t="s">
        <v>210</v>
      </c>
      <c r="E79" s="89" t="s">
        <v>131</v>
      </c>
      <c r="F79" s="89">
        <v>3.066468</v>
      </c>
      <c r="G79" s="92">
        <v>86</v>
      </c>
      <c r="H79" s="92">
        <f t="shared" si="2"/>
        <v>263.72000000000003</v>
      </c>
      <c r="K79" s="64"/>
    </row>
    <row r="80" spans="1:11" ht="141.75" x14ac:dyDescent="0.25">
      <c r="A80" s="130">
        <v>68</v>
      </c>
      <c r="B80" s="105"/>
      <c r="C80" s="91" t="s">
        <v>211</v>
      </c>
      <c r="D80" s="91" t="s">
        <v>212</v>
      </c>
      <c r="E80" s="89" t="s">
        <v>131</v>
      </c>
      <c r="F80" s="89">
        <v>27.72</v>
      </c>
      <c r="G80" s="92">
        <v>0.9</v>
      </c>
      <c r="H80" s="92">
        <f t="shared" si="2"/>
        <v>24.95</v>
      </c>
    </row>
    <row r="81" spans="1:10" ht="94.5" x14ac:dyDescent="0.25">
      <c r="A81" s="130">
        <v>69</v>
      </c>
      <c r="B81" s="105"/>
      <c r="C81" s="91" t="s">
        <v>213</v>
      </c>
      <c r="D81" s="91" t="s">
        <v>214</v>
      </c>
      <c r="E81" s="89" t="s">
        <v>131</v>
      </c>
      <c r="F81" s="89">
        <v>2.052E-2</v>
      </c>
      <c r="G81" s="92">
        <v>7.8</v>
      </c>
      <c r="H81" s="92">
        <f t="shared" si="2"/>
        <v>0.16</v>
      </c>
    </row>
    <row r="82" spans="1:10" ht="15.75" x14ac:dyDescent="0.25">
      <c r="A82" s="138" t="s">
        <v>48</v>
      </c>
      <c r="B82" s="139"/>
      <c r="C82" s="140"/>
      <c r="D82" s="140"/>
      <c r="E82" s="139"/>
      <c r="F82" s="93"/>
      <c r="G82" s="87"/>
      <c r="H82" s="87">
        <f>0</f>
        <v>0</v>
      </c>
      <c r="J82" s="101"/>
    </row>
    <row r="83" spans="1:10" ht="15.75" x14ac:dyDescent="0.25">
      <c r="A83" s="138" t="s">
        <v>215</v>
      </c>
      <c r="B83" s="139"/>
      <c r="C83" s="140"/>
      <c r="D83" s="140"/>
      <c r="E83" s="139"/>
      <c r="F83" s="93"/>
      <c r="G83" s="87"/>
      <c r="H83" s="87">
        <f>SUM(H84:H207)</f>
        <v>76476221.840000078</v>
      </c>
      <c r="J83" s="101"/>
    </row>
    <row r="84" spans="1:10" ht="126" x14ac:dyDescent="0.25">
      <c r="A84" s="89">
        <v>70</v>
      </c>
      <c r="B84" s="106"/>
      <c r="C84" s="91" t="s">
        <v>216</v>
      </c>
      <c r="D84" s="91" t="s">
        <v>217</v>
      </c>
      <c r="E84" s="89" t="s">
        <v>218</v>
      </c>
      <c r="F84" s="89">
        <v>22945</v>
      </c>
      <c r="G84" s="92">
        <v>284.68</v>
      </c>
      <c r="H84" s="92">
        <f t="shared" ref="H84:H115" si="3">ROUND(F84*G84,2)</f>
        <v>6531982.5999999996</v>
      </c>
    </row>
    <row r="85" spans="1:10" ht="126" x14ac:dyDescent="0.25">
      <c r="A85" s="89">
        <v>71</v>
      </c>
      <c r="B85" s="106"/>
      <c r="C85" s="91" t="s">
        <v>216</v>
      </c>
      <c r="D85" s="91" t="s">
        <v>217</v>
      </c>
      <c r="E85" s="89" t="s">
        <v>218</v>
      </c>
      <c r="F85" s="89">
        <v>17867</v>
      </c>
      <c r="G85" s="92">
        <v>284.68</v>
      </c>
      <c r="H85" s="92">
        <f t="shared" si="3"/>
        <v>5086377.5599999996</v>
      </c>
    </row>
    <row r="86" spans="1:10" ht="126" x14ac:dyDescent="0.25">
      <c r="A86" s="130">
        <v>72</v>
      </c>
      <c r="B86" s="106"/>
      <c r="C86" s="91" t="s">
        <v>219</v>
      </c>
      <c r="D86" s="91" t="s">
        <v>220</v>
      </c>
      <c r="E86" s="89" t="s">
        <v>218</v>
      </c>
      <c r="F86" s="89">
        <v>5078</v>
      </c>
      <c r="G86" s="92">
        <v>202.55</v>
      </c>
      <c r="H86" s="92">
        <f t="shared" si="3"/>
        <v>1028548.9</v>
      </c>
    </row>
    <row r="87" spans="1:10" ht="157.5" x14ac:dyDescent="0.25">
      <c r="A87" s="130">
        <v>73</v>
      </c>
      <c r="B87" s="106"/>
      <c r="C87" s="91" t="s">
        <v>221</v>
      </c>
      <c r="D87" s="91" t="s">
        <v>222</v>
      </c>
      <c r="E87" s="89" t="s">
        <v>223</v>
      </c>
      <c r="F87" s="89">
        <v>2436</v>
      </c>
      <c r="G87" s="92">
        <v>5714.07</v>
      </c>
      <c r="H87" s="92">
        <f t="shared" si="3"/>
        <v>13919474.52</v>
      </c>
    </row>
    <row r="88" spans="1:10" ht="94.5" x14ac:dyDescent="0.25">
      <c r="A88" s="130">
        <v>74</v>
      </c>
      <c r="B88" s="106"/>
      <c r="C88" s="91" t="s">
        <v>224</v>
      </c>
      <c r="D88" s="91" t="s">
        <v>225</v>
      </c>
      <c r="E88" s="89" t="s">
        <v>223</v>
      </c>
      <c r="F88" s="89">
        <v>80888</v>
      </c>
      <c r="G88" s="92">
        <v>60</v>
      </c>
      <c r="H88" s="92">
        <f t="shared" si="3"/>
        <v>4853280</v>
      </c>
    </row>
    <row r="89" spans="1:10" ht="220.5" x14ac:dyDescent="0.25">
      <c r="A89" s="130">
        <v>75</v>
      </c>
      <c r="B89" s="106"/>
      <c r="C89" s="91" t="s">
        <v>226</v>
      </c>
      <c r="D89" s="91" t="s">
        <v>227</v>
      </c>
      <c r="E89" s="89" t="s">
        <v>228</v>
      </c>
      <c r="F89" s="89">
        <v>177</v>
      </c>
      <c r="G89" s="92">
        <v>25110.01</v>
      </c>
      <c r="H89" s="92">
        <f t="shared" si="3"/>
        <v>4444471.7699999996</v>
      </c>
    </row>
    <row r="90" spans="1:10" ht="63" x14ac:dyDescent="0.25">
      <c r="A90" s="130">
        <v>76</v>
      </c>
      <c r="B90" s="106"/>
      <c r="C90" s="131" t="s">
        <v>221</v>
      </c>
      <c r="D90" s="91" t="s">
        <v>229</v>
      </c>
      <c r="E90" s="89" t="s">
        <v>223</v>
      </c>
      <c r="F90" s="89">
        <v>2080</v>
      </c>
      <c r="G90" s="92">
        <v>5714.07</v>
      </c>
      <c r="H90" s="92">
        <f t="shared" si="3"/>
        <v>11885265.6</v>
      </c>
    </row>
    <row r="91" spans="1:10" ht="110.25" x14ac:dyDescent="0.25">
      <c r="A91" s="130">
        <v>77</v>
      </c>
      <c r="B91" s="106"/>
      <c r="C91" s="91" t="s">
        <v>230</v>
      </c>
      <c r="D91" s="91" t="s">
        <v>231</v>
      </c>
      <c r="E91" s="89" t="s">
        <v>218</v>
      </c>
      <c r="F91" s="89">
        <v>1406</v>
      </c>
      <c r="G91" s="92">
        <v>2381.1799999999998</v>
      </c>
      <c r="H91" s="92">
        <f t="shared" si="3"/>
        <v>3347939.08</v>
      </c>
    </row>
    <row r="92" spans="1:10" ht="110.25" x14ac:dyDescent="0.25">
      <c r="A92" s="130">
        <v>78</v>
      </c>
      <c r="B92" s="106"/>
      <c r="C92" s="91" t="s">
        <v>230</v>
      </c>
      <c r="D92" s="91" t="s">
        <v>231</v>
      </c>
      <c r="E92" s="89" t="s">
        <v>218</v>
      </c>
      <c r="F92" s="89">
        <v>1368</v>
      </c>
      <c r="G92" s="92">
        <v>2381.1799999999998</v>
      </c>
      <c r="H92" s="92">
        <f t="shared" si="3"/>
        <v>3257454.24</v>
      </c>
    </row>
    <row r="93" spans="1:10" ht="110.25" x14ac:dyDescent="0.25">
      <c r="A93" s="130">
        <v>79</v>
      </c>
      <c r="B93" s="106"/>
      <c r="C93" s="91" t="s">
        <v>232</v>
      </c>
      <c r="D93" s="91" t="s">
        <v>233</v>
      </c>
      <c r="E93" s="89" t="s">
        <v>218</v>
      </c>
      <c r="F93" s="89">
        <v>38</v>
      </c>
      <c r="G93" s="92">
        <v>33.69</v>
      </c>
      <c r="H93" s="92">
        <f t="shared" si="3"/>
        <v>1280.22</v>
      </c>
    </row>
    <row r="94" spans="1:10" ht="47.25" x14ac:dyDescent="0.25">
      <c r="A94" s="130">
        <v>80</v>
      </c>
      <c r="B94" s="106"/>
      <c r="C94" s="131" t="s">
        <v>221</v>
      </c>
      <c r="D94" s="91" t="s">
        <v>234</v>
      </c>
      <c r="E94" s="89" t="s">
        <v>223</v>
      </c>
      <c r="F94" s="89">
        <v>638</v>
      </c>
      <c r="G94" s="92">
        <v>5714.07</v>
      </c>
      <c r="H94" s="92">
        <f t="shared" si="3"/>
        <v>3645576.66</v>
      </c>
    </row>
    <row r="95" spans="1:10" ht="47.25" x14ac:dyDescent="0.25">
      <c r="A95" s="130">
        <v>81</v>
      </c>
      <c r="B95" s="106"/>
      <c r="C95" s="131" t="s">
        <v>221</v>
      </c>
      <c r="D95" s="91" t="s">
        <v>235</v>
      </c>
      <c r="E95" s="89" t="s">
        <v>223</v>
      </c>
      <c r="F95" s="89">
        <v>450</v>
      </c>
      <c r="G95" s="92">
        <v>5714.07</v>
      </c>
      <c r="H95" s="92">
        <f t="shared" si="3"/>
        <v>2571331.5</v>
      </c>
    </row>
    <row r="96" spans="1:10" ht="110.25" x14ac:dyDescent="0.25">
      <c r="A96" s="130">
        <v>82</v>
      </c>
      <c r="B96" s="106"/>
      <c r="C96" s="91" t="s">
        <v>236</v>
      </c>
      <c r="D96" s="91" t="s">
        <v>237</v>
      </c>
      <c r="E96" s="89" t="s">
        <v>218</v>
      </c>
      <c r="F96" s="89">
        <v>947</v>
      </c>
      <c r="G96" s="92">
        <v>1962.52</v>
      </c>
      <c r="H96" s="92">
        <f t="shared" si="3"/>
        <v>1858506.44</v>
      </c>
    </row>
    <row r="97" spans="1:10" ht="47.25" x14ac:dyDescent="0.25">
      <c r="A97" s="130">
        <v>83</v>
      </c>
      <c r="B97" s="106"/>
      <c r="C97" s="131" t="s">
        <v>221</v>
      </c>
      <c r="D97" s="91" t="s">
        <v>238</v>
      </c>
      <c r="E97" s="89" t="s">
        <v>223</v>
      </c>
      <c r="F97" s="89">
        <v>317</v>
      </c>
      <c r="G97" s="92">
        <v>7238.46</v>
      </c>
      <c r="H97" s="92">
        <f t="shared" si="3"/>
        <v>2294591.8199999998</v>
      </c>
    </row>
    <row r="98" spans="1:10" ht="78.75" x14ac:dyDescent="0.25">
      <c r="A98" s="130">
        <v>84</v>
      </c>
      <c r="B98" s="106"/>
      <c r="C98" s="91" t="s">
        <v>239</v>
      </c>
      <c r="D98" s="91" t="s">
        <v>240</v>
      </c>
      <c r="E98" s="89" t="s">
        <v>218</v>
      </c>
      <c r="F98" s="89">
        <v>8982</v>
      </c>
      <c r="G98" s="92">
        <v>138.35</v>
      </c>
      <c r="H98" s="92">
        <f t="shared" si="3"/>
        <v>1242659.7</v>
      </c>
    </row>
    <row r="99" spans="1:10" ht="78.75" x14ac:dyDescent="0.25">
      <c r="A99" s="130">
        <v>85</v>
      </c>
      <c r="B99" s="106"/>
      <c r="C99" s="91" t="s">
        <v>239</v>
      </c>
      <c r="D99" s="91" t="s">
        <v>240</v>
      </c>
      <c r="E99" s="89" t="s">
        <v>218</v>
      </c>
      <c r="F99" s="89">
        <v>5400</v>
      </c>
      <c r="G99" s="92">
        <v>138.35</v>
      </c>
      <c r="H99" s="92">
        <f t="shared" si="3"/>
        <v>747090</v>
      </c>
    </row>
    <row r="100" spans="1:10" ht="78.75" x14ac:dyDescent="0.25">
      <c r="A100" s="130">
        <v>86</v>
      </c>
      <c r="B100" s="106"/>
      <c r="C100" s="91" t="s">
        <v>241</v>
      </c>
      <c r="D100" s="91" t="s">
        <v>242</v>
      </c>
      <c r="E100" s="89" t="s">
        <v>218</v>
      </c>
      <c r="F100" s="89">
        <v>3582</v>
      </c>
      <c r="G100" s="92">
        <v>158.91</v>
      </c>
      <c r="H100" s="92">
        <f t="shared" si="3"/>
        <v>569215.62</v>
      </c>
    </row>
    <row r="101" spans="1:10" ht="141.75" x14ac:dyDescent="0.25">
      <c r="A101" s="130">
        <v>87</v>
      </c>
      <c r="B101" s="106"/>
      <c r="C101" s="131" t="s">
        <v>221</v>
      </c>
      <c r="D101" s="91" t="s">
        <v>243</v>
      </c>
      <c r="E101" s="89" t="s">
        <v>223</v>
      </c>
      <c r="F101" s="89">
        <v>168</v>
      </c>
      <c r="G101" s="92">
        <v>5714.07</v>
      </c>
      <c r="H101" s="92">
        <f t="shared" si="3"/>
        <v>959963.76</v>
      </c>
    </row>
    <row r="102" spans="1:10" ht="78.75" x14ac:dyDescent="0.25">
      <c r="A102" s="130">
        <v>88</v>
      </c>
      <c r="B102" s="106"/>
      <c r="C102" s="91"/>
      <c r="D102" s="91" t="s">
        <v>244</v>
      </c>
      <c r="E102" s="89"/>
      <c r="F102" s="89">
        <v>0</v>
      </c>
      <c r="G102" s="92"/>
      <c r="H102" s="92">
        <f t="shared" si="3"/>
        <v>0</v>
      </c>
      <c r="I102" s="88"/>
      <c r="J102" s="88"/>
    </row>
    <row r="103" spans="1:10" ht="141.75" x14ac:dyDescent="0.25">
      <c r="A103" s="130">
        <v>89</v>
      </c>
      <c r="B103" s="106"/>
      <c r="C103" s="91" t="s">
        <v>221</v>
      </c>
      <c r="D103" s="91" t="s">
        <v>245</v>
      </c>
      <c r="E103" s="89" t="s">
        <v>218</v>
      </c>
      <c r="F103" s="89">
        <v>450</v>
      </c>
      <c r="G103" s="92">
        <v>1396.65</v>
      </c>
      <c r="H103" s="92">
        <f t="shared" si="3"/>
        <v>628492.5</v>
      </c>
    </row>
    <row r="104" spans="1:10" ht="47.25" x14ac:dyDescent="0.25">
      <c r="A104" s="130">
        <v>90</v>
      </c>
      <c r="B104" s="106"/>
      <c r="C104" s="91" t="s">
        <v>221</v>
      </c>
      <c r="D104" s="91" t="s">
        <v>246</v>
      </c>
      <c r="E104" s="89" t="s">
        <v>218</v>
      </c>
      <c r="F104" s="89">
        <v>2424</v>
      </c>
      <c r="G104" s="92">
        <v>254.27</v>
      </c>
      <c r="H104" s="92">
        <f t="shared" si="3"/>
        <v>616350.48</v>
      </c>
    </row>
    <row r="105" spans="1:10" ht="189" x14ac:dyDescent="0.25">
      <c r="A105" s="130">
        <v>91</v>
      </c>
      <c r="B105" s="106"/>
      <c r="C105" s="91" t="s">
        <v>221</v>
      </c>
      <c r="D105" s="91" t="s">
        <v>247</v>
      </c>
      <c r="E105" s="89" t="s">
        <v>218</v>
      </c>
      <c r="F105" s="89">
        <v>344</v>
      </c>
      <c r="G105" s="92">
        <v>1405.65</v>
      </c>
      <c r="H105" s="92">
        <f t="shared" si="3"/>
        <v>483543.6</v>
      </c>
    </row>
    <row r="106" spans="1:10" ht="110.25" x14ac:dyDescent="0.25">
      <c r="A106" s="130">
        <v>92</v>
      </c>
      <c r="B106" s="106"/>
      <c r="C106" s="91" t="s">
        <v>248</v>
      </c>
      <c r="D106" s="91" t="s">
        <v>249</v>
      </c>
      <c r="E106" s="89" t="s">
        <v>218</v>
      </c>
      <c r="F106" s="89">
        <v>846</v>
      </c>
      <c r="G106" s="92">
        <v>492.77</v>
      </c>
      <c r="H106" s="92">
        <f t="shared" si="3"/>
        <v>416883.42</v>
      </c>
    </row>
    <row r="107" spans="1:10" ht="47.25" x14ac:dyDescent="0.25">
      <c r="A107" s="130">
        <v>93</v>
      </c>
      <c r="B107" s="106"/>
      <c r="C107" s="91" t="s">
        <v>250</v>
      </c>
      <c r="D107" s="91" t="s">
        <v>251</v>
      </c>
      <c r="E107" s="89" t="s">
        <v>218</v>
      </c>
      <c r="F107" s="89">
        <v>855</v>
      </c>
      <c r="G107" s="92">
        <v>482.19</v>
      </c>
      <c r="H107" s="92">
        <f t="shared" si="3"/>
        <v>412272.45</v>
      </c>
    </row>
    <row r="108" spans="1:10" ht="110.25" x14ac:dyDescent="0.25">
      <c r="A108" s="130">
        <v>94</v>
      </c>
      <c r="B108" s="106"/>
      <c r="C108" s="91" t="s">
        <v>252</v>
      </c>
      <c r="D108" s="91" t="s">
        <v>253</v>
      </c>
      <c r="E108" s="89" t="s">
        <v>223</v>
      </c>
      <c r="F108" s="89">
        <v>2374</v>
      </c>
      <c r="G108" s="92">
        <v>166.8</v>
      </c>
      <c r="H108" s="92">
        <f t="shared" si="3"/>
        <v>395983.2</v>
      </c>
    </row>
    <row r="109" spans="1:10" ht="173.25" x14ac:dyDescent="0.25">
      <c r="A109" s="130">
        <v>95</v>
      </c>
      <c r="B109" s="106"/>
      <c r="C109" s="91" t="s">
        <v>254</v>
      </c>
      <c r="D109" s="91" t="s">
        <v>255</v>
      </c>
      <c r="E109" s="89" t="s">
        <v>228</v>
      </c>
      <c r="F109" s="89">
        <v>67</v>
      </c>
      <c r="G109" s="92">
        <v>5650</v>
      </c>
      <c r="H109" s="92">
        <f t="shared" si="3"/>
        <v>378550</v>
      </c>
    </row>
    <row r="110" spans="1:10" ht="63" x14ac:dyDescent="0.25">
      <c r="A110" s="130">
        <v>96</v>
      </c>
      <c r="B110" s="106"/>
      <c r="C110" s="91" t="s">
        <v>256</v>
      </c>
      <c r="D110" s="91" t="s">
        <v>257</v>
      </c>
      <c r="E110" s="89" t="s">
        <v>218</v>
      </c>
      <c r="F110" s="89">
        <v>1002</v>
      </c>
      <c r="G110" s="92">
        <v>326.10000000000002</v>
      </c>
      <c r="H110" s="92">
        <f t="shared" si="3"/>
        <v>326752.2</v>
      </c>
    </row>
    <row r="111" spans="1:10" ht="47.25" x14ac:dyDescent="0.25">
      <c r="A111" s="130">
        <v>97</v>
      </c>
      <c r="B111" s="106"/>
      <c r="C111" s="91" t="s">
        <v>258</v>
      </c>
      <c r="D111" s="91" t="s">
        <v>259</v>
      </c>
      <c r="E111" s="89" t="s">
        <v>218</v>
      </c>
      <c r="F111" s="89">
        <v>2333</v>
      </c>
      <c r="G111" s="92">
        <v>116.92</v>
      </c>
      <c r="H111" s="92">
        <f t="shared" si="3"/>
        <v>272774.36</v>
      </c>
    </row>
    <row r="112" spans="1:10" ht="110.25" x14ac:dyDescent="0.25">
      <c r="A112" s="130">
        <v>98</v>
      </c>
      <c r="B112" s="106"/>
      <c r="C112" s="91" t="s">
        <v>260</v>
      </c>
      <c r="D112" s="91" t="s">
        <v>261</v>
      </c>
      <c r="E112" s="89" t="s">
        <v>218</v>
      </c>
      <c r="F112" s="89">
        <v>1002</v>
      </c>
      <c r="G112" s="92">
        <v>248.59</v>
      </c>
      <c r="H112" s="92">
        <f t="shared" si="3"/>
        <v>249087.18</v>
      </c>
    </row>
    <row r="113" spans="1:8" ht="173.25" x14ac:dyDescent="0.25">
      <c r="A113" s="130">
        <v>99</v>
      </c>
      <c r="B113" s="106"/>
      <c r="C113" s="91" t="s">
        <v>221</v>
      </c>
      <c r="D113" s="91" t="s">
        <v>262</v>
      </c>
      <c r="E113" s="89" t="s">
        <v>218</v>
      </c>
      <c r="F113" s="89">
        <v>1038</v>
      </c>
      <c r="G113" s="92">
        <v>225.27</v>
      </c>
      <c r="H113" s="92">
        <f t="shared" si="3"/>
        <v>233830.26</v>
      </c>
    </row>
    <row r="114" spans="1:8" ht="315" x14ac:dyDescent="0.25">
      <c r="A114" s="130">
        <v>100</v>
      </c>
      <c r="B114" s="106"/>
      <c r="C114" s="91" t="s">
        <v>221</v>
      </c>
      <c r="D114" s="91" t="s">
        <v>263</v>
      </c>
      <c r="E114" s="89" t="s">
        <v>218</v>
      </c>
      <c r="F114" s="89">
        <v>1013</v>
      </c>
      <c r="G114" s="92">
        <v>221.44</v>
      </c>
      <c r="H114" s="92">
        <f t="shared" si="3"/>
        <v>224318.72</v>
      </c>
    </row>
    <row r="115" spans="1:8" ht="47.25" x14ac:dyDescent="0.25">
      <c r="A115" s="130">
        <v>101</v>
      </c>
      <c r="B115" s="106"/>
      <c r="C115" s="131" t="s">
        <v>221</v>
      </c>
      <c r="D115" s="91" t="s">
        <v>264</v>
      </c>
      <c r="E115" s="89" t="s">
        <v>223</v>
      </c>
      <c r="F115" s="89">
        <v>41</v>
      </c>
      <c r="G115" s="92">
        <v>5714.07</v>
      </c>
      <c r="H115" s="92">
        <f t="shared" si="3"/>
        <v>234276.87</v>
      </c>
    </row>
    <row r="116" spans="1:8" ht="63" x14ac:dyDescent="0.25">
      <c r="A116" s="130">
        <v>102</v>
      </c>
      <c r="B116" s="106"/>
      <c r="C116" s="91" t="s">
        <v>221</v>
      </c>
      <c r="D116" s="91" t="s">
        <v>265</v>
      </c>
      <c r="E116" s="89" t="s">
        <v>218</v>
      </c>
      <c r="F116" s="89">
        <v>203</v>
      </c>
      <c r="G116" s="92">
        <v>968.66</v>
      </c>
      <c r="H116" s="92">
        <f t="shared" ref="H116:H147" si="4">ROUND(F116*G116,2)</f>
        <v>196637.98</v>
      </c>
    </row>
    <row r="117" spans="1:8" ht="63" x14ac:dyDescent="0.25">
      <c r="A117" s="130">
        <v>103</v>
      </c>
      <c r="B117" s="106"/>
      <c r="C117" s="91" t="s">
        <v>266</v>
      </c>
      <c r="D117" s="91" t="s">
        <v>267</v>
      </c>
      <c r="E117" s="89" t="s">
        <v>218</v>
      </c>
      <c r="F117" s="89">
        <v>1610</v>
      </c>
      <c r="G117" s="92">
        <v>120.24</v>
      </c>
      <c r="H117" s="92">
        <f t="shared" si="4"/>
        <v>193586.4</v>
      </c>
    </row>
    <row r="118" spans="1:8" ht="126" x14ac:dyDescent="0.25">
      <c r="A118" s="130">
        <v>104</v>
      </c>
      <c r="B118" s="106"/>
      <c r="C118" s="91" t="s">
        <v>221</v>
      </c>
      <c r="D118" s="91" t="s">
        <v>268</v>
      </c>
      <c r="E118" s="89" t="s">
        <v>218</v>
      </c>
      <c r="F118" s="89">
        <v>375</v>
      </c>
      <c r="G118" s="92">
        <v>495.18</v>
      </c>
      <c r="H118" s="92">
        <f t="shared" si="4"/>
        <v>185692.5</v>
      </c>
    </row>
    <row r="119" spans="1:8" ht="173.25" x14ac:dyDescent="0.25">
      <c r="A119" s="130">
        <v>105</v>
      </c>
      <c r="B119" s="106"/>
      <c r="C119" s="91" t="s">
        <v>221</v>
      </c>
      <c r="D119" s="91" t="s">
        <v>269</v>
      </c>
      <c r="E119" s="89"/>
      <c r="F119" s="89">
        <v>1350</v>
      </c>
      <c r="G119" s="92">
        <v>135.16</v>
      </c>
      <c r="H119" s="92">
        <f t="shared" si="4"/>
        <v>182466</v>
      </c>
    </row>
    <row r="120" spans="1:8" ht="204.75" x14ac:dyDescent="0.25">
      <c r="A120" s="130">
        <v>106</v>
      </c>
      <c r="B120" s="106"/>
      <c r="C120" s="91" t="s">
        <v>221</v>
      </c>
      <c r="D120" s="91" t="s">
        <v>270</v>
      </c>
      <c r="E120" s="89" t="s">
        <v>218</v>
      </c>
      <c r="F120" s="89">
        <v>54</v>
      </c>
      <c r="G120" s="92">
        <v>3167.29</v>
      </c>
      <c r="H120" s="92">
        <f t="shared" si="4"/>
        <v>171033.66</v>
      </c>
    </row>
    <row r="121" spans="1:8" ht="126" x14ac:dyDescent="0.25">
      <c r="A121" s="130">
        <v>107</v>
      </c>
      <c r="B121" s="106"/>
      <c r="C121" s="91" t="s">
        <v>221</v>
      </c>
      <c r="D121" s="91" t="s">
        <v>271</v>
      </c>
      <c r="E121" s="89" t="s">
        <v>218</v>
      </c>
      <c r="F121" s="89">
        <v>375</v>
      </c>
      <c r="G121" s="92">
        <v>394.4</v>
      </c>
      <c r="H121" s="92">
        <f t="shared" si="4"/>
        <v>147900</v>
      </c>
    </row>
    <row r="122" spans="1:8" ht="110.25" x14ac:dyDescent="0.25">
      <c r="A122" s="130">
        <v>108</v>
      </c>
      <c r="B122" s="106"/>
      <c r="C122" s="91" t="s">
        <v>221</v>
      </c>
      <c r="D122" s="91" t="s">
        <v>272</v>
      </c>
      <c r="E122" s="89" t="s">
        <v>218</v>
      </c>
      <c r="F122" s="89">
        <v>1002</v>
      </c>
      <c r="G122" s="92">
        <v>142.38</v>
      </c>
      <c r="H122" s="92">
        <f t="shared" si="4"/>
        <v>142664.76</v>
      </c>
    </row>
    <row r="123" spans="1:8" ht="78.75" x14ac:dyDescent="0.25">
      <c r="A123" s="130">
        <v>109</v>
      </c>
      <c r="B123" s="106"/>
      <c r="C123" s="91" t="s">
        <v>221</v>
      </c>
      <c r="D123" s="91" t="s">
        <v>273</v>
      </c>
      <c r="E123" s="89" t="s">
        <v>218</v>
      </c>
      <c r="F123" s="89">
        <v>33</v>
      </c>
      <c r="G123" s="92">
        <v>3865.21</v>
      </c>
      <c r="H123" s="92">
        <f t="shared" si="4"/>
        <v>127551.93</v>
      </c>
    </row>
    <row r="124" spans="1:8" ht="110.25" x14ac:dyDescent="0.25">
      <c r="A124" s="130">
        <v>110</v>
      </c>
      <c r="B124" s="106"/>
      <c r="C124" s="91" t="s">
        <v>274</v>
      </c>
      <c r="D124" s="91" t="s">
        <v>275</v>
      </c>
      <c r="E124" s="89" t="s">
        <v>218</v>
      </c>
      <c r="F124" s="89">
        <v>1724</v>
      </c>
      <c r="G124" s="92">
        <v>73.09</v>
      </c>
      <c r="H124" s="92">
        <f t="shared" si="4"/>
        <v>126007.16</v>
      </c>
    </row>
    <row r="125" spans="1:8" ht="173.25" x14ac:dyDescent="0.25">
      <c r="A125" s="130">
        <v>111</v>
      </c>
      <c r="B125" s="106"/>
      <c r="C125" s="91" t="s">
        <v>221</v>
      </c>
      <c r="D125" s="91" t="s">
        <v>276</v>
      </c>
      <c r="E125" s="89" t="s">
        <v>218</v>
      </c>
      <c r="F125" s="89">
        <v>203</v>
      </c>
      <c r="G125" s="92">
        <v>606.88</v>
      </c>
      <c r="H125" s="92">
        <f t="shared" si="4"/>
        <v>123196.64</v>
      </c>
    </row>
    <row r="126" spans="1:8" ht="110.25" x14ac:dyDescent="0.25">
      <c r="A126" s="130">
        <v>112</v>
      </c>
      <c r="B126" s="106"/>
      <c r="C126" s="91" t="s">
        <v>277</v>
      </c>
      <c r="D126" s="91" t="s">
        <v>278</v>
      </c>
      <c r="E126" s="89" t="s">
        <v>218</v>
      </c>
      <c r="F126" s="89">
        <v>855</v>
      </c>
      <c r="G126" s="92">
        <v>137.02000000000001</v>
      </c>
      <c r="H126" s="92">
        <f t="shared" si="4"/>
        <v>117152.1</v>
      </c>
    </row>
    <row r="127" spans="1:8" ht="78.75" x14ac:dyDescent="0.25">
      <c r="A127" s="130">
        <v>113</v>
      </c>
      <c r="B127" s="106"/>
      <c r="C127" s="91" t="s">
        <v>279</v>
      </c>
      <c r="D127" s="91" t="s">
        <v>280</v>
      </c>
      <c r="E127" s="89" t="s">
        <v>218</v>
      </c>
      <c r="F127" s="89">
        <v>158</v>
      </c>
      <c r="G127" s="92">
        <v>720.06</v>
      </c>
      <c r="H127" s="92">
        <f t="shared" si="4"/>
        <v>113769.48</v>
      </c>
    </row>
    <row r="128" spans="1:8" ht="157.5" x14ac:dyDescent="0.25">
      <c r="A128" s="130">
        <v>114</v>
      </c>
      <c r="B128" s="106"/>
      <c r="C128" s="91" t="s">
        <v>221</v>
      </c>
      <c r="D128" s="91" t="s">
        <v>281</v>
      </c>
      <c r="E128" s="89" t="s">
        <v>218</v>
      </c>
      <c r="F128" s="89">
        <v>546</v>
      </c>
      <c r="G128" s="92">
        <v>197.11</v>
      </c>
      <c r="H128" s="92">
        <f t="shared" si="4"/>
        <v>107622.06</v>
      </c>
    </row>
    <row r="129" spans="1:8" ht="110.25" x14ac:dyDescent="0.25">
      <c r="A129" s="130">
        <v>115</v>
      </c>
      <c r="B129" s="106"/>
      <c r="C129" s="91" t="s">
        <v>282</v>
      </c>
      <c r="D129" s="91" t="s">
        <v>283</v>
      </c>
      <c r="E129" s="89" t="s">
        <v>218</v>
      </c>
      <c r="F129" s="89">
        <v>1368</v>
      </c>
      <c r="G129" s="92">
        <v>57.83</v>
      </c>
      <c r="H129" s="92">
        <f t="shared" si="4"/>
        <v>79111.44</v>
      </c>
    </row>
    <row r="130" spans="1:8" ht="110.25" x14ac:dyDescent="0.25">
      <c r="A130" s="130">
        <v>116</v>
      </c>
      <c r="B130" s="106"/>
      <c r="C130" s="91" t="s">
        <v>284</v>
      </c>
      <c r="D130" s="91" t="s">
        <v>285</v>
      </c>
      <c r="E130" s="89" t="s">
        <v>218</v>
      </c>
      <c r="F130" s="89">
        <v>147</v>
      </c>
      <c r="G130" s="92">
        <v>498.26</v>
      </c>
      <c r="H130" s="92">
        <f t="shared" si="4"/>
        <v>73244.22</v>
      </c>
    </row>
    <row r="131" spans="1:8" ht="236.25" x14ac:dyDescent="0.25">
      <c r="A131" s="130">
        <v>117</v>
      </c>
      <c r="B131" s="106"/>
      <c r="C131" s="91" t="s">
        <v>221</v>
      </c>
      <c r="D131" s="91" t="s">
        <v>286</v>
      </c>
      <c r="E131" s="89" t="s">
        <v>218</v>
      </c>
      <c r="F131" s="89">
        <v>242</v>
      </c>
      <c r="G131" s="92">
        <v>298.02999999999997</v>
      </c>
      <c r="H131" s="92">
        <f t="shared" si="4"/>
        <v>72123.259999999995</v>
      </c>
    </row>
    <row r="132" spans="1:8" ht="110.25" x14ac:dyDescent="0.25">
      <c r="A132" s="130">
        <v>118</v>
      </c>
      <c r="B132" s="106"/>
      <c r="C132" s="91" t="s">
        <v>287</v>
      </c>
      <c r="D132" s="91" t="s">
        <v>288</v>
      </c>
      <c r="E132" s="89" t="s">
        <v>289</v>
      </c>
      <c r="F132" s="89">
        <v>7864</v>
      </c>
      <c r="G132" s="92">
        <v>9.0399999999999991</v>
      </c>
      <c r="H132" s="92">
        <f t="shared" si="4"/>
        <v>71090.559999999998</v>
      </c>
    </row>
    <row r="133" spans="1:8" ht="47.25" x14ac:dyDescent="0.25">
      <c r="A133" s="130">
        <v>119</v>
      </c>
      <c r="B133" s="106"/>
      <c r="C133" s="91" t="s">
        <v>290</v>
      </c>
      <c r="D133" s="91" t="s">
        <v>291</v>
      </c>
      <c r="E133" s="89" t="s">
        <v>218</v>
      </c>
      <c r="F133" s="89">
        <v>1002</v>
      </c>
      <c r="G133" s="92">
        <v>68.73</v>
      </c>
      <c r="H133" s="92">
        <f t="shared" si="4"/>
        <v>68867.460000000006</v>
      </c>
    </row>
    <row r="134" spans="1:8" ht="94.5" x14ac:dyDescent="0.25">
      <c r="A134" s="130">
        <v>120</v>
      </c>
      <c r="B134" s="106"/>
      <c r="C134" s="91" t="s">
        <v>221</v>
      </c>
      <c r="D134" s="91" t="s">
        <v>292</v>
      </c>
      <c r="E134" s="89" t="s">
        <v>218</v>
      </c>
      <c r="F134" s="89">
        <v>206</v>
      </c>
      <c r="G134" s="92">
        <v>329.19</v>
      </c>
      <c r="H134" s="92">
        <f t="shared" si="4"/>
        <v>67813.14</v>
      </c>
    </row>
    <row r="135" spans="1:8" ht="141.75" x14ac:dyDescent="0.25">
      <c r="A135" s="130">
        <v>121</v>
      </c>
      <c r="B135" s="106"/>
      <c r="C135" s="91" t="s">
        <v>221</v>
      </c>
      <c r="D135" s="91" t="s">
        <v>293</v>
      </c>
      <c r="E135" s="89" t="s">
        <v>218</v>
      </c>
      <c r="F135" s="89">
        <v>114</v>
      </c>
      <c r="G135" s="92">
        <v>502.8</v>
      </c>
      <c r="H135" s="92">
        <f t="shared" si="4"/>
        <v>57319.199999999997</v>
      </c>
    </row>
    <row r="136" spans="1:8" ht="31.5" x14ac:dyDescent="0.25">
      <c r="A136" s="130">
        <v>122</v>
      </c>
      <c r="B136" s="106"/>
      <c r="C136" s="91" t="s">
        <v>294</v>
      </c>
      <c r="D136" s="91" t="s">
        <v>295</v>
      </c>
      <c r="E136" s="89" t="s">
        <v>223</v>
      </c>
      <c r="F136" s="89">
        <v>21516</v>
      </c>
      <c r="G136" s="92">
        <v>2.44</v>
      </c>
      <c r="H136" s="92">
        <f t="shared" si="4"/>
        <v>52499.040000000001</v>
      </c>
    </row>
    <row r="137" spans="1:8" ht="157.5" x14ac:dyDescent="0.25">
      <c r="A137" s="130">
        <v>123</v>
      </c>
      <c r="B137" s="106"/>
      <c r="C137" s="91" t="s">
        <v>221</v>
      </c>
      <c r="D137" s="91" t="s">
        <v>296</v>
      </c>
      <c r="E137" s="89"/>
      <c r="F137" s="89">
        <v>1802</v>
      </c>
      <c r="G137" s="92">
        <v>28.99</v>
      </c>
      <c r="H137" s="92">
        <f t="shared" si="4"/>
        <v>52239.98</v>
      </c>
    </row>
    <row r="138" spans="1:8" ht="141.75" x14ac:dyDescent="0.25">
      <c r="A138" s="130">
        <v>124</v>
      </c>
      <c r="B138" s="106"/>
      <c r="C138" s="91" t="s">
        <v>221</v>
      </c>
      <c r="D138" s="91" t="s">
        <v>297</v>
      </c>
      <c r="E138" s="89" t="s">
        <v>218</v>
      </c>
      <c r="F138" s="89">
        <v>41</v>
      </c>
      <c r="G138" s="92">
        <v>1269.82</v>
      </c>
      <c r="H138" s="92">
        <f t="shared" si="4"/>
        <v>52062.62</v>
      </c>
    </row>
    <row r="139" spans="1:8" ht="189" x14ac:dyDescent="0.25">
      <c r="A139" s="130">
        <v>125</v>
      </c>
      <c r="B139" s="106"/>
      <c r="C139" s="91" t="s">
        <v>221</v>
      </c>
      <c r="D139" s="91" t="s">
        <v>298</v>
      </c>
      <c r="E139" s="89" t="s">
        <v>218</v>
      </c>
      <c r="F139" s="89">
        <v>216</v>
      </c>
      <c r="G139" s="92">
        <v>205</v>
      </c>
      <c r="H139" s="92">
        <f t="shared" si="4"/>
        <v>44280</v>
      </c>
    </row>
    <row r="140" spans="1:8" ht="157.5" x14ac:dyDescent="0.25">
      <c r="A140" s="130">
        <v>126</v>
      </c>
      <c r="B140" s="106"/>
      <c r="C140" s="91" t="s">
        <v>221</v>
      </c>
      <c r="D140" s="91" t="s">
        <v>299</v>
      </c>
      <c r="E140" s="89" t="s">
        <v>218</v>
      </c>
      <c r="F140" s="89">
        <v>1487</v>
      </c>
      <c r="G140" s="92">
        <v>29.28</v>
      </c>
      <c r="H140" s="92">
        <f t="shared" si="4"/>
        <v>43539.360000000001</v>
      </c>
    </row>
    <row r="141" spans="1:8" ht="47.25" x14ac:dyDescent="0.25">
      <c r="A141" s="130">
        <v>127</v>
      </c>
      <c r="B141" s="106"/>
      <c r="C141" s="91" t="s">
        <v>221</v>
      </c>
      <c r="D141" s="91" t="s">
        <v>300</v>
      </c>
      <c r="E141" s="89" t="s">
        <v>218</v>
      </c>
      <c r="F141" s="89">
        <v>74</v>
      </c>
      <c r="G141" s="92">
        <v>585.70000000000005</v>
      </c>
      <c r="H141" s="92">
        <f t="shared" si="4"/>
        <v>43341.8</v>
      </c>
    </row>
    <row r="142" spans="1:8" ht="94.5" x14ac:dyDescent="0.25">
      <c r="A142" s="130">
        <v>128</v>
      </c>
      <c r="B142" s="106"/>
      <c r="C142" s="91" t="s">
        <v>221</v>
      </c>
      <c r="D142" s="91" t="s">
        <v>301</v>
      </c>
      <c r="E142" s="89" t="s">
        <v>218</v>
      </c>
      <c r="F142" s="89">
        <v>74</v>
      </c>
      <c r="G142" s="92">
        <v>492.44</v>
      </c>
      <c r="H142" s="92">
        <f t="shared" si="4"/>
        <v>36440.559999999998</v>
      </c>
    </row>
    <row r="143" spans="1:8" ht="204.75" x14ac:dyDescent="0.25">
      <c r="A143" s="130">
        <v>129</v>
      </c>
      <c r="B143" s="106"/>
      <c r="C143" s="91" t="s">
        <v>302</v>
      </c>
      <c r="D143" s="91" t="s">
        <v>303</v>
      </c>
      <c r="E143" s="89" t="s">
        <v>228</v>
      </c>
      <c r="F143" s="89">
        <v>7</v>
      </c>
      <c r="G143" s="92">
        <v>5000</v>
      </c>
      <c r="H143" s="92">
        <f t="shared" si="4"/>
        <v>35000</v>
      </c>
    </row>
    <row r="144" spans="1:8" ht="110.25" x14ac:dyDescent="0.25">
      <c r="A144" s="130">
        <v>130</v>
      </c>
      <c r="B144" s="106"/>
      <c r="C144" s="91" t="s">
        <v>304</v>
      </c>
      <c r="D144" s="91" t="s">
        <v>305</v>
      </c>
      <c r="E144" s="89" t="s">
        <v>218</v>
      </c>
      <c r="F144" s="89">
        <v>203</v>
      </c>
      <c r="G144" s="92">
        <v>175.99</v>
      </c>
      <c r="H144" s="92">
        <f t="shared" si="4"/>
        <v>35725.97</v>
      </c>
    </row>
    <row r="145" spans="1:8" ht="94.5" x14ac:dyDescent="0.25">
      <c r="A145" s="130">
        <v>131</v>
      </c>
      <c r="B145" s="106"/>
      <c r="C145" s="91" t="s">
        <v>306</v>
      </c>
      <c r="D145" s="91" t="s">
        <v>307</v>
      </c>
      <c r="E145" s="89" t="s">
        <v>228</v>
      </c>
      <c r="F145" s="89">
        <v>3</v>
      </c>
      <c r="G145" s="92">
        <v>10316.42</v>
      </c>
      <c r="H145" s="92">
        <f t="shared" si="4"/>
        <v>30949.26</v>
      </c>
    </row>
    <row r="146" spans="1:8" ht="173.25" x14ac:dyDescent="0.25">
      <c r="A146" s="130">
        <v>132</v>
      </c>
      <c r="B146" s="106"/>
      <c r="C146" s="91" t="s">
        <v>308</v>
      </c>
      <c r="D146" s="91" t="s">
        <v>309</v>
      </c>
      <c r="E146" s="89" t="s">
        <v>223</v>
      </c>
      <c r="F146" s="89">
        <v>615</v>
      </c>
      <c r="G146" s="92">
        <v>54.95</v>
      </c>
      <c r="H146" s="92">
        <f t="shared" si="4"/>
        <v>33794.25</v>
      </c>
    </row>
    <row r="147" spans="1:8" ht="78.75" x14ac:dyDescent="0.25">
      <c r="A147" s="130">
        <v>133</v>
      </c>
      <c r="B147" s="106"/>
      <c r="C147" s="91" t="s">
        <v>310</v>
      </c>
      <c r="D147" s="91" t="s">
        <v>311</v>
      </c>
      <c r="E147" s="89" t="s">
        <v>218</v>
      </c>
      <c r="F147" s="89">
        <v>242</v>
      </c>
      <c r="G147" s="92">
        <v>137.86000000000001</v>
      </c>
      <c r="H147" s="92">
        <f t="shared" si="4"/>
        <v>33362.120000000003</v>
      </c>
    </row>
    <row r="148" spans="1:8" ht="78.75" x14ac:dyDescent="0.25">
      <c r="A148" s="130">
        <v>134</v>
      </c>
      <c r="B148" s="106"/>
      <c r="C148" s="91" t="s">
        <v>221</v>
      </c>
      <c r="D148" s="91" t="s">
        <v>312</v>
      </c>
      <c r="E148" s="89" t="s">
        <v>218</v>
      </c>
      <c r="F148" s="89">
        <v>203</v>
      </c>
      <c r="G148" s="92">
        <v>135.16</v>
      </c>
      <c r="H148" s="92">
        <f t="shared" ref="H148:H179" si="5">ROUND(F148*G148,2)</f>
        <v>27437.48</v>
      </c>
    </row>
    <row r="149" spans="1:8" ht="126" x14ac:dyDescent="0.25">
      <c r="A149" s="130">
        <v>135</v>
      </c>
      <c r="B149" s="106"/>
      <c r="C149" s="91" t="s">
        <v>313</v>
      </c>
      <c r="D149" s="91" t="s">
        <v>314</v>
      </c>
      <c r="E149" s="89" t="s">
        <v>228</v>
      </c>
      <c r="F149" s="89">
        <v>2</v>
      </c>
      <c r="G149" s="92">
        <v>10615.64</v>
      </c>
      <c r="H149" s="92">
        <f t="shared" si="5"/>
        <v>21231.279999999999</v>
      </c>
    </row>
    <row r="150" spans="1:8" ht="47.25" x14ac:dyDescent="0.25">
      <c r="A150" s="130">
        <v>136</v>
      </c>
      <c r="B150" s="106"/>
      <c r="C150" s="91" t="s">
        <v>221</v>
      </c>
      <c r="D150" s="91" t="s">
        <v>315</v>
      </c>
      <c r="E150" s="89" t="s">
        <v>218</v>
      </c>
      <c r="F150" s="89">
        <v>405</v>
      </c>
      <c r="G150" s="92">
        <v>61.51</v>
      </c>
      <c r="H150" s="92">
        <f t="shared" si="5"/>
        <v>24911.55</v>
      </c>
    </row>
    <row r="151" spans="1:8" ht="157.5" x14ac:dyDescent="0.25">
      <c r="A151" s="130">
        <v>137</v>
      </c>
      <c r="B151" s="106"/>
      <c r="C151" s="91" t="s">
        <v>316</v>
      </c>
      <c r="D151" s="91" t="s">
        <v>317</v>
      </c>
      <c r="E151" s="89" t="s">
        <v>228</v>
      </c>
      <c r="F151" s="89">
        <v>4</v>
      </c>
      <c r="G151" s="92">
        <v>6511.15</v>
      </c>
      <c r="H151" s="92">
        <f t="shared" si="5"/>
        <v>26044.6</v>
      </c>
    </row>
    <row r="152" spans="1:8" ht="110.25" x14ac:dyDescent="0.25">
      <c r="A152" s="130">
        <v>138</v>
      </c>
      <c r="B152" s="106"/>
      <c r="C152" s="91" t="s">
        <v>318</v>
      </c>
      <c r="D152" s="91" t="s">
        <v>319</v>
      </c>
      <c r="E152" s="89" t="s">
        <v>218</v>
      </c>
      <c r="F152" s="89">
        <v>74</v>
      </c>
      <c r="G152" s="92">
        <v>314.56</v>
      </c>
      <c r="H152" s="92">
        <f t="shared" si="5"/>
        <v>23277.439999999999</v>
      </c>
    </row>
    <row r="153" spans="1:8" ht="31.5" x14ac:dyDescent="0.25">
      <c r="A153" s="130">
        <v>139</v>
      </c>
      <c r="B153" s="106"/>
      <c r="C153" s="91" t="s">
        <v>320</v>
      </c>
      <c r="D153" s="91" t="s">
        <v>321</v>
      </c>
      <c r="E153" s="89" t="s">
        <v>289</v>
      </c>
      <c r="F153" s="89">
        <v>788</v>
      </c>
      <c r="G153" s="92">
        <v>28.6</v>
      </c>
      <c r="H153" s="92">
        <f t="shared" si="5"/>
        <v>22536.799999999999</v>
      </c>
    </row>
    <row r="154" spans="1:8" ht="110.25" x14ac:dyDescent="0.25">
      <c r="A154" s="130">
        <v>140</v>
      </c>
      <c r="B154" s="106"/>
      <c r="C154" s="91" t="s">
        <v>221</v>
      </c>
      <c r="D154" s="91" t="s">
        <v>322</v>
      </c>
      <c r="E154" s="89" t="s">
        <v>218</v>
      </c>
      <c r="F154" s="89">
        <v>203</v>
      </c>
      <c r="G154" s="92">
        <v>108.2</v>
      </c>
      <c r="H154" s="92">
        <f t="shared" si="5"/>
        <v>21964.6</v>
      </c>
    </row>
    <row r="155" spans="1:8" ht="47.25" x14ac:dyDescent="0.25">
      <c r="A155" s="130">
        <v>141</v>
      </c>
      <c r="B155" s="106"/>
      <c r="C155" s="91" t="s">
        <v>323</v>
      </c>
      <c r="D155" s="91" t="s">
        <v>324</v>
      </c>
      <c r="E155" s="89" t="s">
        <v>218</v>
      </c>
      <c r="F155" s="89">
        <v>1610</v>
      </c>
      <c r="G155" s="92">
        <v>13.29</v>
      </c>
      <c r="H155" s="92">
        <f t="shared" si="5"/>
        <v>21396.9</v>
      </c>
    </row>
    <row r="156" spans="1:8" ht="110.25" x14ac:dyDescent="0.25">
      <c r="A156" s="130">
        <v>142</v>
      </c>
      <c r="B156" s="106"/>
      <c r="C156" s="91" t="s">
        <v>221</v>
      </c>
      <c r="D156" s="91" t="s">
        <v>325</v>
      </c>
      <c r="E156" s="89" t="s">
        <v>218</v>
      </c>
      <c r="F156" s="89">
        <v>74</v>
      </c>
      <c r="G156" s="92">
        <v>283.27999999999997</v>
      </c>
      <c r="H156" s="92">
        <f t="shared" si="5"/>
        <v>20962.72</v>
      </c>
    </row>
    <row r="157" spans="1:8" ht="78.75" x14ac:dyDescent="0.25">
      <c r="A157" s="130">
        <v>143</v>
      </c>
      <c r="B157" s="106"/>
      <c r="C157" s="91" t="s">
        <v>221</v>
      </c>
      <c r="D157" s="91" t="s">
        <v>326</v>
      </c>
      <c r="E157" s="89" t="s">
        <v>218</v>
      </c>
      <c r="F157" s="89">
        <v>203</v>
      </c>
      <c r="G157" s="92">
        <v>97.33</v>
      </c>
      <c r="H157" s="92">
        <f t="shared" si="5"/>
        <v>19757.990000000002</v>
      </c>
    </row>
    <row r="158" spans="1:8" ht="110.25" x14ac:dyDescent="0.25">
      <c r="A158" s="130">
        <v>144</v>
      </c>
      <c r="B158" s="106"/>
      <c r="C158" s="91" t="s">
        <v>327</v>
      </c>
      <c r="D158" s="91" t="s">
        <v>328</v>
      </c>
      <c r="E158" s="89" t="s">
        <v>218</v>
      </c>
      <c r="F158" s="89">
        <v>683</v>
      </c>
      <c r="G158" s="92">
        <v>28.43</v>
      </c>
      <c r="H158" s="92">
        <f t="shared" si="5"/>
        <v>19417.689999999999</v>
      </c>
    </row>
    <row r="159" spans="1:8" ht="110.25" x14ac:dyDescent="0.25">
      <c r="A159" s="130">
        <v>145</v>
      </c>
      <c r="B159" s="106"/>
      <c r="C159" s="91" t="s">
        <v>221</v>
      </c>
      <c r="D159" s="91" t="s">
        <v>329</v>
      </c>
      <c r="E159" s="89" t="s">
        <v>218</v>
      </c>
      <c r="F159" s="89">
        <v>74</v>
      </c>
      <c r="G159" s="92">
        <v>231.68</v>
      </c>
      <c r="H159" s="92">
        <f t="shared" si="5"/>
        <v>17144.32</v>
      </c>
    </row>
    <row r="160" spans="1:8" ht="47.25" x14ac:dyDescent="0.25">
      <c r="A160" s="130">
        <v>146</v>
      </c>
      <c r="B160" s="106"/>
      <c r="C160" s="91" t="s">
        <v>330</v>
      </c>
      <c r="D160" s="91" t="s">
        <v>331</v>
      </c>
      <c r="E160" s="89" t="s">
        <v>218</v>
      </c>
      <c r="F160" s="89">
        <v>228</v>
      </c>
      <c r="G160" s="92">
        <v>70.760000000000005</v>
      </c>
      <c r="H160" s="92">
        <f t="shared" si="5"/>
        <v>16133.28</v>
      </c>
    </row>
    <row r="161" spans="1:8" ht="47.25" x14ac:dyDescent="0.25">
      <c r="A161" s="130">
        <v>147</v>
      </c>
      <c r="B161" s="106"/>
      <c r="C161" s="91" t="s">
        <v>221</v>
      </c>
      <c r="D161" s="91" t="s">
        <v>332</v>
      </c>
      <c r="E161" s="89" t="s">
        <v>289</v>
      </c>
      <c r="F161" s="89">
        <v>685</v>
      </c>
      <c r="G161" s="92">
        <v>22.09</v>
      </c>
      <c r="H161" s="92">
        <f t="shared" si="5"/>
        <v>15131.65</v>
      </c>
    </row>
    <row r="162" spans="1:8" ht="110.25" x14ac:dyDescent="0.25">
      <c r="A162" s="130">
        <v>148</v>
      </c>
      <c r="B162" s="106"/>
      <c r="C162" s="91" t="s">
        <v>333</v>
      </c>
      <c r="D162" s="91" t="s">
        <v>334</v>
      </c>
      <c r="E162" s="89" t="s">
        <v>218</v>
      </c>
      <c r="F162" s="89">
        <v>203</v>
      </c>
      <c r="G162" s="92">
        <v>68.680000000000007</v>
      </c>
      <c r="H162" s="92">
        <f t="shared" si="5"/>
        <v>13942.04</v>
      </c>
    </row>
    <row r="163" spans="1:8" ht="94.5" x14ac:dyDescent="0.25">
      <c r="A163" s="130">
        <v>149</v>
      </c>
      <c r="B163" s="106"/>
      <c r="C163" s="91" t="s">
        <v>335</v>
      </c>
      <c r="D163" s="91" t="s">
        <v>336</v>
      </c>
      <c r="E163" s="89" t="s">
        <v>218</v>
      </c>
      <c r="F163" s="89">
        <v>114</v>
      </c>
      <c r="G163" s="92">
        <v>121.66</v>
      </c>
      <c r="H163" s="92">
        <f t="shared" si="5"/>
        <v>13869.24</v>
      </c>
    </row>
    <row r="164" spans="1:8" ht="220.5" x14ac:dyDescent="0.25">
      <c r="A164" s="130">
        <v>150</v>
      </c>
      <c r="B164" s="106"/>
      <c r="C164" s="91" t="s">
        <v>337</v>
      </c>
      <c r="D164" s="91" t="s">
        <v>338</v>
      </c>
      <c r="E164" s="89" t="s">
        <v>223</v>
      </c>
      <c r="F164" s="89">
        <v>35</v>
      </c>
      <c r="G164" s="92">
        <v>365</v>
      </c>
      <c r="H164" s="92">
        <f t="shared" si="5"/>
        <v>12775</v>
      </c>
    </row>
    <row r="165" spans="1:8" ht="63" x14ac:dyDescent="0.25">
      <c r="A165" s="130">
        <v>151</v>
      </c>
      <c r="B165" s="106"/>
      <c r="C165" s="91" t="s">
        <v>339</v>
      </c>
      <c r="D165" s="91" t="s">
        <v>340</v>
      </c>
      <c r="E165" s="89" t="s">
        <v>218</v>
      </c>
      <c r="F165" s="89">
        <v>216</v>
      </c>
      <c r="G165" s="92">
        <v>45.75</v>
      </c>
      <c r="H165" s="92">
        <f t="shared" si="5"/>
        <v>9882</v>
      </c>
    </row>
    <row r="166" spans="1:8" ht="63" x14ac:dyDescent="0.25">
      <c r="A166" s="130">
        <v>152</v>
      </c>
      <c r="B166" s="106"/>
      <c r="C166" s="91" t="s">
        <v>221</v>
      </c>
      <c r="D166" s="91" t="s">
        <v>341</v>
      </c>
      <c r="E166" s="89" t="s">
        <v>218</v>
      </c>
      <c r="F166" s="89">
        <v>21</v>
      </c>
      <c r="G166" s="92">
        <v>452.12</v>
      </c>
      <c r="H166" s="92">
        <f t="shared" si="5"/>
        <v>9494.52</v>
      </c>
    </row>
    <row r="167" spans="1:8" ht="63" x14ac:dyDescent="0.25">
      <c r="A167" s="130">
        <v>153</v>
      </c>
      <c r="B167" s="106"/>
      <c r="C167" s="91" t="s">
        <v>342</v>
      </c>
      <c r="D167" s="91" t="s">
        <v>343</v>
      </c>
      <c r="E167" s="89" t="s">
        <v>218</v>
      </c>
      <c r="F167" s="89">
        <v>216</v>
      </c>
      <c r="G167" s="92">
        <v>39.32</v>
      </c>
      <c r="H167" s="92">
        <f t="shared" si="5"/>
        <v>8493.1200000000008</v>
      </c>
    </row>
    <row r="168" spans="1:8" ht="110.25" x14ac:dyDescent="0.25">
      <c r="A168" s="130">
        <v>154</v>
      </c>
      <c r="B168" s="106"/>
      <c r="C168" s="91" t="s">
        <v>344</v>
      </c>
      <c r="D168" s="91" t="s">
        <v>345</v>
      </c>
      <c r="E168" s="89" t="s">
        <v>218</v>
      </c>
      <c r="F168" s="89">
        <v>152</v>
      </c>
      <c r="G168" s="92">
        <v>42.24</v>
      </c>
      <c r="H168" s="92">
        <f t="shared" si="5"/>
        <v>6420.48</v>
      </c>
    </row>
    <row r="169" spans="1:8" ht="110.25" x14ac:dyDescent="0.25">
      <c r="A169" s="130">
        <v>155</v>
      </c>
      <c r="B169" s="106"/>
      <c r="C169" s="91" t="s">
        <v>346</v>
      </c>
      <c r="D169" s="91" t="s">
        <v>347</v>
      </c>
      <c r="E169" s="89" t="s">
        <v>218</v>
      </c>
      <c r="F169" s="89">
        <v>74</v>
      </c>
      <c r="G169" s="92">
        <v>83.93</v>
      </c>
      <c r="H169" s="92">
        <f t="shared" si="5"/>
        <v>6210.82</v>
      </c>
    </row>
    <row r="170" spans="1:8" ht="126" x14ac:dyDescent="0.25">
      <c r="A170" s="130">
        <v>156</v>
      </c>
      <c r="B170" s="106"/>
      <c r="C170" s="91" t="s">
        <v>348</v>
      </c>
      <c r="D170" s="91" t="s">
        <v>349</v>
      </c>
      <c r="E170" s="89" t="s">
        <v>289</v>
      </c>
      <c r="F170" s="89">
        <v>25</v>
      </c>
      <c r="G170" s="92">
        <v>238.48</v>
      </c>
      <c r="H170" s="92">
        <f t="shared" si="5"/>
        <v>5962</v>
      </c>
    </row>
    <row r="171" spans="1:8" ht="141.75" x14ac:dyDescent="0.25">
      <c r="A171" s="130">
        <v>157</v>
      </c>
      <c r="B171" s="106"/>
      <c r="C171" s="91" t="s">
        <v>350</v>
      </c>
      <c r="D171" s="91" t="s">
        <v>351</v>
      </c>
      <c r="E171" s="89" t="s">
        <v>228</v>
      </c>
      <c r="F171" s="89">
        <v>0.31</v>
      </c>
      <c r="G171" s="92">
        <v>17500</v>
      </c>
      <c r="H171" s="92">
        <f t="shared" si="5"/>
        <v>5425</v>
      </c>
    </row>
    <row r="172" spans="1:8" ht="31.5" x14ac:dyDescent="0.25">
      <c r="A172" s="130">
        <v>158</v>
      </c>
      <c r="B172" s="106"/>
      <c r="C172" s="91" t="s">
        <v>352</v>
      </c>
      <c r="D172" s="91" t="s">
        <v>353</v>
      </c>
      <c r="E172" s="89" t="s">
        <v>218</v>
      </c>
      <c r="F172" s="89">
        <v>487.5</v>
      </c>
      <c r="G172" s="92">
        <v>9.36</v>
      </c>
      <c r="H172" s="92">
        <f t="shared" si="5"/>
        <v>4563</v>
      </c>
    </row>
    <row r="173" spans="1:8" ht="47.25" x14ac:dyDescent="0.25">
      <c r="A173" s="130">
        <v>159</v>
      </c>
      <c r="B173" s="106"/>
      <c r="C173" s="91" t="s">
        <v>354</v>
      </c>
      <c r="D173" s="91" t="s">
        <v>355</v>
      </c>
      <c r="E173" s="89" t="s">
        <v>218</v>
      </c>
      <c r="F173" s="89">
        <v>202.5</v>
      </c>
      <c r="G173" s="92">
        <v>21.5</v>
      </c>
      <c r="H173" s="92">
        <f t="shared" si="5"/>
        <v>4353.75</v>
      </c>
    </row>
    <row r="174" spans="1:8" ht="78.75" x14ac:dyDescent="0.25">
      <c r="A174" s="130">
        <v>160</v>
      </c>
      <c r="B174" s="106"/>
      <c r="C174" s="91" t="s">
        <v>356</v>
      </c>
      <c r="D174" s="91" t="s">
        <v>357</v>
      </c>
      <c r="E174" s="89" t="s">
        <v>218</v>
      </c>
      <c r="F174" s="89">
        <v>7.33</v>
      </c>
      <c r="G174" s="92">
        <v>585.47</v>
      </c>
      <c r="H174" s="92">
        <f t="shared" si="5"/>
        <v>4291.5</v>
      </c>
    </row>
    <row r="175" spans="1:8" ht="63" x14ac:dyDescent="0.25">
      <c r="A175" s="130">
        <v>161</v>
      </c>
      <c r="B175" s="106"/>
      <c r="C175" s="91" t="s">
        <v>358</v>
      </c>
      <c r="D175" s="91" t="s">
        <v>359</v>
      </c>
      <c r="E175" s="89" t="s">
        <v>218</v>
      </c>
      <c r="F175" s="89">
        <v>7.8</v>
      </c>
      <c r="G175" s="92">
        <v>527.21</v>
      </c>
      <c r="H175" s="92">
        <f t="shared" si="5"/>
        <v>4112.24</v>
      </c>
    </row>
    <row r="176" spans="1:8" ht="110.25" x14ac:dyDescent="0.25">
      <c r="A176" s="130">
        <v>162</v>
      </c>
      <c r="B176" s="106"/>
      <c r="C176" s="91" t="s">
        <v>360</v>
      </c>
      <c r="D176" s="91" t="s">
        <v>361</v>
      </c>
      <c r="E176" s="89" t="s">
        <v>218</v>
      </c>
      <c r="F176" s="89">
        <v>151.5</v>
      </c>
      <c r="G176" s="92">
        <v>25.36</v>
      </c>
      <c r="H176" s="92">
        <f t="shared" si="5"/>
        <v>3842.04</v>
      </c>
    </row>
    <row r="177" spans="1:8" ht="63" x14ac:dyDescent="0.25">
      <c r="A177" s="130">
        <v>163</v>
      </c>
      <c r="B177" s="106"/>
      <c r="C177" s="91" t="s">
        <v>362</v>
      </c>
      <c r="D177" s="91" t="s">
        <v>363</v>
      </c>
      <c r="E177" s="89" t="s">
        <v>218</v>
      </c>
      <c r="F177" s="89">
        <v>37.5</v>
      </c>
      <c r="G177" s="92">
        <v>89.98</v>
      </c>
      <c r="H177" s="92">
        <f t="shared" si="5"/>
        <v>3374.25</v>
      </c>
    </row>
    <row r="178" spans="1:8" ht="110.25" x14ac:dyDescent="0.25">
      <c r="A178" s="130">
        <v>164</v>
      </c>
      <c r="B178" s="106"/>
      <c r="C178" s="91" t="s">
        <v>364</v>
      </c>
      <c r="D178" s="91" t="s">
        <v>365</v>
      </c>
      <c r="E178" s="89" t="s">
        <v>289</v>
      </c>
      <c r="F178" s="89">
        <v>299.83999999999997</v>
      </c>
      <c r="G178" s="92">
        <v>10.57</v>
      </c>
      <c r="H178" s="92">
        <f t="shared" si="5"/>
        <v>3169.31</v>
      </c>
    </row>
    <row r="179" spans="1:8" ht="78.75" x14ac:dyDescent="0.25">
      <c r="A179" s="130">
        <v>165</v>
      </c>
      <c r="B179" s="106"/>
      <c r="C179" s="91" t="s">
        <v>366</v>
      </c>
      <c r="D179" s="91" t="s">
        <v>367</v>
      </c>
      <c r="E179" s="89" t="s">
        <v>218</v>
      </c>
      <c r="F179" s="89">
        <v>114</v>
      </c>
      <c r="G179" s="92">
        <v>27.04</v>
      </c>
      <c r="H179" s="92">
        <f t="shared" si="5"/>
        <v>3082.56</v>
      </c>
    </row>
    <row r="180" spans="1:8" ht="141.75" x14ac:dyDescent="0.25">
      <c r="A180" s="130">
        <v>166</v>
      </c>
      <c r="B180" s="106"/>
      <c r="C180" s="91" t="s">
        <v>368</v>
      </c>
      <c r="D180" s="91" t="s">
        <v>369</v>
      </c>
      <c r="E180" s="89" t="s">
        <v>370</v>
      </c>
      <c r="F180" s="89">
        <v>2569.77</v>
      </c>
      <c r="G180" s="92">
        <v>1</v>
      </c>
      <c r="H180" s="92">
        <f t="shared" ref="H180:H200" si="6">ROUND(F180*G180,2)</f>
        <v>2569.77</v>
      </c>
    </row>
    <row r="181" spans="1:8" ht="78.75" x14ac:dyDescent="0.25">
      <c r="A181" s="130">
        <v>167</v>
      </c>
      <c r="B181" s="106"/>
      <c r="C181" s="91" t="s">
        <v>371</v>
      </c>
      <c r="D181" s="91" t="s">
        <v>372</v>
      </c>
      <c r="E181" s="89" t="s">
        <v>228</v>
      </c>
      <c r="F181" s="89">
        <v>0.25</v>
      </c>
      <c r="G181" s="92">
        <v>10200</v>
      </c>
      <c r="H181" s="92">
        <f t="shared" si="6"/>
        <v>2550</v>
      </c>
    </row>
    <row r="182" spans="1:8" ht="31.5" x14ac:dyDescent="0.25">
      <c r="A182" s="130">
        <v>168</v>
      </c>
      <c r="B182" s="106"/>
      <c r="C182" s="91" t="s">
        <v>373</v>
      </c>
      <c r="D182" s="91" t="s">
        <v>374</v>
      </c>
      <c r="E182" s="89" t="s">
        <v>375</v>
      </c>
      <c r="F182" s="89">
        <v>28.64</v>
      </c>
      <c r="G182" s="92">
        <v>79.099999999999994</v>
      </c>
      <c r="H182" s="92">
        <f t="shared" si="6"/>
        <v>2265.42</v>
      </c>
    </row>
    <row r="183" spans="1:8" ht="220.5" x14ac:dyDescent="0.25">
      <c r="A183" s="130">
        <v>169</v>
      </c>
      <c r="B183" s="106"/>
      <c r="C183" s="91" t="s">
        <v>376</v>
      </c>
      <c r="D183" s="91" t="s">
        <v>377</v>
      </c>
      <c r="E183" s="89" t="s">
        <v>223</v>
      </c>
      <c r="F183" s="89">
        <v>3.12</v>
      </c>
      <c r="G183" s="92">
        <v>558.33000000000004</v>
      </c>
      <c r="H183" s="92">
        <f t="shared" si="6"/>
        <v>1741.99</v>
      </c>
    </row>
    <row r="184" spans="1:8" ht="63" x14ac:dyDescent="0.25">
      <c r="A184" s="130">
        <v>170</v>
      </c>
      <c r="B184" s="106"/>
      <c r="C184" s="91" t="s">
        <v>221</v>
      </c>
      <c r="D184" s="91" t="s">
        <v>378</v>
      </c>
      <c r="E184" s="89" t="s">
        <v>218</v>
      </c>
      <c r="F184" s="89">
        <v>202.5</v>
      </c>
      <c r="G184" s="92">
        <v>7.51</v>
      </c>
      <c r="H184" s="92">
        <f t="shared" si="6"/>
        <v>1520.78</v>
      </c>
    </row>
    <row r="185" spans="1:8" ht="220.5" x14ac:dyDescent="0.25">
      <c r="A185" s="130">
        <v>171</v>
      </c>
      <c r="B185" s="106"/>
      <c r="C185" s="91" t="s">
        <v>379</v>
      </c>
      <c r="D185" s="91" t="s">
        <v>380</v>
      </c>
      <c r="E185" s="89" t="s">
        <v>223</v>
      </c>
      <c r="F185" s="89">
        <v>2.76</v>
      </c>
      <c r="G185" s="92">
        <v>550</v>
      </c>
      <c r="H185" s="92">
        <f t="shared" si="6"/>
        <v>1518</v>
      </c>
    </row>
    <row r="186" spans="1:8" ht="110.25" x14ac:dyDescent="0.25">
      <c r="A186" s="130">
        <v>172</v>
      </c>
      <c r="B186" s="106"/>
      <c r="C186" s="91" t="s">
        <v>381</v>
      </c>
      <c r="D186" s="91" t="s">
        <v>382</v>
      </c>
      <c r="E186" s="89" t="s">
        <v>218</v>
      </c>
      <c r="F186" s="89">
        <v>37.5</v>
      </c>
      <c r="G186" s="92">
        <v>35.75</v>
      </c>
      <c r="H186" s="92">
        <f t="shared" si="6"/>
        <v>1340.63</v>
      </c>
    </row>
    <row r="187" spans="1:8" ht="63" x14ac:dyDescent="0.25">
      <c r="A187" s="130">
        <v>173</v>
      </c>
      <c r="B187" s="106"/>
      <c r="C187" s="91" t="s">
        <v>383</v>
      </c>
      <c r="D187" s="91" t="s">
        <v>384</v>
      </c>
      <c r="E187" s="89" t="s">
        <v>218</v>
      </c>
      <c r="F187" s="89">
        <v>19.5</v>
      </c>
      <c r="G187" s="92">
        <v>62.08</v>
      </c>
      <c r="H187" s="92">
        <f t="shared" si="6"/>
        <v>1210.56</v>
      </c>
    </row>
    <row r="188" spans="1:8" ht="110.25" x14ac:dyDescent="0.25">
      <c r="A188" s="130">
        <v>174</v>
      </c>
      <c r="B188" s="106"/>
      <c r="C188" s="91" t="s">
        <v>385</v>
      </c>
      <c r="D188" s="91" t="s">
        <v>386</v>
      </c>
      <c r="E188" s="89" t="s">
        <v>218</v>
      </c>
      <c r="F188" s="89">
        <v>19.5</v>
      </c>
      <c r="G188" s="92">
        <v>45.25</v>
      </c>
      <c r="H188" s="92">
        <f t="shared" si="6"/>
        <v>882.38</v>
      </c>
    </row>
    <row r="189" spans="1:8" ht="126" x14ac:dyDescent="0.25">
      <c r="A189" s="130">
        <v>175</v>
      </c>
      <c r="B189" s="106"/>
      <c r="C189" s="91" t="s">
        <v>387</v>
      </c>
      <c r="D189" s="91" t="s">
        <v>388</v>
      </c>
      <c r="E189" s="89" t="s">
        <v>389</v>
      </c>
      <c r="F189" s="89">
        <v>0.48</v>
      </c>
      <c r="G189" s="92">
        <v>1490</v>
      </c>
      <c r="H189" s="92">
        <f t="shared" si="6"/>
        <v>715.2</v>
      </c>
    </row>
    <row r="190" spans="1:8" ht="78.75" x14ac:dyDescent="0.25">
      <c r="A190" s="130">
        <v>176</v>
      </c>
      <c r="B190" s="106"/>
      <c r="C190" s="91" t="s">
        <v>390</v>
      </c>
      <c r="D190" s="91" t="s">
        <v>391</v>
      </c>
      <c r="E190" s="89" t="s">
        <v>228</v>
      </c>
      <c r="F190" s="89">
        <v>0.25</v>
      </c>
      <c r="G190" s="92">
        <v>2607.1</v>
      </c>
      <c r="H190" s="92">
        <f t="shared" si="6"/>
        <v>651.78</v>
      </c>
    </row>
    <row r="191" spans="1:8" ht="47.25" x14ac:dyDescent="0.25">
      <c r="A191" s="130">
        <v>177</v>
      </c>
      <c r="B191" s="106"/>
      <c r="C191" s="91" t="s">
        <v>392</v>
      </c>
      <c r="D191" s="91" t="s">
        <v>393</v>
      </c>
      <c r="E191" s="89" t="s">
        <v>218</v>
      </c>
      <c r="F191" s="89">
        <v>19.5</v>
      </c>
      <c r="G191" s="92">
        <v>28.07</v>
      </c>
      <c r="H191" s="92">
        <f t="shared" si="6"/>
        <v>547.37</v>
      </c>
    </row>
    <row r="192" spans="1:8" ht="63" x14ac:dyDescent="0.25">
      <c r="A192" s="130">
        <v>178</v>
      </c>
      <c r="B192" s="106"/>
      <c r="C192" s="91" t="s">
        <v>394</v>
      </c>
      <c r="D192" s="91" t="s">
        <v>395</v>
      </c>
      <c r="E192" s="89" t="s">
        <v>218</v>
      </c>
      <c r="F192" s="89">
        <v>19.5</v>
      </c>
      <c r="G192" s="92">
        <v>25.55</v>
      </c>
      <c r="H192" s="92">
        <f t="shared" si="6"/>
        <v>498.23</v>
      </c>
    </row>
    <row r="193" spans="1:10" ht="141.75" x14ac:dyDescent="0.25">
      <c r="A193" s="130">
        <v>179</v>
      </c>
      <c r="B193" s="106"/>
      <c r="C193" s="91" t="s">
        <v>396</v>
      </c>
      <c r="D193" s="91" t="s">
        <v>397</v>
      </c>
      <c r="E193" s="89" t="s">
        <v>289</v>
      </c>
      <c r="F193" s="89">
        <v>10.69</v>
      </c>
      <c r="G193" s="92">
        <v>38.89</v>
      </c>
      <c r="H193" s="92">
        <f t="shared" si="6"/>
        <v>415.73</v>
      </c>
    </row>
    <row r="194" spans="1:10" ht="78.75" x14ac:dyDescent="0.25">
      <c r="A194" s="130">
        <v>180</v>
      </c>
      <c r="B194" s="106"/>
      <c r="C194" s="91" t="s">
        <v>398</v>
      </c>
      <c r="D194" s="91" t="s">
        <v>399</v>
      </c>
      <c r="E194" s="89" t="s">
        <v>228</v>
      </c>
      <c r="F194" s="89">
        <v>0.06</v>
      </c>
      <c r="G194" s="92">
        <v>6199.99</v>
      </c>
      <c r="H194" s="92">
        <f t="shared" si="6"/>
        <v>372</v>
      </c>
    </row>
    <row r="195" spans="1:10" ht="47.25" x14ac:dyDescent="0.25">
      <c r="A195" s="130">
        <v>181</v>
      </c>
      <c r="B195" s="106"/>
      <c r="C195" s="91" t="s">
        <v>400</v>
      </c>
      <c r="D195" s="91" t="s">
        <v>401</v>
      </c>
      <c r="E195" s="89" t="s">
        <v>228</v>
      </c>
      <c r="F195" s="89">
        <v>0.02</v>
      </c>
      <c r="G195" s="92">
        <v>11976.84</v>
      </c>
      <c r="H195" s="92">
        <f t="shared" si="6"/>
        <v>239.54</v>
      </c>
    </row>
    <row r="196" spans="1:10" ht="63" x14ac:dyDescent="0.25">
      <c r="A196" s="130">
        <v>182</v>
      </c>
      <c r="B196" s="106"/>
      <c r="C196" s="91" t="s">
        <v>402</v>
      </c>
      <c r="D196" s="91" t="s">
        <v>403</v>
      </c>
      <c r="E196" s="89" t="s">
        <v>228</v>
      </c>
      <c r="F196" s="89">
        <v>0.04</v>
      </c>
      <c r="G196" s="92">
        <v>4487.5</v>
      </c>
      <c r="H196" s="92">
        <f t="shared" si="6"/>
        <v>179.5</v>
      </c>
    </row>
    <row r="197" spans="1:10" ht="47.25" x14ac:dyDescent="0.25">
      <c r="A197" s="130">
        <v>183</v>
      </c>
      <c r="B197" s="106"/>
      <c r="C197" s="91" t="s">
        <v>404</v>
      </c>
      <c r="D197" s="91" t="s">
        <v>405</v>
      </c>
      <c r="E197" s="89" t="s">
        <v>389</v>
      </c>
      <c r="F197" s="89">
        <v>1.08</v>
      </c>
      <c r="G197" s="92">
        <v>63</v>
      </c>
      <c r="H197" s="92">
        <f t="shared" si="6"/>
        <v>68.040000000000006</v>
      </c>
    </row>
    <row r="198" spans="1:10" ht="78.75" x14ac:dyDescent="0.25">
      <c r="A198" s="130">
        <v>184</v>
      </c>
      <c r="B198" s="106"/>
      <c r="C198" s="91" t="s">
        <v>406</v>
      </c>
      <c r="D198" s="91" t="s">
        <v>407</v>
      </c>
      <c r="E198" s="89" t="s">
        <v>289</v>
      </c>
      <c r="F198" s="89">
        <v>7.2</v>
      </c>
      <c r="G198" s="92">
        <v>6.07</v>
      </c>
      <c r="H198" s="92">
        <f t="shared" si="6"/>
        <v>43.7</v>
      </c>
    </row>
    <row r="199" spans="1:10" ht="267.75" x14ac:dyDescent="0.25">
      <c r="A199" s="130">
        <v>185</v>
      </c>
      <c r="B199" s="106"/>
      <c r="C199" s="91" t="s">
        <v>408</v>
      </c>
      <c r="D199" s="91" t="s">
        <v>409</v>
      </c>
      <c r="E199" s="89" t="s">
        <v>223</v>
      </c>
      <c r="F199" s="89">
        <v>0.62</v>
      </c>
      <c r="G199" s="92">
        <v>55.26</v>
      </c>
      <c r="H199" s="92">
        <f t="shared" si="6"/>
        <v>34.26</v>
      </c>
    </row>
    <row r="200" spans="1:10" ht="63" x14ac:dyDescent="0.25">
      <c r="A200" s="130">
        <v>186</v>
      </c>
      <c r="B200" s="106"/>
      <c r="C200" s="91" t="s">
        <v>410</v>
      </c>
      <c r="D200" s="91" t="s">
        <v>411</v>
      </c>
      <c r="E200" s="89" t="s">
        <v>289</v>
      </c>
      <c r="F200" s="89">
        <v>0.81</v>
      </c>
      <c r="G200" s="92">
        <v>36</v>
      </c>
      <c r="H200" s="92">
        <f t="shared" si="6"/>
        <v>29.16</v>
      </c>
    </row>
    <row r="201" spans="1:10" ht="189" x14ac:dyDescent="0.25">
      <c r="A201" s="130">
        <v>187</v>
      </c>
      <c r="B201" s="106"/>
      <c r="C201" s="131" t="s">
        <v>412</v>
      </c>
      <c r="D201" s="131" t="s">
        <v>413</v>
      </c>
      <c r="E201" s="130" t="s">
        <v>289</v>
      </c>
      <c r="F201" s="130">
        <v>0.54</v>
      </c>
      <c r="G201" s="92">
        <v>30</v>
      </c>
      <c r="H201" s="92"/>
    </row>
    <row r="202" spans="1:10" ht="110.25" x14ac:dyDescent="0.25">
      <c r="A202" s="130">
        <v>188</v>
      </c>
      <c r="B202" s="106"/>
      <c r="C202" s="131" t="s">
        <v>414</v>
      </c>
      <c r="D202" s="131" t="s">
        <v>415</v>
      </c>
      <c r="E202" s="130" t="s">
        <v>416</v>
      </c>
      <c r="F202" s="130">
        <v>1.5</v>
      </c>
      <c r="G202" s="92">
        <v>10.09</v>
      </c>
      <c r="H202" s="92"/>
    </row>
    <row r="203" spans="1:10" ht="63" x14ac:dyDescent="0.25">
      <c r="A203" s="130">
        <v>189</v>
      </c>
      <c r="B203" s="106"/>
      <c r="C203" s="131" t="s">
        <v>417</v>
      </c>
      <c r="D203" s="131" t="s">
        <v>418</v>
      </c>
      <c r="E203" s="130" t="s">
        <v>419</v>
      </c>
      <c r="F203" s="130">
        <v>1.1499999999999999</v>
      </c>
      <c r="G203" s="92">
        <v>7.08</v>
      </c>
      <c r="H203" s="92"/>
    </row>
    <row r="204" spans="1:10" ht="47.25" x14ac:dyDescent="0.25">
      <c r="A204" s="130">
        <v>190</v>
      </c>
      <c r="B204" s="106"/>
      <c r="C204" s="131" t="s">
        <v>420</v>
      </c>
      <c r="D204" s="131" t="s">
        <v>421</v>
      </c>
      <c r="E204" s="130" t="s">
        <v>289</v>
      </c>
      <c r="F204" s="130">
        <v>0.11</v>
      </c>
      <c r="G204" s="92">
        <v>45</v>
      </c>
      <c r="H204" s="92"/>
    </row>
    <row r="205" spans="1:10" ht="141.75" x14ac:dyDescent="0.25">
      <c r="A205" s="130">
        <v>191</v>
      </c>
      <c r="B205" s="106"/>
      <c r="C205" s="91" t="s">
        <v>422</v>
      </c>
      <c r="D205" s="91" t="s">
        <v>423</v>
      </c>
      <c r="E205" s="89" t="s">
        <v>289</v>
      </c>
      <c r="F205" s="89">
        <v>0.19</v>
      </c>
      <c r="G205" s="92">
        <v>24.46</v>
      </c>
      <c r="H205" s="92">
        <f>ROUND(F205*G205,2)</f>
        <v>4.6500000000000004</v>
      </c>
    </row>
    <row r="206" spans="1:10" ht="94.5" x14ac:dyDescent="0.25">
      <c r="A206" s="130">
        <v>192</v>
      </c>
      <c r="B206" s="106"/>
      <c r="C206" s="91" t="s">
        <v>424</v>
      </c>
      <c r="D206" s="91" t="s">
        <v>425</v>
      </c>
      <c r="E206" s="89" t="s">
        <v>228</v>
      </c>
      <c r="F206" s="89">
        <v>0</v>
      </c>
      <c r="G206" s="92">
        <v>8000</v>
      </c>
      <c r="H206" s="92">
        <f>ROUND(F206*G206,2)</f>
        <v>0</v>
      </c>
    </row>
    <row r="207" spans="1:10" ht="31.5" x14ac:dyDescent="0.25">
      <c r="A207" s="130">
        <v>193</v>
      </c>
      <c r="B207" s="106"/>
      <c r="C207" s="91" t="s">
        <v>426</v>
      </c>
      <c r="D207" s="91" t="s">
        <v>427</v>
      </c>
      <c r="E207" s="89" t="s">
        <v>289</v>
      </c>
      <c r="F207" s="89">
        <v>1.02</v>
      </c>
      <c r="G207" s="92">
        <v>1.8</v>
      </c>
      <c r="H207" s="92">
        <f>ROUND(F207*G207,2)</f>
        <v>1.84</v>
      </c>
    </row>
    <row r="208" spans="1:10" ht="15.75" x14ac:dyDescent="0.25">
      <c r="J208" s="107"/>
    </row>
    <row r="210" spans="2:2" ht="15.75" x14ac:dyDescent="0.25">
      <c r="B210" s="64" t="s">
        <v>36</v>
      </c>
    </row>
    <row r="211" spans="2:2" ht="15.75" x14ac:dyDescent="0.25">
      <c r="B211" s="73" t="s">
        <v>37</v>
      </c>
    </row>
    <row r="213" spans="2:2" ht="15.75" x14ac:dyDescent="0.25">
      <c r="B213" s="64" t="s">
        <v>38</v>
      </c>
    </row>
    <row r="214" spans="2:2" ht="15.75" x14ac:dyDescent="0.25">
      <c r="B214" s="73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50"/>
  <sheetViews>
    <sheetView workbookViewId="0"/>
  </sheetViews>
  <sheetFormatPr defaultRowHeight="15" x14ac:dyDescent="0.25"/>
  <sheetData>
    <row r="1" spans="2:5" x14ac:dyDescent="0.25">
      <c r="B1" s="6"/>
      <c r="C1" s="6"/>
      <c r="D1" s="6"/>
      <c r="E1" s="6"/>
    </row>
    <row r="2" spans="2:5" x14ac:dyDescent="0.25">
      <c r="B2" s="6"/>
      <c r="C2" s="6"/>
      <c r="D2" s="6"/>
      <c r="E2" s="15" t="s">
        <v>428</v>
      </c>
    </row>
    <row r="3" spans="2:5" x14ac:dyDescent="0.25">
      <c r="B3" s="6"/>
      <c r="C3" s="6"/>
      <c r="D3" s="6"/>
      <c r="E3" s="6"/>
    </row>
    <row r="4" spans="2:5" x14ac:dyDescent="0.25">
      <c r="B4" s="6"/>
      <c r="C4" s="6"/>
      <c r="D4" s="6"/>
      <c r="E4" s="6"/>
    </row>
    <row r="5" spans="2:5" x14ac:dyDescent="0.25">
      <c r="B5" s="141" t="s">
        <v>429</v>
      </c>
      <c r="C5" s="141"/>
      <c r="D5" s="141"/>
      <c r="E5" s="141"/>
    </row>
    <row r="6" spans="2:5" x14ac:dyDescent="0.25">
      <c r="B6" s="16"/>
      <c r="C6" s="6"/>
      <c r="D6" s="6"/>
      <c r="E6" s="6"/>
    </row>
    <row r="7" spans="2:5" ht="331.5" x14ac:dyDescent="0.25">
      <c r="B7" s="142" t="str">
        <f>'Прил.1 Сравнит табл'!B7</f>
        <v>Наименование разрабатываемого показателя УНЦ - Строительно-монтажные работы ВЛ 0,4-750 кВ без опор и провода. Двухцепная, все типы опор за исключением многогранных 220 кВ</v>
      </c>
      <c r="C7" s="142"/>
      <c r="D7" s="142"/>
      <c r="E7" s="142"/>
    </row>
    <row r="8" spans="2:5" x14ac:dyDescent="0.25">
      <c r="B8" s="143" t="str">
        <f>'Прил.1 Сравнит табл'!B9</f>
        <v>Единица измерения  — 1 тн опор</v>
      </c>
      <c r="C8" s="143"/>
      <c r="D8" s="143"/>
      <c r="E8" s="143"/>
    </row>
    <row r="9" spans="2:5" x14ac:dyDescent="0.25">
      <c r="B9" s="16"/>
      <c r="C9" s="6"/>
      <c r="D9" s="6"/>
      <c r="E9" s="6"/>
    </row>
    <row r="10" spans="2:5" ht="89.25" x14ac:dyDescent="0.25">
      <c r="B10" s="2" t="s">
        <v>430</v>
      </c>
      <c r="C10" s="2" t="s">
        <v>431</v>
      </c>
      <c r="D10" s="2" t="s">
        <v>432</v>
      </c>
      <c r="E10" s="2" t="s">
        <v>433</v>
      </c>
    </row>
    <row r="11" spans="2:5" ht="38.25" x14ac:dyDescent="0.25">
      <c r="B11" s="7" t="s">
        <v>434</v>
      </c>
      <c r="C11" s="43">
        <f>'Прил.5 Расчет СМР и ОБ'!J16</f>
        <v>48133825.799999997</v>
      </c>
      <c r="D11" s="42">
        <f t="shared" ref="D11:D18" si="0">C11/$C$24</f>
        <v>5.3800578627022144E-2</v>
      </c>
      <c r="E11" s="42">
        <f t="shared" ref="E11:E18" si="1">C11/$C$40</f>
        <v>4.8919568078433159E-2</v>
      </c>
    </row>
    <row r="12" spans="2:5" ht="63.75" x14ac:dyDescent="0.25">
      <c r="B12" s="7" t="s">
        <v>435</v>
      </c>
      <c r="C12" s="43">
        <f>'Прил.5 Расчет СМР и ОБ'!J39</f>
        <v>80006688.150000006</v>
      </c>
      <c r="D12" s="42">
        <f t="shared" si="0"/>
        <v>8.942580492950794E-2</v>
      </c>
      <c r="E12" s="42">
        <f t="shared" si="1"/>
        <v>8.1312726811835878E-2</v>
      </c>
    </row>
    <row r="13" spans="2:5" ht="51" x14ac:dyDescent="0.25">
      <c r="B13" s="7" t="s">
        <v>436</v>
      </c>
      <c r="C13" s="43">
        <f>'Прил.5 Расчет СМР и ОБ'!J68</f>
        <v>10479132.899999999</v>
      </c>
      <c r="D13" s="42">
        <f t="shared" si="0"/>
        <v>1.1712831967108348E-2</v>
      </c>
      <c r="E13" s="42">
        <f t="shared" si="1"/>
        <v>1.0650195507719203E-2</v>
      </c>
    </row>
    <row r="14" spans="2:5" ht="51" x14ac:dyDescent="0.25">
      <c r="B14" s="7" t="s">
        <v>437</v>
      </c>
      <c r="C14" s="43">
        <f>C13+C12</f>
        <v>90485821.050000012</v>
      </c>
      <c r="D14" s="42">
        <f t="shared" si="0"/>
        <v>0.1011386368966163</v>
      </c>
      <c r="E14" s="42">
        <f t="shared" si="1"/>
        <v>9.1962922319555079E-2</v>
      </c>
    </row>
    <row r="15" spans="2:5" ht="63.75" x14ac:dyDescent="0.25">
      <c r="B15" s="7" t="s">
        <v>438</v>
      </c>
      <c r="C15" s="43">
        <f>'Прил.5 Расчет СМР и ОБ'!J18</f>
        <v>28425730.329999998</v>
      </c>
      <c r="D15" s="42">
        <f t="shared" si="0"/>
        <v>3.177226647231713E-2</v>
      </c>
      <c r="E15" s="42">
        <f t="shared" si="1"/>
        <v>2.8889755321664403E-2</v>
      </c>
    </row>
    <row r="16" spans="2:5" ht="51" x14ac:dyDescent="0.25">
      <c r="B16" s="7" t="s">
        <v>439</v>
      </c>
      <c r="C16" s="43">
        <f>'Прил.5 Расчет СМР и ОБ'!J96</f>
        <v>566341390.26999998</v>
      </c>
      <c r="D16" s="42">
        <f t="shared" si="0"/>
        <v>0.63301626227595997</v>
      </c>
      <c r="E16" s="42">
        <f t="shared" si="1"/>
        <v>0.57558641426229096</v>
      </c>
    </row>
    <row r="17" spans="2:7" ht="38.25" x14ac:dyDescent="0.25">
      <c r="B17" s="7" t="s">
        <v>440</v>
      </c>
      <c r="C17" s="43">
        <f>'Прил.5 Расчет СМР и ОБ'!J202</f>
        <v>80995547.809999973</v>
      </c>
      <c r="D17" s="42">
        <f t="shared" si="0"/>
        <v>9.0531082164481413E-2</v>
      </c>
      <c r="E17" s="42">
        <f t="shared" si="1"/>
        <v>8.2317728734151066E-2</v>
      </c>
      <c r="G17" s="17"/>
    </row>
    <row r="18" spans="2:7" ht="38.25" x14ac:dyDescent="0.25">
      <c r="B18" s="7" t="s">
        <v>441</v>
      </c>
      <c r="C18" s="43">
        <f>C17+C16</f>
        <v>647336938.07999992</v>
      </c>
      <c r="D18" s="42">
        <f t="shared" si="0"/>
        <v>0.72354734444044144</v>
      </c>
      <c r="E18" s="42">
        <f t="shared" si="1"/>
        <v>0.65790414299644207</v>
      </c>
    </row>
    <row r="19" spans="2:7" x14ac:dyDescent="0.25">
      <c r="B19" s="7" t="s">
        <v>442</v>
      </c>
      <c r="C19" s="43">
        <f>C18+C14+C11</f>
        <v>785956584.92999983</v>
      </c>
      <c r="D19" s="42"/>
      <c r="E19" s="7"/>
    </row>
    <row r="20" spans="2:7" ht="38.25" x14ac:dyDescent="0.25">
      <c r="B20" s="7" t="s">
        <v>443</v>
      </c>
      <c r="C20" s="43">
        <f>ROUND(C21*(C11+C15),2)</f>
        <v>36748586.939999998</v>
      </c>
      <c r="D20" s="42">
        <f>C20/$C$24</f>
        <v>4.1074965645000301E-2</v>
      </c>
      <c r="E20" s="42">
        <f>C20/$C$40</f>
        <v>3.7348475229607651E-2</v>
      </c>
    </row>
    <row r="21" spans="2:7" ht="38.25" x14ac:dyDescent="0.25">
      <c r="B21" s="7" t="s">
        <v>444</v>
      </c>
      <c r="C21" s="44">
        <f>'Прил.5 Расчет СМР и ОБ'!E206</f>
        <v>0.48</v>
      </c>
      <c r="D21" s="42"/>
      <c r="E21" s="7"/>
    </row>
    <row r="22" spans="2:7" ht="51" x14ac:dyDescent="0.25">
      <c r="B22" s="7" t="s">
        <v>445</v>
      </c>
      <c r="C22" s="43">
        <f>ROUND(C23*(C11+C15),2)</f>
        <v>71965982.760000005</v>
      </c>
      <c r="D22" s="42">
        <f>C22/$C$24</f>
        <v>8.0438474390919931E-2</v>
      </c>
      <c r="E22" s="42">
        <f>C22/$C$40</f>
        <v>7.3140763993855815E-2</v>
      </c>
    </row>
    <row r="23" spans="2:7" ht="51" x14ac:dyDescent="0.25">
      <c r="B23" s="7" t="s">
        <v>446</v>
      </c>
      <c r="C23" s="44">
        <f>'Прил.5 Расчет СМР и ОБ'!E205</f>
        <v>0.94</v>
      </c>
      <c r="D23" s="42"/>
      <c r="E23" s="7"/>
    </row>
    <row r="24" spans="2:7" ht="38.25" x14ac:dyDescent="0.25">
      <c r="B24" s="7" t="s">
        <v>447</v>
      </c>
      <c r="C24" s="43">
        <f>C19+C20+C22</f>
        <v>894671154.62999988</v>
      </c>
      <c r="D24" s="42">
        <f>C24/$C$24</f>
        <v>1</v>
      </c>
      <c r="E24" s="42">
        <f>C24/$C$40</f>
        <v>0.90927587261789367</v>
      </c>
    </row>
    <row r="25" spans="2:7" ht="89.25" x14ac:dyDescent="0.25">
      <c r="B25" s="7" t="s">
        <v>448</v>
      </c>
      <c r="C25" s="43">
        <f>'Прил.5 Расчет СМР и ОБ'!J74</f>
        <v>0</v>
      </c>
      <c r="D25" s="42"/>
      <c r="E25" s="42">
        <f>C25/$C$40</f>
        <v>0</v>
      </c>
    </row>
    <row r="26" spans="2:7" ht="76.5" x14ac:dyDescent="0.25">
      <c r="B26" s="7" t="s">
        <v>449</v>
      </c>
      <c r="C26" s="43">
        <f>'Прил.5 Расчет СМР и ОБ'!J75</f>
        <v>0</v>
      </c>
      <c r="D26" s="42"/>
      <c r="E26" s="42">
        <f>C26/$C$40</f>
        <v>0</v>
      </c>
    </row>
    <row r="27" spans="2:7" ht="63.75" x14ac:dyDescent="0.25">
      <c r="B27" s="7" t="s">
        <v>450</v>
      </c>
      <c r="C27" s="41">
        <f>C24+C25</f>
        <v>894671154.62999988</v>
      </c>
      <c r="D27" s="42"/>
      <c r="E27" s="42">
        <f>C27/$C$40</f>
        <v>0.90927587261789367</v>
      </c>
    </row>
    <row r="28" spans="2:7" ht="102" x14ac:dyDescent="0.25">
      <c r="B28" s="7" t="s">
        <v>451</v>
      </c>
      <c r="C28" s="7"/>
      <c r="D28" s="7"/>
      <c r="E28" s="7"/>
    </row>
    <row r="29" spans="2:7" ht="76.5" x14ac:dyDescent="0.25">
      <c r="B29" s="7" t="s">
        <v>452</v>
      </c>
      <c r="C29" s="41">
        <f>ROUND(C24*3.3%,2)</f>
        <v>29524148.100000001</v>
      </c>
      <c r="D29" s="7"/>
      <c r="E29" s="42">
        <f t="shared" ref="E29:E40" si="2">C29/$C$40</f>
        <v>3.0006103793554954E-2</v>
      </c>
    </row>
    <row r="30" spans="2:7" ht="165.75" x14ac:dyDescent="0.25">
      <c r="B30" s="7" t="s">
        <v>453</v>
      </c>
      <c r="C30" s="41">
        <f>ROUND((C24+C29)*1%,2)</f>
        <v>9241953.0299999993</v>
      </c>
      <c r="D30" s="7"/>
      <c r="E30" s="42">
        <f t="shared" si="2"/>
        <v>9.3928197668585612E-3</v>
      </c>
    </row>
    <row r="31" spans="2:7" ht="38.25" x14ac:dyDescent="0.25">
      <c r="B31" s="7" t="s">
        <v>454</v>
      </c>
      <c r="C31" s="41">
        <v>0</v>
      </c>
      <c r="D31" s="7"/>
      <c r="E31" s="42">
        <f t="shared" si="2"/>
        <v>0</v>
      </c>
    </row>
    <row r="32" spans="2:7" ht="127.5" x14ac:dyDescent="0.25">
      <c r="B32" s="7" t="s">
        <v>455</v>
      </c>
      <c r="C32" s="41">
        <v>0</v>
      </c>
      <c r="D32" s="7"/>
      <c r="E32" s="42">
        <f t="shared" si="2"/>
        <v>0</v>
      </c>
      <c r="G32" s="103"/>
    </row>
    <row r="33" spans="2:12" ht="127.5" x14ac:dyDescent="0.25">
      <c r="B33" s="7" t="s">
        <v>456</v>
      </c>
      <c r="C33" s="41">
        <v>0</v>
      </c>
      <c r="D33" s="7"/>
      <c r="E33" s="42">
        <f t="shared" si="2"/>
        <v>0</v>
      </c>
      <c r="G33" s="103"/>
    </row>
    <row r="34" spans="2:12" ht="216.75" x14ac:dyDescent="0.25">
      <c r="B34" s="7" t="s">
        <v>457</v>
      </c>
      <c r="C34" s="41">
        <v>0</v>
      </c>
      <c r="D34" s="7"/>
      <c r="E34" s="42">
        <f t="shared" si="2"/>
        <v>0</v>
      </c>
      <c r="G34" s="103"/>
    </row>
    <row r="35" spans="2:12" ht="357" x14ac:dyDescent="0.25">
      <c r="B35" s="7" t="s">
        <v>458</v>
      </c>
      <c r="C35" s="41">
        <v>0</v>
      </c>
      <c r="D35" s="7"/>
      <c r="E35" s="42">
        <f t="shared" si="2"/>
        <v>0</v>
      </c>
      <c r="G35" s="103"/>
    </row>
    <row r="36" spans="2:12" ht="114.75" x14ac:dyDescent="0.25">
      <c r="B36" s="7" t="s">
        <v>459</v>
      </c>
      <c r="C36" s="41">
        <f>ROUND(SUM(C27:C35)*2.14%,2)</f>
        <v>19975557.27</v>
      </c>
      <c r="D36" s="7"/>
      <c r="E36" s="42">
        <f t="shared" si="2"/>
        <v>2.0301640634898494E-2</v>
      </c>
      <c r="G36" s="62"/>
      <c r="L36" s="18"/>
    </row>
    <row r="37" spans="2:12" ht="38.25" x14ac:dyDescent="0.25">
      <c r="B37" s="7" t="s">
        <v>460</v>
      </c>
      <c r="C37" s="41">
        <f>ROUND(SUM(C27:C35)*0.2%,2)</f>
        <v>1866874.51</v>
      </c>
      <c r="D37" s="7"/>
      <c r="E37" s="42">
        <f t="shared" si="2"/>
        <v>1.897349590811802E-3</v>
      </c>
      <c r="G37" s="62"/>
      <c r="L37" s="18"/>
    </row>
    <row r="38" spans="2:12" ht="127.5" x14ac:dyDescent="0.25">
      <c r="B38" s="7" t="s">
        <v>461</v>
      </c>
      <c r="C38" s="43">
        <f>SUM(C27:C37)</f>
        <v>955279687.53999984</v>
      </c>
      <c r="D38" s="7"/>
      <c r="E38" s="42">
        <f t="shared" si="2"/>
        <v>0.97087378640401745</v>
      </c>
    </row>
    <row r="39" spans="2:12" ht="38.25" x14ac:dyDescent="0.25">
      <c r="B39" s="7" t="s">
        <v>462</v>
      </c>
      <c r="C39" s="43">
        <f>ROUND(C38*3%,2)</f>
        <v>28658390.629999999</v>
      </c>
      <c r="D39" s="7"/>
      <c r="E39" s="42">
        <f t="shared" si="2"/>
        <v>2.912621359598256E-2</v>
      </c>
    </row>
    <row r="40" spans="2:12" x14ac:dyDescent="0.25">
      <c r="B40" s="7" t="s">
        <v>463</v>
      </c>
      <c r="C40" s="43">
        <f>C39+C38</f>
        <v>983938078.16999984</v>
      </c>
      <c r="D40" s="7"/>
      <c r="E40" s="42">
        <f t="shared" si="2"/>
        <v>1</v>
      </c>
    </row>
    <row r="41" spans="2:12" ht="63.75" x14ac:dyDescent="0.25">
      <c r="B41" s="7" t="s">
        <v>464</v>
      </c>
      <c r="C41" s="43">
        <f>C40/'Прил.5 Расчет СМР и ОБ'!E209</f>
        <v>382770.83544992207</v>
      </c>
      <c r="D41" s="7"/>
      <c r="E41" s="7"/>
    </row>
    <row r="42" spans="2:12" x14ac:dyDescent="0.25">
      <c r="B42" s="19"/>
      <c r="C42" s="6"/>
      <c r="D42" s="6"/>
      <c r="E42" s="6"/>
    </row>
    <row r="43" spans="2:12" x14ac:dyDescent="0.25">
      <c r="B43" s="6" t="s">
        <v>36</v>
      </c>
      <c r="C43" s="1"/>
      <c r="D43" s="6"/>
      <c r="E43" s="6"/>
    </row>
    <row r="44" spans="2:12" x14ac:dyDescent="0.25">
      <c r="B44" s="65" t="s">
        <v>37</v>
      </c>
      <c r="C44" s="1"/>
      <c r="D44" s="6"/>
      <c r="E44" s="6"/>
    </row>
    <row r="45" spans="2:12" x14ac:dyDescent="0.25">
      <c r="B45" s="6"/>
      <c r="C45" s="1"/>
      <c r="D45" s="6"/>
      <c r="E45" s="6"/>
    </row>
    <row r="46" spans="2:12" x14ac:dyDescent="0.25">
      <c r="B46" s="6" t="s">
        <v>38</v>
      </c>
      <c r="C46" s="1"/>
      <c r="D46" s="6"/>
      <c r="E46" s="6"/>
    </row>
    <row r="47" spans="2:12" x14ac:dyDescent="0.25">
      <c r="B47" s="65" t="s">
        <v>39</v>
      </c>
      <c r="C47" s="1"/>
      <c r="D47" s="6"/>
      <c r="E47" s="6"/>
    </row>
    <row r="49" spans="2:5" x14ac:dyDescent="0.25">
      <c r="B49" s="6"/>
      <c r="C49" s="6"/>
      <c r="D49" s="6"/>
      <c r="E49" s="6"/>
    </row>
    <row r="50" spans="2:5" x14ac:dyDescent="0.25">
      <c r="B50" s="6"/>
      <c r="C50" s="6"/>
      <c r="D50" s="6"/>
      <c r="E5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16"/>
  <sheetViews>
    <sheetView tabSelected="1" topLeftCell="A122" workbookViewId="0">
      <selection activeCell="D132" sqref="D132"/>
    </sheetView>
  </sheetViews>
  <sheetFormatPr defaultRowHeight="15" x14ac:dyDescent="0.25"/>
  <cols>
    <col min="2" max="2" width="26.7109375" customWidth="1"/>
    <col min="3" max="3" width="52.5703125" customWidth="1"/>
    <col min="4" max="10" width="15.42578125" customWidth="1"/>
  </cols>
  <sheetData>
    <row r="2" spans="1:12" ht="15.75" x14ac:dyDescent="0.25">
      <c r="I2" s="64"/>
      <c r="J2" s="63" t="s">
        <v>465</v>
      </c>
    </row>
    <row r="4" spans="1:12" x14ac:dyDescent="0.25">
      <c r="A4" s="141" t="s">
        <v>466</v>
      </c>
      <c r="B4" s="141"/>
      <c r="C4" s="141"/>
      <c r="D4" s="141"/>
      <c r="E4" s="141"/>
      <c r="F4" s="141"/>
      <c r="G4" s="141"/>
      <c r="H4" s="141"/>
      <c r="I4" s="45"/>
      <c r="J4" s="45"/>
    </row>
    <row r="5" spans="1:12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</row>
    <row r="6" spans="1:12" ht="127.5" x14ac:dyDescent="0.25">
      <c r="A6" s="96" t="s">
        <v>467</v>
      </c>
      <c r="B6" s="97"/>
      <c r="C6" s="97"/>
      <c r="D6" s="155" t="s">
        <v>468</v>
      </c>
      <c r="E6" s="155"/>
      <c r="F6" s="155"/>
      <c r="G6" s="155"/>
      <c r="H6" s="155"/>
      <c r="I6" s="155"/>
      <c r="J6" s="155"/>
    </row>
    <row r="7" spans="1:12" ht="51" x14ac:dyDescent="0.25">
      <c r="A7" s="155" t="str">
        <f>'Прил.1 Сравнит табл'!B9</f>
        <v>Единица измерения  — 1 тн опор</v>
      </c>
      <c r="B7" s="142"/>
      <c r="C7" s="142"/>
      <c r="D7" s="142"/>
      <c r="E7" s="142"/>
      <c r="F7" s="142"/>
      <c r="G7" s="142"/>
      <c r="H7" s="142"/>
      <c r="I7" s="98"/>
      <c r="J7" s="98"/>
    </row>
    <row r="9" spans="1:12" ht="63.75" x14ac:dyDescent="0.25">
      <c r="A9" s="145" t="s">
        <v>469</v>
      </c>
      <c r="B9" s="145" t="s">
        <v>75</v>
      </c>
      <c r="C9" s="145" t="s">
        <v>430</v>
      </c>
      <c r="D9" s="145" t="s">
        <v>77</v>
      </c>
      <c r="E9" s="158" t="s">
        <v>470</v>
      </c>
      <c r="F9" s="153" t="s">
        <v>79</v>
      </c>
      <c r="G9" s="154"/>
      <c r="H9" s="158" t="s">
        <v>471</v>
      </c>
      <c r="I9" s="153" t="s">
        <v>472</v>
      </c>
      <c r="J9" s="154"/>
    </row>
    <row r="10" spans="1:12" x14ac:dyDescent="0.25">
      <c r="A10" s="145"/>
      <c r="B10" s="145"/>
      <c r="C10" s="145"/>
      <c r="D10" s="145"/>
      <c r="E10" s="159"/>
      <c r="F10" s="2" t="s">
        <v>473</v>
      </c>
      <c r="G10" s="2" t="s">
        <v>81</v>
      </c>
      <c r="H10" s="159"/>
      <c r="I10" s="2" t="s">
        <v>473</v>
      </c>
      <c r="J10" s="2" t="s">
        <v>81</v>
      </c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2" ht="25.5" x14ac:dyDescent="0.25">
      <c r="A12" s="2"/>
      <c r="B12" s="156" t="s">
        <v>474</v>
      </c>
      <c r="C12" s="144"/>
      <c r="D12" s="145"/>
      <c r="E12" s="146"/>
      <c r="F12" s="147"/>
      <c r="G12" s="147"/>
      <c r="H12" s="157"/>
      <c r="I12" s="46"/>
      <c r="J12" s="46"/>
      <c r="L12" s="67"/>
    </row>
    <row r="13" spans="1:12" x14ac:dyDescent="0.25">
      <c r="A13" s="2">
        <v>1</v>
      </c>
      <c r="B13" s="50" t="s">
        <v>475</v>
      </c>
      <c r="C13" s="3" t="s">
        <v>476</v>
      </c>
      <c r="D13" s="2" t="s">
        <v>477</v>
      </c>
      <c r="E13" s="49">
        <f>G13/F13</f>
        <v>139679.1541262136</v>
      </c>
      <c r="F13" s="14">
        <v>8.24</v>
      </c>
      <c r="G13" s="14">
        <f>SUM('Прил. 3'!H11:H29)</f>
        <v>1150956.2300000002</v>
      </c>
      <c r="H13" s="47">
        <f>G13/G16</f>
        <v>0.99904541096210808</v>
      </c>
      <c r="I13" s="14">
        <f>ФОТр.тек.!E13</f>
        <v>344.24036371414093</v>
      </c>
      <c r="J13" s="14">
        <f>ROUND(I13*E13,2)</f>
        <v>48083202.82</v>
      </c>
    </row>
    <row r="14" spans="1:12" x14ac:dyDescent="0.25">
      <c r="A14" s="2">
        <v>2</v>
      </c>
      <c r="B14" s="50" t="s">
        <v>478</v>
      </c>
      <c r="C14" s="3" t="s">
        <v>124</v>
      </c>
      <c r="D14" s="2" t="s">
        <v>86</v>
      </c>
      <c r="E14" s="49">
        <v>67.739999999999995</v>
      </c>
      <c r="F14" s="14">
        <v>15.49</v>
      </c>
      <c r="G14" s="14">
        <f>ROUND(E14*F14,2)</f>
        <v>1049.29</v>
      </c>
      <c r="H14" s="47">
        <f>G14/G16</f>
        <v>9.1079776271633733E-4</v>
      </c>
      <c r="I14" s="14">
        <f>ФОТи.тек.!E15</f>
        <v>713.02776960364929</v>
      </c>
      <c r="J14" s="14">
        <f>ROUND(I14*E14,2)</f>
        <v>48300.5</v>
      </c>
    </row>
    <row r="15" spans="1:12" x14ac:dyDescent="0.25">
      <c r="A15" s="2">
        <v>3</v>
      </c>
      <c r="B15" s="50" t="s">
        <v>479</v>
      </c>
      <c r="C15" s="3" t="s">
        <v>126</v>
      </c>
      <c r="D15" s="2" t="s">
        <v>86</v>
      </c>
      <c r="E15" s="49">
        <v>2.98</v>
      </c>
      <c r="F15" s="14">
        <v>16.93</v>
      </c>
      <c r="G15" s="14">
        <f>ROUND(E15*F15,2)</f>
        <v>50.45</v>
      </c>
      <c r="H15" s="47">
        <f>G15/G16</f>
        <v>4.3791275175632302E-5</v>
      </c>
      <c r="I15" s="14">
        <f>ФОТи.тек.!E16</f>
        <v>779.35593421794226</v>
      </c>
      <c r="J15" s="14">
        <f>ROUND(I15*E15,2)</f>
        <v>2322.48</v>
      </c>
    </row>
    <row r="16" spans="1:12" ht="25.5" x14ac:dyDescent="0.25">
      <c r="A16" s="2"/>
      <c r="B16" s="2"/>
      <c r="C16" s="5" t="s">
        <v>480</v>
      </c>
      <c r="D16" s="2" t="s">
        <v>477</v>
      </c>
      <c r="E16" s="49">
        <f>SUM(E13:E13)</f>
        <v>139679.1541262136</v>
      </c>
      <c r="F16" s="14"/>
      <c r="G16" s="14">
        <f>SUM(G13:G15)</f>
        <v>1152055.9700000002</v>
      </c>
      <c r="H16" s="47">
        <v>1</v>
      </c>
      <c r="I16" s="14"/>
      <c r="J16" s="14">
        <f>SUM(J13:J15)</f>
        <v>48133825.799999997</v>
      </c>
      <c r="L16" s="68"/>
    </row>
    <row r="17" spans="1:12" x14ac:dyDescent="0.25">
      <c r="A17" s="2"/>
      <c r="B17" s="144" t="s">
        <v>127</v>
      </c>
      <c r="C17" s="144"/>
      <c r="D17" s="145"/>
      <c r="E17" s="146"/>
      <c r="F17" s="147"/>
      <c r="G17" s="147"/>
      <c r="H17" s="157"/>
      <c r="I17" s="46"/>
      <c r="J17" s="46"/>
      <c r="L17" s="67"/>
    </row>
    <row r="18" spans="1:12" x14ac:dyDescent="0.25">
      <c r="A18" s="2">
        <v>4</v>
      </c>
      <c r="B18" s="2">
        <v>2</v>
      </c>
      <c r="C18" s="3" t="s">
        <v>127</v>
      </c>
      <c r="D18" s="2" t="s">
        <v>477</v>
      </c>
      <c r="E18" s="49">
        <f>'Прил. 3'!F33</f>
        <v>46210.180326299997</v>
      </c>
      <c r="F18" s="14">
        <f>G18/E18</f>
        <v>13.135508576549228</v>
      </c>
      <c r="G18" s="14">
        <f>'Прил. 3'!H33</f>
        <v>606994.22</v>
      </c>
      <c r="H18" s="47">
        <v>1</v>
      </c>
      <c r="I18" s="14">
        <f>ROUND(F18*'Прил. 10'!D10,2)</f>
        <v>615.14</v>
      </c>
      <c r="J18" s="14">
        <f>ROUND(I18*E18,2)</f>
        <v>28425730.329999998</v>
      </c>
      <c r="L18" s="60"/>
    </row>
    <row r="19" spans="1:12" x14ac:dyDescent="0.25">
      <c r="A19" s="2"/>
      <c r="B19" s="156" t="s">
        <v>128</v>
      </c>
      <c r="C19" s="144"/>
      <c r="D19" s="145"/>
      <c r="E19" s="146"/>
      <c r="F19" s="147"/>
      <c r="G19" s="147"/>
      <c r="H19" s="148"/>
      <c r="I19" s="47"/>
      <c r="J19" s="47"/>
    </row>
    <row r="20" spans="1:12" ht="25.5" x14ac:dyDescent="0.25">
      <c r="A20" s="2"/>
      <c r="B20" s="144" t="s">
        <v>481</v>
      </c>
      <c r="C20" s="144"/>
      <c r="D20" s="145"/>
      <c r="E20" s="146"/>
      <c r="F20" s="147"/>
      <c r="G20" s="147"/>
      <c r="H20" s="157"/>
      <c r="I20" s="46"/>
      <c r="J20" s="46"/>
    </row>
    <row r="21" spans="1:12" x14ac:dyDescent="0.25">
      <c r="A21" s="2">
        <v>5</v>
      </c>
      <c r="B21" s="50" t="s">
        <v>129</v>
      </c>
      <c r="C21" s="3" t="s">
        <v>130</v>
      </c>
      <c r="D21" s="2" t="s">
        <v>131</v>
      </c>
      <c r="E21" s="49">
        <v>3103.9004439605001</v>
      </c>
      <c r="F21" s="9">
        <v>477.52</v>
      </c>
      <c r="G21" s="14">
        <f t="shared" ref="G21:G38" si="0">ROUND(E21*F21,2)</f>
        <v>1482174.54</v>
      </c>
      <c r="H21" s="47">
        <f t="shared" ref="H21:H38" si="1">G21/$G$69</f>
        <v>0.1959066869345498</v>
      </c>
      <c r="I21" s="14">
        <f>ROUND(F21*'Прил. 10'!$D$11,2)</f>
        <v>5711.14</v>
      </c>
      <c r="J21" s="14">
        <f>ROUND(I21*E21,2)</f>
        <v>17726809.98</v>
      </c>
    </row>
    <row r="22" spans="1:12" x14ac:dyDescent="0.25">
      <c r="A22" s="113"/>
      <c r="B22" s="114" t="s">
        <v>129</v>
      </c>
      <c r="C22" s="115" t="s">
        <v>130</v>
      </c>
      <c r="D22" s="113" t="s">
        <v>131</v>
      </c>
      <c r="E22" s="116">
        <v>2308.42</v>
      </c>
      <c r="F22" s="117">
        <v>477.52</v>
      </c>
      <c r="G22" s="118">
        <f t="shared" si="0"/>
        <v>1102316.72</v>
      </c>
      <c r="H22" s="119">
        <f t="shared" si="1"/>
        <v>0.14569891111998171</v>
      </c>
      <c r="I22" s="118"/>
      <c r="J22" s="118"/>
    </row>
    <row r="23" spans="1:12" x14ac:dyDescent="0.25">
      <c r="A23" s="113"/>
      <c r="B23" s="114" t="s">
        <v>132</v>
      </c>
      <c r="C23" s="115" t="s">
        <v>133</v>
      </c>
      <c r="D23" s="113" t="s">
        <v>131</v>
      </c>
      <c r="E23" s="116">
        <v>1500.3980429999999</v>
      </c>
      <c r="F23" s="117">
        <v>243.49</v>
      </c>
      <c r="G23" s="118">
        <f t="shared" si="0"/>
        <v>365331.92</v>
      </c>
      <c r="H23" s="119">
        <f t="shared" si="1"/>
        <v>4.8287812364283353E-2</v>
      </c>
      <c r="I23" s="118"/>
      <c r="J23" s="118"/>
    </row>
    <row r="24" spans="1:12" x14ac:dyDescent="0.25">
      <c r="A24" s="113"/>
      <c r="B24" s="114" t="s">
        <v>134</v>
      </c>
      <c r="C24" s="115" t="s">
        <v>135</v>
      </c>
      <c r="D24" s="113" t="s">
        <v>131</v>
      </c>
      <c r="E24" s="116">
        <v>490.74</v>
      </c>
      <c r="F24" s="117">
        <v>29.6</v>
      </c>
      <c r="G24" s="118">
        <f t="shared" si="0"/>
        <v>14525.9</v>
      </c>
      <c r="H24" s="119">
        <f t="shared" si="1"/>
        <v>1.9199634502847262E-3</v>
      </c>
      <c r="I24" s="118"/>
      <c r="J24" s="118"/>
    </row>
    <row r="25" spans="1:12" x14ac:dyDescent="0.25">
      <c r="A25" s="2">
        <v>6</v>
      </c>
      <c r="B25" s="50" t="s">
        <v>136</v>
      </c>
      <c r="C25" s="3" t="s">
        <v>137</v>
      </c>
      <c r="D25" s="2" t="s">
        <v>131</v>
      </c>
      <c r="E25" s="49">
        <v>14013.947155768001</v>
      </c>
      <c r="F25" s="9">
        <v>94.05</v>
      </c>
      <c r="G25" s="14">
        <f t="shared" si="0"/>
        <v>1318011.73</v>
      </c>
      <c r="H25" s="47">
        <f t="shared" si="1"/>
        <v>0.17420843793820287</v>
      </c>
      <c r="I25" s="14">
        <f>ROUND(F25*'Прил. 10'!$D$11,2)</f>
        <v>1124.8399999999999</v>
      </c>
      <c r="J25" s="14">
        <f>ROUND(I25*E25,2)</f>
        <v>15763448.32</v>
      </c>
    </row>
    <row r="26" spans="1:12" x14ac:dyDescent="0.25">
      <c r="A26" s="113"/>
      <c r="B26" s="114" t="s">
        <v>136</v>
      </c>
      <c r="C26" s="115" t="s">
        <v>137</v>
      </c>
      <c r="D26" s="113" t="s">
        <v>131</v>
      </c>
      <c r="E26" s="116">
        <v>13987.2791</v>
      </c>
      <c r="F26" s="117">
        <v>94.05</v>
      </c>
      <c r="G26" s="118">
        <f t="shared" si="0"/>
        <v>1315503.6000000001</v>
      </c>
      <c r="H26" s="119">
        <f t="shared" si="1"/>
        <v>0.17387692540345029</v>
      </c>
      <c r="I26" s="118"/>
      <c r="J26" s="118"/>
    </row>
    <row r="27" spans="1:12" x14ac:dyDescent="0.25">
      <c r="A27" s="113"/>
      <c r="B27" s="114" t="s">
        <v>138</v>
      </c>
      <c r="C27" s="115" t="s">
        <v>139</v>
      </c>
      <c r="D27" s="113" t="s">
        <v>131</v>
      </c>
      <c r="E27" s="116">
        <v>12.27984</v>
      </c>
      <c r="F27" s="117">
        <v>79.069999999999993</v>
      </c>
      <c r="G27" s="118">
        <f t="shared" si="0"/>
        <v>970.97</v>
      </c>
      <c r="H27" s="119">
        <f t="shared" si="1"/>
        <v>1.2833813473333568E-4</v>
      </c>
      <c r="I27" s="118"/>
      <c r="J27" s="118"/>
    </row>
    <row r="28" spans="1:12" x14ac:dyDescent="0.25">
      <c r="A28" s="113"/>
      <c r="B28" s="114" t="s">
        <v>140</v>
      </c>
      <c r="C28" s="115" t="s">
        <v>141</v>
      </c>
      <c r="D28" s="113" t="s">
        <v>131</v>
      </c>
      <c r="E28" s="116">
        <v>12.55846</v>
      </c>
      <c r="F28" s="117">
        <v>122.4</v>
      </c>
      <c r="G28" s="118">
        <f t="shared" si="0"/>
        <v>1537.16</v>
      </c>
      <c r="H28" s="119">
        <f t="shared" si="1"/>
        <v>2.0317440001925318E-4</v>
      </c>
      <c r="I28" s="118"/>
      <c r="J28" s="118"/>
    </row>
    <row r="29" spans="1:12" ht="25.5" x14ac:dyDescent="0.25">
      <c r="A29" s="2">
        <v>7</v>
      </c>
      <c r="B29" s="50" t="s">
        <v>142</v>
      </c>
      <c r="C29" s="3" t="s">
        <v>143</v>
      </c>
      <c r="D29" s="2" t="s">
        <v>131</v>
      </c>
      <c r="E29" s="49">
        <v>8316.5365999999995</v>
      </c>
      <c r="F29" s="9">
        <v>115.27</v>
      </c>
      <c r="G29" s="14">
        <f t="shared" si="0"/>
        <v>958647.17</v>
      </c>
      <c r="H29" s="47">
        <f t="shared" si="1"/>
        <v>0.12670936245732717</v>
      </c>
      <c r="I29" s="14">
        <f>ROUND(F29*'Прил. 10'!$D$11,2)</f>
        <v>1378.63</v>
      </c>
      <c r="J29" s="14">
        <f>ROUND(I29*E29,2)</f>
        <v>11465426.85</v>
      </c>
    </row>
    <row r="30" spans="1:12" x14ac:dyDescent="0.25">
      <c r="A30" s="2">
        <v>8</v>
      </c>
      <c r="B30" s="50" t="s">
        <v>144</v>
      </c>
      <c r="C30" s="3" t="s">
        <v>145</v>
      </c>
      <c r="D30" s="2" t="s">
        <v>131</v>
      </c>
      <c r="E30" s="49">
        <v>1957.8921352560001</v>
      </c>
      <c r="F30" s="9">
        <v>476.43</v>
      </c>
      <c r="G30" s="14">
        <f t="shared" si="0"/>
        <v>932798.55</v>
      </c>
      <c r="H30" s="47">
        <f t="shared" si="1"/>
        <v>0.12329281645051872</v>
      </c>
      <c r="I30" s="14">
        <f>ROUND(F30*'Прил. 10'!$D$11,2)</f>
        <v>5698.1</v>
      </c>
      <c r="J30" s="14">
        <f>ROUND(I30*E30,2)</f>
        <v>11156265.18</v>
      </c>
    </row>
    <row r="31" spans="1:12" x14ac:dyDescent="0.25">
      <c r="A31" s="113"/>
      <c r="B31" s="114" t="s">
        <v>144</v>
      </c>
      <c r="C31" s="115" t="s">
        <v>145</v>
      </c>
      <c r="D31" s="113" t="s">
        <v>131</v>
      </c>
      <c r="E31" s="116">
        <v>1126.404378</v>
      </c>
      <c r="F31" s="117">
        <v>476.43</v>
      </c>
      <c r="G31" s="118">
        <f t="shared" si="0"/>
        <v>536652.84</v>
      </c>
      <c r="H31" s="119">
        <f t="shared" si="1"/>
        <v>7.0932185839878911E-2</v>
      </c>
      <c r="I31" s="118"/>
      <c r="J31" s="118"/>
    </row>
    <row r="32" spans="1:12" x14ac:dyDescent="0.25">
      <c r="A32" s="113"/>
      <c r="B32" s="114" t="s">
        <v>146</v>
      </c>
      <c r="C32" s="115" t="s">
        <v>147</v>
      </c>
      <c r="D32" s="113" t="s">
        <v>131</v>
      </c>
      <c r="E32" s="116">
        <v>3432.805104</v>
      </c>
      <c r="F32" s="117">
        <v>115.4</v>
      </c>
      <c r="G32" s="118">
        <f t="shared" si="0"/>
        <v>396145.71</v>
      </c>
      <c r="H32" s="119">
        <f t="shared" si="1"/>
        <v>5.2360630610639794E-2</v>
      </c>
      <c r="I32" s="118"/>
      <c r="J32" s="118"/>
    </row>
    <row r="33" spans="1:12" x14ac:dyDescent="0.25">
      <c r="A33" s="2">
        <v>9</v>
      </c>
      <c r="B33" s="50" t="s">
        <v>148</v>
      </c>
      <c r="C33" s="3" t="s">
        <v>149</v>
      </c>
      <c r="D33" s="2" t="s">
        <v>131</v>
      </c>
      <c r="E33" s="49">
        <v>1106.27585</v>
      </c>
      <c r="F33" s="9">
        <v>793.53</v>
      </c>
      <c r="G33" s="14">
        <f t="shared" si="0"/>
        <v>877863.08</v>
      </c>
      <c r="H33" s="47">
        <f t="shared" si="1"/>
        <v>0.11603171080307427</v>
      </c>
      <c r="I33" s="14">
        <f>ROUND(F33*'Прил. 10'!$D$11,2)</f>
        <v>9490.6200000000008</v>
      </c>
      <c r="J33" s="14">
        <f>ROUND(I33*E33,2)</f>
        <v>10499243.710000001</v>
      </c>
    </row>
    <row r="34" spans="1:12" ht="25.5" x14ac:dyDescent="0.25">
      <c r="A34" s="2">
        <v>10</v>
      </c>
      <c r="B34" s="50" t="s">
        <v>150</v>
      </c>
      <c r="C34" s="3" t="s">
        <v>151</v>
      </c>
      <c r="D34" s="2" t="s">
        <v>131</v>
      </c>
      <c r="E34" s="49">
        <v>723.43281200000001</v>
      </c>
      <c r="F34" s="9">
        <v>637.76</v>
      </c>
      <c r="G34" s="14">
        <f t="shared" si="0"/>
        <v>461376.51</v>
      </c>
      <c r="H34" s="47">
        <f t="shared" si="1"/>
        <v>6.098252335620688E-2</v>
      </c>
      <c r="I34" s="14">
        <f>ROUND(F34*'Прил. 10'!$D$11,2)</f>
        <v>7627.61</v>
      </c>
      <c r="J34" s="14">
        <f>ROUND(I34*E34,2)</f>
        <v>5518063.3499999996</v>
      </c>
    </row>
    <row r="35" spans="1:12" ht="25.5" x14ac:dyDescent="0.25">
      <c r="A35" s="2">
        <v>11</v>
      </c>
      <c r="B35" s="50" t="s">
        <v>152</v>
      </c>
      <c r="C35" s="3" t="s">
        <v>153</v>
      </c>
      <c r="D35" s="2" t="s">
        <v>131</v>
      </c>
      <c r="E35" s="49">
        <v>2246.2915281829</v>
      </c>
      <c r="F35" s="9">
        <v>147.43</v>
      </c>
      <c r="G35" s="14">
        <f t="shared" si="0"/>
        <v>331170.76</v>
      </c>
      <c r="H35" s="47">
        <f t="shared" si="1"/>
        <v>4.377255488493071E-2</v>
      </c>
      <c r="I35" s="14">
        <f>ROUND(F35*'Прил. 10'!$D$11,2)</f>
        <v>1763.26</v>
      </c>
      <c r="J35" s="14">
        <f>ROUND(I35*E35,2)</f>
        <v>3960796</v>
      </c>
    </row>
    <row r="36" spans="1:12" ht="25.5" x14ac:dyDescent="0.25">
      <c r="A36" s="113"/>
      <c r="B36" s="114" t="s">
        <v>152</v>
      </c>
      <c r="C36" s="115" t="s">
        <v>153</v>
      </c>
      <c r="D36" s="113" t="s">
        <v>131</v>
      </c>
      <c r="E36" s="116">
        <v>2246.2810100000002</v>
      </c>
      <c r="F36" s="117">
        <v>147.43</v>
      </c>
      <c r="G36" s="118">
        <f t="shared" si="0"/>
        <v>331169.21000000002</v>
      </c>
      <c r="H36" s="119">
        <f t="shared" si="1"/>
        <v>4.3772350013401379E-2</v>
      </c>
      <c r="I36" s="118"/>
      <c r="J36" s="118"/>
    </row>
    <row r="37" spans="1:12" x14ac:dyDescent="0.25">
      <c r="A37" s="113"/>
      <c r="B37" s="114" t="s">
        <v>154</v>
      </c>
      <c r="C37" s="115" t="s">
        <v>155</v>
      </c>
      <c r="D37" s="113" t="s">
        <v>131</v>
      </c>
      <c r="E37" s="116">
        <v>1.8620000000000001E-2</v>
      </c>
      <c r="F37" s="117">
        <v>83.24</v>
      </c>
      <c r="G37" s="118">
        <f t="shared" si="0"/>
        <v>1.55</v>
      </c>
      <c r="H37" s="119">
        <f t="shared" si="1"/>
        <v>2.0487152933321349E-7</v>
      </c>
      <c r="I37" s="118"/>
      <c r="J37" s="118"/>
    </row>
    <row r="38" spans="1:12" x14ac:dyDescent="0.25">
      <c r="A38" s="2">
        <v>12</v>
      </c>
      <c r="B38" s="50" t="s">
        <v>156</v>
      </c>
      <c r="C38" s="3" t="s">
        <v>157</v>
      </c>
      <c r="D38" s="2" t="s">
        <v>131</v>
      </c>
      <c r="E38" s="49">
        <v>110639.4</v>
      </c>
      <c r="F38" s="9">
        <v>2.96</v>
      </c>
      <c r="G38" s="14">
        <f t="shared" si="0"/>
        <v>327492.62</v>
      </c>
      <c r="H38" s="47">
        <f t="shared" si="1"/>
        <v>4.3286396067574798E-2</v>
      </c>
      <c r="I38" s="14">
        <f>ROUND(F38*'Прил. 10'!$D$11,2)</f>
        <v>35.4</v>
      </c>
      <c r="J38" s="14">
        <f>ROUND(I38*E38,2)</f>
        <v>3916634.76</v>
      </c>
    </row>
    <row r="39" spans="1:12" x14ac:dyDescent="0.25">
      <c r="B39" s="2"/>
      <c r="C39" s="3" t="s">
        <v>158</v>
      </c>
      <c r="D39" s="2"/>
      <c r="E39" s="51"/>
      <c r="F39" s="14"/>
      <c r="G39" s="14">
        <f>G21+G25+G29+G30+SUM(G33:G35)+G38</f>
        <v>6689534.96</v>
      </c>
      <c r="H39" s="47">
        <f>G39/G69</f>
        <v>0.88419048889238516</v>
      </c>
      <c r="I39" s="14"/>
      <c r="J39" s="14">
        <f>SUM(J21:J38)</f>
        <v>80006688.150000006</v>
      </c>
      <c r="L39" s="48"/>
    </row>
    <row r="40" spans="1:12" x14ac:dyDescent="0.25">
      <c r="A40" s="2">
        <v>13</v>
      </c>
      <c r="B40" s="50" t="s">
        <v>159</v>
      </c>
      <c r="C40" s="3" t="s">
        <v>160</v>
      </c>
      <c r="D40" s="2" t="s">
        <v>131</v>
      </c>
      <c r="E40" s="49">
        <v>1717.6258</v>
      </c>
      <c r="F40" s="9">
        <v>110</v>
      </c>
      <c r="G40" s="14">
        <f t="shared" ref="G40:G67" si="2">ROUND(E40*F40,2)</f>
        <v>188938.84</v>
      </c>
      <c r="H40" s="47">
        <f t="shared" ref="H40:H67" si="3">G40/$G$69</f>
        <v>2.4973025226608599E-2</v>
      </c>
      <c r="I40" s="14">
        <f>ROUND(F40*'Прил. 10'!$D$11,2)</f>
        <v>1315.6</v>
      </c>
      <c r="J40" s="14">
        <f t="shared" ref="J40:J67" si="4">ROUND(I40*E40,2)</f>
        <v>2259708.5</v>
      </c>
      <c r="L40" s="48"/>
    </row>
    <row r="41" spans="1:12" ht="38.25" x14ac:dyDescent="0.25">
      <c r="A41" s="2">
        <v>14</v>
      </c>
      <c r="B41" s="50" t="s">
        <v>161</v>
      </c>
      <c r="C41" s="3" t="s">
        <v>162</v>
      </c>
      <c r="D41" s="2" t="s">
        <v>131</v>
      </c>
      <c r="E41" s="49">
        <v>1827.60554</v>
      </c>
      <c r="F41" s="9">
        <v>90</v>
      </c>
      <c r="G41" s="14">
        <f t="shared" si="2"/>
        <v>164484.5</v>
      </c>
      <c r="H41" s="47">
        <f t="shared" si="3"/>
        <v>2.1740768430070292E-2</v>
      </c>
      <c r="I41" s="14">
        <f>ROUND(F41*'Прил. 10'!$D$11,2)</f>
        <v>1076.4000000000001</v>
      </c>
      <c r="J41" s="14">
        <f t="shared" si="4"/>
        <v>1967234.6</v>
      </c>
      <c r="L41" s="48"/>
    </row>
    <row r="42" spans="1:12" x14ac:dyDescent="0.25">
      <c r="A42" s="2">
        <v>15</v>
      </c>
      <c r="B42" s="50" t="s">
        <v>163</v>
      </c>
      <c r="C42" s="3" t="s">
        <v>164</v>
      </c>
      <c r="D42" s="2" t="s">
        <v>131</v>
      </c>
      <c r="E42" s="49">
        <v>787.13720000000001</v>
      </c>
      <c r="F42" s="9">
        <v>189.96</v>
      </c>
      <c r="G42" s="14">
        <f t="shared" si="2"/>
        <v>149524.57999999999</v>
      </c>
      <c r="H42" s="47">
        <f t="shared" si="3"/>
        <v>1.9763438308068659E-2</v>
      </c>
      <c r="I42" s="14">
        <f>ROUND(F42*'Прил. 10'!$D$11,2)</f>
        <v>2271.92</v>
      </c>
      <c r="J42" s="14">
        <f t="shared" si="4"/>
        <v>1788312.75</v>
      </c>
      <c r="L42" s="48"/>
    </row>
    <row r="43" spans="1:12" x14ac:dyDescent="0.25">
      <c r="A43" s="2">
        <v>16</v>
      </c>
      <c r="B43" s="50" t="s">
        <v>165</v>
      </c>
      <c r="C43" s="3" t="s">
        <v>166</v>
      </c>
      <c r="D43" s="2" t="s">
        <v>131</v>
      </c>
      <c r="E43" s="49">
        <v>1124.424</v>
      </c>
      <c r="F43" s="9">
        <v>102.51</v>
      </c>
      <c r="G43" s="14">
        <f t="shared" si="2"/>
        <v>115264.7</v>
      </c>
      <c r="H43" s="47">
        <f t="shared" si="3"/>
        <v>1.5235132494925195E-2</v>
      </c>
      <c r="I43" s="14">
        <f>ROUND(F43*'Прил. 10'!$D$11,2)</f>
        <v>1226.02</v>
      </c>
      <c r="J43" s="14">
        <f t="shared" si="4"/>
        <v>1378566.31</v>
      </c>
      <c r="L43" s="48"/>
    </row>
    <row r="44" spans="1:12" x14ac:dyDescent="0.25">
      <c r="A44" s="2">
        <v>17</v>
      </c>
      <c r="B44" s="50" t="s">
        <v>167</v>
      </c>
      <c r="C44" s="3" t="s">
        <v>168</v>
      </c>
      <c r="D44" s="2" t="s">
        <v>131</v>
      </c>
      <c r="E44" s="49">
        <v>3103.7</v>
      </c>
      <c r="F44" s="9">
        <v>27.2</v>
      </c>
      <c r="G44" s="14">
        <f t="shared" si="2"/>
        <v>84420.64</v>
      </c>
      <c r="H44" s="47">
        <f t="shared" si="3"/>
        <v>1.1158313305863648E-2</v>
      </c>
      <c r="I44" s="14">
        <f>ROUND(F44*'Прил. 10'!$D$11,2)</f>
        <v>325.31</v>
      </c>
      <c r="J44" s="14">
        <f t="shared" si="4"/>
        <v>1009664.65</v>
      </c>
      <c r="L44" s="48"/>
    </row>
    <row r="45" spans="1:12" x14ac:dyDescent="0.25">
      <c r="A45" s="2">
        <v>18</v>
      </c>
      <c r="B45" s="50" t="s">
        <v>169</v>
      </c>
      <c r="C45" s="3" t="s">
        <v>170</v>
      </c>
      <c r="D45" s="2" t="s">
        <v>131</v>
      </c>
      <c r="E45" s="49">
        <v>620.10308799999996</v>
      </c>
      <c r="F45" s="9">
        <v>94.38</v>
      </c>
      <c r="G45" s="14">
        <f t="shared" si="2"/>
        <v>58525.33</v>
      </c>
      <c r="H45" s="47">
        <f t="shared" si="3"/>
        <v>7.7355960398909672E-3</v>
      </c>
      <c r="I45" s="14">
        <f>ROUND(F45*'Прил. 10'!$D$11,2)</f>
        <v>1128.78</v>
      </c>
      <c r="J45" s="14">
        <f t="shared" si="4"/>
        <v>699959.96</v>
      </c>
      <c r="L45" s="48"/>
    </row>
    <row r="46" spans="1:12" ht="25.5" x14ac:dyDescent="0.25">
      <c r="A46" s="2">
        <v>19</v>
      </c>
      <c r="B46" s="50" t="s">
        <v>171</v>
      </c>
      <c r="C46" s="3" t="s">
        <v>172</v>
      </c>
      <c r="D46" s="2" t="s">
        <v>131</v>
      </c>
      <c r="E46" s="49">
        <v>137.88399999999999</v>
      </c>
      <c r="F46" s="9">
        <v>127.95</v>
      </c>
      <c r="G46" s="14">
        <f t="shared" si="2"/>
        <v>17642.259999999998</v>
      </c>
      <c r="H46" s="47">
        <f t="shared" si="3"/>
        <v>2.33186889489947E-3</v>
      </c>
      <c r="I46" s="14">
        <f>ROUND(F46*'Прил. 10'!$D$11,2)</f>
        <v>1530.28</v>
      </c>
      <c r="J46" s="14">
        <f t="shared" si="4"/>
        <v>211001.13</v>
      </c>
      <c r="L46" s="48"/>
    </row>
    <row r="47" spans="1:12" x14ac:dyDescent="0.25">
      <c r="A47" s="2">
        <v>20</v>
      </c>
      <c r="B47" s="50" t="s">
        <v>173</v>
      </c>
      <c r="C47" s="3" t="s">
        <v>174</v>
      </c>
      <c r="D47" s="2" t="s">
        <v>131</v>
      </c>
      <c r="E47" s="49">
        <v>502.99849999999998</v>
      </c>
      <c r="F47" s="9">
        <v>32.090000000000003</v>
      </c>
      <c r="G47" s="14">
        <f t="shared" si="2"/>
        <v>16141.22</v>
      </c>
      <c r="H47" s="47">
        <f t="shared" si="3"/>
        <v>2.1334686623895819E-3</v>
      </c>
      <c r="I47" s="14">
        <f>ROUND(F47*'Прил. 10'!$D$11,2)</f>
        <v>383.8</v>
      </c>
      <c r="J47" s="14">
        <f t="shared" si="4"/>
        <v>193050.82</v>
      </c>
      <c r="L47" s="48"/>
    </row>
    <row r="48" spans="1:12" ht="25.5" x14ac:dyDescent="0.25">
      <c r="A48" s="2">
        <v>21</v>
      </c>
      <c r="B48" s="50" t="s">
        <v>175</v>
      </c>
      <c r="C48" s="3" t="s">
        <v>176</v>
      </c>
      <c r="D48" s="2" t="s">
        <v>131</v>
      </c>
      <c r="E48" s="49">
        <v>1113.4208759999999</v>
      </c>
      <c r="F48" s="9">
        <v>14</v>
      </c>
      <c r="G48" s="14">
        <f t="shared" si="2"/>
        <v>15587.89</v>
      </c>
      <c r="H48" s="47">
        <f t="shared" si="3"/>
        <v>2.0603321699212288E-3</v>
      </c>
      <c r="I48" s="14">
        <f>ROUND(F48*'Прил. 10'!$D$11,2)</f>
        <v>167.44</v>
      </c>
      <c r="J48" s="14">
        <f t="shared" si="4"/>
        <v>186431.19</v>
      </c>
      <c r="L48" s="48"/>
    </row>
    <row r="49" spans="1:12" x14ac:dyDescent="0.25">
      <c r="A49" s="2">
        <v>22</v>
      </c>
      <c r="B49" s="50" t="s">
        <v>177</v>
      </c>
      <c r="C49" s="3" t="s">
        <v>178</v>
      </c>
      <c r="D49" s="2" t="s">
        <v>131</v>
      </c>
      <c r="E49" s="49">
        <v>620.10308799999996</v>
      </c>
      <c r="F49" s="9">
        <v>19.760000000000002</v>
      </c>
      <c r="G49" s="14">
        <f t="shared" si="2"/>
        <v>12253.24</v>
      </c>
      <c r="H49" s="47">
        <f t="shared" si="3"/>
        <v>1.6195742052173578E-3</v>
      </c>
      <c r="I49" s="14">
        <f>ROUND(F49*'Прил. 10'!$D$11,2)</f>
        <v>236.33</v>
      </c>
      <c r="J49" s="14">
        <f t="shared" si="4"/>
        <v>146548.96</v>
      </c>
      <c r="L49" s="48"/>
    </row>
    <row r="50" spans="1:12" x14ac:dyDescent="0.25">
      <c r="A50" s="2">
        <v>23</v>
      </c>
      <c r="B50" s="50" t="s">
        <v>179</v>
      </c>
      <c r="C50" s="3" t="s">
        <v>180</v>
      </c>
      <c r="D50" s="2" t="s">
        <v>131</v>
      </c>
      <c r="E50" s="49">
        <v>186.14869999999999</v>
      </c>
      <c r="F50" s="9">
        <v>65.709999999999994</v>
      </c>
      <c r="G50" s="14">
        <f t="shared" si="2"/>
        <v>12231.83</v>
      </c>
      <c r="H50" s="47">
        <f t="shared" si="3"/>
        <v>1.6167443346089552E-3</v>
      </c>
      <c r="I50" s="14">
        <f>ROUND(F50*'Прил. 10'!$D$11,2)</f>
        <v>785.89</v>
      </c>
      <c r="J50" s="14">
        <f t="shared" si="4"/>
        <v>146292.4</v>
      </c>
      <c r="L50" s="48"/>
    </row>
    <row r="51" spans="1:12" ht="25.5" x14ac:dyDescent="0.25">
      <c r="A51" s="2">
        <v>24</v>
      </c>
      <c r="B51" s="50" t="s">
        <v>181</v>
      </c>
      <c r="C51" s="3" t="s">
        <v>182</v>
      </c>
      <c r="D51" s="2" t="s">
        <v>131</v>
      </c>
      <c r="E51" s="49">
        <v>122.43</v>
      </c>
      <c r="F51" s="9">
        <v>90.43</v>
      </c>
      <c r="G51" s="14">
        <f t="shared" si="2"/>
        <v>11071.34</v>
      </c>
      <c r="H51" s="47">
        <f t="shared" si="3"/>
        <v>1.4633563597212771E-3</v>
      </c>
      <c r="I51" s="14">
        <f>ROUND(F51*'Прил. 10'!$D$11,2)</f>
        <v>1081.54</v>
      </c>
      <c r="J51" s="14">
        <f t="shared" si="4"/>
        <v>132412.94</v>
      </c>
      <c r="L51" s="48"/>
    </row>
    <row r="52" spans="1:12" ht="38.25" x14ac:dyDescent="0.25">
      <c r="A52" s="2">
        <v>25</v>
      </c>
      <c r="B52" s="50" t="s">
        <v>183</v>
      </c>
      <c r="C52" s="3" t="s">
        <v>184</v>
      </c>
      <c r="D52" s="2" t="s">
        <v>131</v>
      </c>
      <c r="E52" s="49">
        <v>66.414400000000001</v>
      </c>
      <c r="F52" s="9">
        <v>87.6</v>
      </c>
      <c r="G52" s="14">
        <f t="shared" si="2"/>
        <v>5817.9</v>
      </c>
      <c r="H52" s="47">
        <f t="shared" si="3"/>
        <v>7.6898198097271133E-4</v>
      </c>
      <c r="I52" s="14">
        <f>ROUND(F52*'Прил. 10'!$D$11,2)</f>
        <v>1047.7</v>
      </c>
      <c r="J52" s="14">
        <f t="shared" si="4"/>
        <v>69582.37</v>
      </c>
      <c r="L52" s="48"/>
    </row>
    <row r="53" spans="1:12" ht="25.5" x14ac:dyDescent="0.25">
      <c r="A53" s="2">
        <v>26</v>
      </c>
      <c r="B53" s="50" t="s">
        <v>185</v>
      </c>
      <c r="C53" s="3" t="s">
        <v>186</v>
      </c>
      <c r="D53" s="2" t="s">
        <v>131</v>
      </c>
      <c r="E53" s="49">
        <v>2368.65</v>
      </c>
      <c r="F53" s="9">
        <v>1.53</v>
      </c>
      <c r="G53" s="14">
        <f t="shared" si="2"/>
        <v>3624.03</v>
      </c>
      <c r="H53" s="47">
        <f t="shared" si="3"/>
        <v>4.7900681835448111E-4</v>
      </c>
      <c r="I53" s="14">
        <f>ROUND(F53*'Прил. 10'!$D$11,2)</f>
        <v>18.3</v>
      </c>
      <c r="J53" s="14">
        <f t="shared" si="4"/>
        <v>43346.3</v>
      </c>
      <c r="L53" s="48"/>
    </row>
    <row r="54" spans="1:12" ht="25.5" x14ac:dyDescent="0.25">
      <c r="A54" s="2">
        <v>27</v>
      </c>
      <c r="B54" s="50" t="s">
        <v>187</v>
      </c>
      <c r="C54" s="3" t="s">
        <v>188</v>
      </c>
      <c r="D54" s="2" t="s">
        <v>131</v>
      </c>
      <c r="E54" s="49">
        <v>2979.6</v>
      </c>
      <c r="F54" s="9">
        <v>1.2</v>
      </c>
      <c r="G54" s="14">
        <f t="shared" si="2"/>
        <v>3575.52</v>
      </c>
      <c r="H54" s="47">
        <f t="shared" si="3"/>
        <v>4.7259500036225257E-4</v>
      </c>
      <c r="I54" s="14">
        <f>ROUND(F54*'Прил. 10'!$D$11,2)</f>
        <v>14.35</v>
      </c>
      <c r="J54" s="14">
        <f t="shared" si="4"/>
        <v>42757.26</v>
      </c>
      <c r="L54" s="48"/>
    </row>
    <row r="55" spans="1:12" ht="25.5" x14ac:dyDescent="0.25">
      <c r="A55" s="2">
        <v>28</v>
      </c>
      <c r="B55" s="50" t="s">
        <v>189</v>
      </c>
      <c r="C55" s="3" t="s">
        <v>190</v>
      </c>
      <c r="D55" s="2" t="s">
        <v>131</v>
      </c>
      <c r="E55" s="49">
        <v>684.68</v>
      </c>
      <c r="F55" s="9">
        <v>4.9000000000000004</v>
      </c>
      <c r="G55" s="14">
        <f t="shared" si="2"/>
        <v>3354.93</v>
      </c>
      <c r="H55" s="47">
        <f t="shared" si="3"/>
        <v>4.4343847735863086E-4</v>
      </c>
      <c r="I55" s="14">
        <f>ROUND(F55*'Прил. 10'!$D$11,2)</f>
        <v>58.6</v>
      </c>
      <c r="J55" s="14">
        <f t="shared" si="4"/>
        <v>40122.25</v>
      </c>
      <c r="L55" s="48"/>
    </row>
    <row r="56" spans="1:12" ht="25.5" x14ac:dyDescent="0.25">
      <c r="A56" s="2">
        <v>29</v>
      </c>
      <c r="B56" s="50" t="s">
        <v>191</v>
      </c>
      <c r="C56" s="3" t="s">
        <v>192</v>
      </c>
      <c r="D56" s="2" t="s">
        <v>131</v>
      </c>
      <c r="E56" s="49">
        <v>18.899999999999999</v>
      </c>
      <c r="F56" s="9">
        <v>140.94999999999999</v>
      </c>
      <c r="G56" s="14">
        <f t="shared" si="2"/>
        <v>2663.96</v>
      </c>
      <c r="H56" s="47">
        <f t="shared" si="3"/>
        <v>3.5210939308548861E-4</v>
      </c>
      <c r="I56" s="14">
        <f>ROUND(F56*'Прил. 10'!$D$11,2)</f>
        <v>1685.76</v>
      </c>
      <c r="J56" s="14">
        <f t="shared" si="4"/>
        <v>31860.86</v>
      </c>
      <c r="L56" s="48"/>
    </row>
    <row r="57" spans="1:12" x14ac:dyDescent="0.25">
      <c r="A57" s="2">
        <v>30</v>
      </c>
      <c r="B57" s="50" t="s">
        <v>193</v>
      </c>
      <c r="C57" s="3" t="s">
        <v>194</v>
      </c>
      <c r="D57" s="2" t="s">
        <v>131</v>
      </c>
      <c r="E57" s="49">
        <v>30.206</v>
      </c>
      <c r="F57" s="9">
        <v>80</v>
      </c>
      <c r="G57" s="14">
        <f t="shared" si="2"/>
        <v>2416.48</v>
      </c>
      <c r="H57" s="47">
        <f t="shared" si="3"/>
        <v>3.1939867948588627E-4</v>
      </c>
      <c r="I57" s="14">
        <f>ROUND(F57*'Прил. 10'!$D$11,2)</f>
        <v>956.8</v>
      </c>
      <c r="J57" s="14">
        <f t="shared" si="4"/>
        <v>28901.1</v>
      </c>
      <c r="L57" s="48"/>
    </row>
    <row r="58" spans="1:12" x14ac:dyDescent="0.25">
      <c r="A58" s="2">
        <v>31</v>
      </c>
      <c r="B58" s="50" t="s">
        <v>195</v>
      </c>
      <c r="C58" s="3" t="s">
        <v>196</v>
      </c>
      <c r="D58" s="2" t="s">
        <v>131</v>
      </c>
      <c r="E58" s="49">
        <v>268.00799999999998</v>
      </c>
      <c r="F58" s="9">
        <v>8.1</v>
      </c>
      <c r="G58" s="14">
        <f t="shared" si="2"/>
        <v>2170.86</v>
      </c>
      <c r="H58" s="47">
        <f t="shared" si="3"/>
        <v>2.8693381172148377E-4</v>
      </c>
      <c r="I58" s="14">
        <f>ROUND(F58*'Прил. 10'!$D$11,2)</f>
        <v>96.88</v>
      </c>
      <c r="J58" s="14">
        <f t="shared" si="4"/>
        <v>25964.62</v>
      </c>
      <c r="L58" s="48"/>
    </row>
    <row r="59" spans="1:12" x14ac:dyDescent="0.25">
      <c r="A59" s="2">
        <v>32</v>
      </c>
      <c r="B59" s="50" t="s">
        <v>197</v>
      </c>
      <c r="C59" s="3" t="s">
        <v>198</v>
      </c>
      <c r="D59" s="2" t="s">
        <v>131</v>
      </c>
      <c r="E59" s="49">
        <v>163.32</v>
      </c>
      <c r="F59" s="9">
        <v>10.62</v>
      </c>
      <c r="G59" s="14">
        <f t="shared" si="2"/>
        <v>1734.46</v>
      </c>
      <c r="H59" s="47">
        <f t="shared" si="3"/>
        <v>2.2925256307566803E-4</v>
      </c>
      <c r="I59" s="14">
        <f>ROUND(F59*'Прил. 10'!$D$11,2)</f>
        <v>127.02</v>
      </c>
      <c r="J59" s="14">
        <f t="shared" si="4"/>
        <v>20744.91</v>
      </c>
      <c r="L59" s="48"/>
    </row>
    <row r="60" spans="1:12" x14ac:dyDescent="0.25">
      <c r="A60" s="2">
        <v>33</v>
      </c>
      <c r="B60" s="50" t="s">
        <v>199</v>
      </c>
      <c r="C60" s="3" t="s">
        <v>200</v>
      </c>
      <c r="D60" s="2" t="s">
        <v>131</v>
      </c>
      <c r="E60" s="49">
        <v>1479.425491</v>
      </c>
      <c r="F60" s="9">
        <v>1.1100000000000001</v>
      </c>
      <c r="G60" s="14">
        <f t="shared" si="2"/>
        <v>1642.16</v>
      </c>
      <c r="H60" s="47">
        <f t="shared" si="3"/>
        <v>2.1705279394182572E-4</v>
      </c>
      <c r="I60" s="14">
        <f>ROUND(F60*'Прил. 10'!$D$11,2)</f>
        <v>13.28</v>
      </c>
      <c r="J60" s="14">
        <f t="shared" si="4"/>
        <v>19646.77</v>
      </c>
      <c r="L60" s="48"/>
    </row>
    <row r="61" spans="1:12" ht="25.5" x14ac:dyDescent="0.25">
      <c r="A61" s="2">
        <v>34</v>
      </c>
      <c r="B61" s="50" t="s">
        <v>201</v>
      </c>
      <c r="C61" s="3" t="s">
        <v>202</v>
      </c>
      <c r="D61" s="2" t="s">
        <v>131</v>
      </c>
      <c r="E61" s="49">
        <v>99.7</v>
      </c>
      <c r="F61" s="9">
        <v>12.14</v>
      </c>
      <c r="G61" s="14">
        <f t="shared" si="2"/>
        <v>1210.3599999999999</v>
      </c>
      <c r="H61" s="47">
        <f t="shared" si="3"/>
        <v>1.5997955112499886E-4</v>
      </c>
      <c r="I61" s="14">
        <f>ROUND(F61*'Прил. 10'!$D$11,2)</f>
        <v>145.19</v>
      </c>
      <c r="J61" s="14">
        <f t="shared" si="4"/>
        <v>14475.44</v>
      </c>
      <c r="L61" s="48"/>
    </row>
    <row r="62" spans="1:12" ht="25.5" x14ac:dyDescent="0.25">
      <c r="A62" s="2">
        <v>35</v>
      </c>
      <c r="B62" s="50" t="s">
        <v>203</v>
      </c>
      <c r="C62" s="3" t="s">
        <v>204</v>
      </c>
      <c r="D62" s="2" t="s">
        <v>131</v>
      </c>
      <c r="E62" s="49">
        <v>1488.0564999999999</v>
      </c>
      <c r="F62" s="9">
        <v>0.55000000000000004</v>
      </c>
      <c r="G62" s="14">
        <f t="shared" si="2"/>
        <v>818.43</v>
      </c>
      <c r="H62" s="47">
        <f t="shared" si="3"/>
        <v>1.0817613274334316E-4</v>
      </c>
      <c r="I62" s="14">
        <f>ROUND(F62*'Прил. 10'!$D$11,2)</f>
        <v>6.58</v>
      </c>
      <c r="J62" s="14">
        <f t="shared" si="4"/>
        <v>9791.41</v>
      </c>
      <c r="L62" s="48"/>
    </row>
    <row r="63" spans="1:12" x14ac:dyDescent="0.25">
      <c r="A63" s="2">
        <v>36</v>
      </c>
      <c r="B63" s="50" t="s">
        <v>205</v>
      </c>
      <c r="C63" s="3" t="s">
        <v>206</v>
      </c>
      <c r="D63" s="2" t="s">
        <v>131</v>
      </c>
      <c r="E63" s="49">
        <v>13.298999999999999</v>
      </c>
      <c r="F63" s="9">
        <v>30</v>
      </c>
      <c r="G63" s="14">
        <f t="shared" si="2"/>
        <v>398.97</v>
      </c>
      <c r="H63" s="47">
        <f t="shared" si="3"/>
        <v>5.2733931650369154E-5</v>
      </c>
      <c r="I63" s="14">
        <f>ROUND(F63*'Прил. 10'!$D$11,2)</f>
        <v>358.8</v>
      </c>
      <c r="J63" s="14">
        <f t="shared" si="4"/>
        <v>4771.68</v>
      </c>
      <c r="L63" s="48"/>
    </row>
    <row r="64" spans="1:12" x14ac:dyDescent="0.25">
      <c r="A64" s="2">
        <v>37</v>
      </c>
      <c r="B64" s="50" t="s">
        <v>207</v>
      </c>
      <c r="C64" s="3" t="s">
        <v>208</v>
      </c>
      <c r="D64" s="2" t="s">
        <v>131</v>
      </c>
      <c r="E64" s="49">
        <v>2.88</v>
      </c>
      <c r="F64" s="9">
        <v>131.5</v>
      </c>
      <c r="G64" s="14">
        <f t="shared" si="2"/>
        <v>378.72</v>
      </c>
      <c r="H64" s="47">
        <f t="shared" si="3"/>
        <v>5.0057384251015879E-5</v>
      </c>
      <c r="I64" s="14">
        <f>ROUND(F64*'Прил. 10'!$D$11,2)</f>
        <v>1572.74</v>
      </c>
      <c r="J64" s="14">
        <f t="shared" si="4"/>
        <v>4529.49</v>
      </c>
      <c r="L64" s="48"/>
    </row>
    <row r="65" spans="1:13" x14ac:dyDescent="0.25">
      <c r="A65" s="2">
        <v>38</v>
      </c>
      <c r="B65" s="50" t="s">
        <v>209</v>
      </c>
      <c r="C65" s="3" t="s">
        <v>210</v>
      </c>
      <c r="D65" s="2" t="s">
        <v>131</v>
      </c>
      <c r="E65" s="49">
        <v>3.066468</v>
      </c>
      <c r="F65" s="9">
        <v>86</v>
      </c>
      <c r="G65" s="14">
        <f t="shared" si="2"/>
        <v>263.72000000000003</v>
      </c>
      <c r="H65" s="47">
        <f t="shared" si="3"/>
        <v>3.4857238526293588E-5</v>
      </c>
      <c r="I65" s="14">
        <f>ROUND(F65*'Прил. 10'!$D$11,2)</f>
        <v>1028.56</v>
      </c>
      <c r="J65" s="14">
        <f t="shared" si="4"/>
        <v>3154.05</v>
      </c>
      <c r="L65" s="48"/>
    </row>
    <row r="66" spans="1:13" x14ac:dyDescent="0.25">
      <c r="A66" s="2">
        <v>39</v>
      </c>
      <c r="B66" s="50" t="s">
        <v>211</v>
      </c>
      <c r="C66" s="3" t="s">
        <v>212</v>
      </c>
      <c r="D66" s="2" t="s">
        <v>131</v>
      </c>
      <c r="E66" s="49">
        <v>27.72</v>
      </c>
      <c r="F66" s="9">
        <v>0.9</v>
      </c>
      <c r="G66" s="14">
        <f t="shared" si="2"/>
        <v>24.95</v>
      </c>
      <c r="H66" s="47">
        <f t="shared" si="3"/>
        <v>3.2977707463636621E-6</v>
      </c>
      <c r="I66" s="14">
        <f>ROUND(F66*'Прил. 10'!$D$11,2)</f>
        <v>10.76</v>
      </c>
      <c r="J66" s="14">
        <f t="shared" si="4"/>
        <v>298.27</v>
      </c>
      <c r="L66" s="48"/>
    </row>
    <row r="67" spans="1:13" x14ac:dyDescent="0.25">
      <c r="A67" s="2">
        <v>40</v>
      </c>
      <c r="B67" s="50" t="s">
        <v>213</v>
      </c>
      <c r="C67" s="3" t="s">
        <v>214</v>
      </c>
      <c r="D67" s="2" t="s">
        <v>131</v>
      </c>
      <c r="E67" s="49">
        <v>2.052E-2</v>
      </c>
      <c r="F67" s="9">
        <v>7.8</v>
      </c>
      <c r="G67" s="14">
        <f t="shared" si="2"/>
        <v>0.16</v>
      </c>
      <c r="H67" s="47">
        <f t="shared" si="3"/>
        <v>2.1148028834396229E-8</v>
      </c>
      <c r="I67" s="14">
        <f>ROUND(F67*'Прил. 10'!$D$11,2)</f>
        <v>93.29</v>
      </c>
      <c r="J67" s="14">
        <f t="shared" si="4"/>
        <v>1.91</v>
      </c>
      <c r="L67" s="48"/>
    </row>
    <row r="68" spans="1:13" x14ac:dyDescent="0.25">
      <c r="A68" s="2"/>
      <c r="B68" s="2"/>
      <c r="C68" s="3" t="s">
        <v>482</v>
      </c>
      <c r="D68" s="2"/>
      <c r="E68" s="52"/>
      <c r="F68" s="14"/>
      <c r="G68" s="14">
        <f>SUM(G40:G67)</f>
        <v>876181.97999999975</v>
      </c>
      <c r="H68" s="47">
        <f>G68/G69</f>
        <v>0.11580951110761485</v>
      </c>
      <c r="I68" s="14"/>
      <c r="J68" s="14">
        <f>SUM(J40:J67)</f>
        <v>10479132.899999999</v>
      </c>
      <c r="K68" s="48"/>
      <c r="L68" s="67"/>
    </row>
    <row r="69" spans="1:13" x14ac:dyDescent="0.25">
      <c r="A69" s="2"/>
      <c r="B69" s="53"/>
      <c r="C69" s="54" t="s">
        <v>483</v>
      </c>
      <c r="D69" s="53"/>
      <c r="E69" s="55"/>
      <c r="F69" s="56"/>
      <c r="G69" s="56">
        <f>G39+G68</f>
        <v>7565716.9399999995</v>
      </c>
      <c r="H69" s="57">
        <v>1</v>
      </c>
      <c r="I69" s="56"/>
      <c r="J69" s="56">
        <f>J39+J68</f>
        <v>90485821.050000012</v>
      </c>
    </row>
    <row r="70" spans="1:13" x14ac:dyDescent="0.25">
      <c r="A70" s="70"/>
      <c r="B70" s="149" t="s">
        <v>484</v>
      </c>
      <c r="C70" s="149"/>
      <c r="D70" s="149"/>
      <c r="E70" s="149"/>
      <c r="F70" s="149"/>
      <c r="G70" s="149"/>
      <c r="H70" s="149"/>
      <c r="I70" s="149"/>
      <c r="J70" s="149"/>
    </row>
    <row r="71" spans="1:13" x14ac:dyDescent="0.25">
      <c r="A71" s="2"/>
      <c r="B71" s="144" t="s">
        <v>485</v>
      </c>
      <c r="C71" s="144"/>
      <c r="D71" s="144"/>
      <c r="E71" s="144"/>
      <c r="F71" s="144"/>
      <c r="G71" s="144"/>
      <c r="H71" s="144"/>
      <c r="I71" s="144"/>
      <c r="J71" s="144"/>
    </row>
    <row r="72" spans="1:13" x14ac:dyDescent="0.25">
      <c r="A72" s="71"/>
      <c r="B72" s="2"/>
      <c r="C72" s="3" t="s">
        <v>486</v>
      </c>
      <c r="D72" s="2"/>
      <c r="E72" s="49"/>
      <c r="F72" s="4"/>
      <c r="G72" s="14">
        <f>0</f>
        <v>0</v>
      </c>
      <c r="H72" s="47">
        <v>0</v>
      </c>
      <c r="I72" s="14"/>
      <c r="J72" s="14">
        <f>0</f>
        <v>0</v>
      </c>
      <c r="K72" s="48"/>
    </row>
    <row r="73" spans="1:13" x14ac:dyDescent="0.25">
      <c r="A73" s="71"/>
      <c r="B73" s="2"/>
      <c r="C73" s="3" t="s">
        <v>487</v>
      </c>
      <c r="D73" s="2"/>
      <c r="E73" s="52"/>
      <c r="F73" s="4"/>
      <c r="G73" s="14">
        <v>0</v>
      </c>
      <c r="H73" s="47">
        <v>0</v>
      </c>
      <c r="I73" s="14"/>
      <c r="J73" s="14">
        <v>0</v>
      </c>
      <c r="K73" s="48"/>
      <c r="L73" s="100"/>
    </row>
    <row r="74" spans="1:13" x14ac:dyDescent="0.25">
      <c r="A74" s="2"/>
      <c r="B74" s="2"/>
      <c r="C74" s="5" t="s">
        <v>488</v>
      </c>
      <c r="D74" s="2"/>
      <c r="E74" s="52"/>
      <c r="F74" s="4"/>
      <c r="G74" s="14">
        <f>G72+G73</f>
        <v>0</v>
      </c>
      <c r="H74" s="47">
        <v>0</v>
      </c>
      <c r="I74" s="14"/>
      <c r="J74" s="14">
        <f>J73+J72</f>
        <v>0</v>
      </c>
      <c r="K74" s="48"/>
    </row>
    <row r="75" spans="1:13" x14ac:dyDescent="0.25">
      <c r="A75" s="2"/>
      <c r="B75" s="2"/>
      <c r="C75" s="3" t="s">
        <v>489</v>
      </c>
      <c r="D75" s="2"/>
      <c r="E75" s="52"/>
      <c r="F75" s="4"/>
      <c r="G75" s="14">
        <f>'Прил.6 Расчет ОБ'!G14</f>
        <v>0</v>
      </c>
      <c r="H75" s="47">
        <v>0</v>
      </c>
      <c r="I75" s="14"/>
      <c r="J75" s="14">
        <f>ROUND(G75*'Прил. 10'!$D$13,2)</f>
        <v>0</v>
      </c>
      <c r="K75" s="48"/>
    </row>
    <row r="76" spans="1:13" x14ac:dyDescent="0.25">
      <c r="A76" s="69"/>
      <c r="B76" s="150" t="s">
        <v>215</v>
      </c>
      <c r="C76" s="151"/>
      <c r="D76" s="151"/>
      <c r="E76" s="151"/>
      <c r="F76" s="151"/>
      <c r="G76" s="151"/>
      <c r="H76" s="151"/>
      <c r="I76" s="151"/>
      <c r="J76" s="152"/>
      <c r="K76" s="48"/>
    </row>
    <row r="77" spans="1:13" x14ac:dyDescent="0.25">
      <c r="A77" s="2"/>
      <c r="B77" s="144" t="s">
        <v>490</v>
      </c>
      <c r="C77" s="144"/>
      <c r="D77" s="145"/>
      <c r="E77" s="146"/>
      <c r="F77" s="147"/>
      <c r="G77" s="147"/>
      <c r="H77" s="148"/>
      <c r="I77" s="47"/>
      <c r="J77" s="47"/>
    </row>
    <row r="78" spans="1:13" x14ac:dyDescent="0.25">
      <c r="A78" s="2">
        <v>42</v>
      </c>
      <c r="B78" s="50" t="s">
        <v>216</v>
      </c>
      <c r="C78" s="3" t="s">
        <v>217</v>
      </c>
      <c r="D78" s="2" t="s">
        <v>218</v>
      </c>
      <c r="E78" s="49">
        <v>22945</v>
      </c>
      <c r="F78" s="9">
        <v>284.68</v>
      </c>
      <c r="G78" s="14">
        <f t="shared" ref="G78:G95" si="5">ROUND(E78*F78,2)</f>
        <v>6531982.5999999996</v>
      </c>
      <c r="H78" s="47">
        <f t="shared" ref="H78:H109" si="6">G78/$G$203</f>
        <v>9.9290925721746762E-2</v>
      </c>
      <c r="I78" s="14">
        <f>ROUND(F78*'Прил. 10'!$D$12,2)</f>
        <v>2801.25</v>
      </c>
      <c r="J78" s="14">
        <f>ROUND(I78*E78,2)</f>
        <v>64274681.25</v>
      </c>
      <c r="M78" s="59"/>
    </row>
    <row r="79" spans="1:13" x14ac:dyDescent="0.25">
      <c r="A79" s="113"/>
      <c r="B79" s="114" t="s">
        <v>216</v>
      </c>
      <c r="C79" s="115" t="s">
        <v>217</v>
      </c>
      <c r="D79" s="113" t="s">
        <v>218</v>
      </c>
      <c r="E79" s="116">
        <v>17867</v>
      </c>
      <c r="F79" s="117">
        <v>284.68</v>
      </c>
      <c r="G79" s="118">
        <f t="shared" si="5"/>
        <v>5086377.5599999996</v>
      </c>
      <c r="H79" s="119">
        <f t="shared" si="6"/>
        <v>7.7316668985419459E-2</v>
      </c>
      <c r="I79" s="118"/>
      <c r="J79" s="118"/>
      <c r="L79" s="1"/>
    </row>
    <row r="80" spans="1:13" x14ac:dyDescent="0.25">
      <c r="A80" s="113"/>
      <c r="B80" s="114" t="s">
        <v>219</v>
      </c>
      <c r="C80" s="115" t="s">
        <v>220</v>
      </c>
      <c r="D80" s="113" t="s">
        <v>218</v>
      </c>
      <c r="E80" s="116">
        <v>5078</v>
      </c>
      <c r="F80" s="117">
        <v>202.55</v>
      </c>
      <c r="G80" s="118">
        <f t="shared" si="5"/>
        <v>1028548.9</v>
      </c>
      <c r="H80" s="119">
        <f t="shared" si="6"/>
        <v>1.5634697561975188E-2</v>
      </c>
      <c r="I80" s="118"/>
      <c r="J80" s="118"/>
      <c r="L80" s="1"/>
    </row>
    <row r="81" spans="1:12" ht="25.5" x14ac:dyDescent="0.25">
      <c r="A81" s="2">
        <v>43</v>
      </c>
      <c r="B81" s="50" t="s">
        <v>491</v>
      </c>
      <c r="C81" s="3" t="s">
        <v>222</v>
      </c>
      <c r="D81" s="2" t="s">
        <v>223</v>
      </c>
      <c r="E81" s="49">
        <v>2436</v>
      </c>
      <c r="F81" s="9">
        <f>ROUND(I81/'Прил. 10'!$D$12,2)</f>
        <v>5714.07</v>
      </c>
      <c r="G81" s="14">
        <f t="shared" si="5"/>
        <v>13919474.52</v>
      </c>
      <c r="H81" s="47">
        <f t="shared" si="6"/>
        <v>0.21158622049162634</v>
      </c>
      <c r="I81" s="14">
        <v>56226.42</v>
      </c>
      <c r="J81" s="14">
        <f>ROUND(I81*E81,2)</f>
        <v>136967559.12</v>
      </c>
      <c r="L81" s="1"/>
    </row>
    <row r="82" spans="1:12" x14ac:dyDescent="0.25">
      <c r="A82" s="2">
        <v>43</v>
      </c>
      <c r="B82" s="50" t="s">
        <v>224</v>
      </c>
      <c r="C82" s="3" t="s">
        <v>225</v>
      </c>
      <c r="D82" s="2" t="s">
        <v>223</v>
      </c>
      <c r="E82" s="49">
        <v>80888</v>
      </c>
      <c r="F82" s="9">
        <v>60</v>
      </c>
      <c r="G82" s="14">
        <f t="shared" si="5"/>
        <v>4853280</v>
      </c>
      <c r="H82" s="47">
        <f t="shared" si="6"/>
        <v>7.3773415132312073E-2</v>
      </c>
      <c r="I82" s="14">
        <f>ROUND(F82*'Прил. 10'!$D$12,2)</f>
        <v>590.4</v>
      </c>
      <c r="J82" s="14">
        <f>ROUND(I82*E82,2)</f>
        <v>47756275.200000003</v>
      </c>
    </row>
    <row r="83" spans="1:12" ht="25.5" x14ac:dyDescent="0.25">
      <c r="A83" s="2">
        <v>44</v>
      </c>
      <c r="B83" s="50" t="s">
        <v>226</v>
      </c>
      <c r="C83" s="3" t="s">
        <v>227</v>
      </c>
      <c r="D83" s="2" t="s">
        <v>228</v>
      </c>
      <c r="E83" s="49">
        <v>177</v>
      </c>
      <c r="F83" s="9">
        <v>25110.01</v>
      </c>
      <c r="G83" s="14">
        <f t="shared" si="5"/>
        <v>4444471.7699999996</v>
      </c>
      <c r="H83" s="47">
        <f t="shared" si="6"/>
        <v>6.7559230238529777E-2</v>
      </c>
      <c r="I83" s="14">
        <f>ROUND(F83*'Прил. 10'!$D$12,2)</f>
        <v>247082.5</v>
      </c>
      <c r="J83" s="14">
        <f>ROUND(I83*E83,2)</f>
        <v>43733602.5</v>
      </c>
    </row>
    <row r="84" spans="1:12" x14ac:dyDescent="0.25">
      <c r="A84" s="2">
        <v>45</v>
      </c>
      <c r="B84" s="50" t="s">
        <v>492</v>
      </c>
      <c r="C84" s="3" t="s">
        <v>229</v>
      </c>
      <c r="D84" s="2" t="s">
        <v>223</v>
      </c>
      <c r="E84" s="49">
        <v>2080</v>
      </c>
      <c r="F84" s="9">
        <f>ROUND(I84/'Прил. 10'!$D$12,2)</f>
        <v>5714.07</v>
      </c>
      <c r="G84" s="14">
        <f t="shared" si="5"/>
        <v>11885265.6</v>
      </c>
      <c r="H84" s="47">
        <f t="shared" si="6"/>
        <v>0.18066475312913907</v>
      </c>
      <c r="I84" s="14">
        <v>56226.42</v>
      </c>
      <c r="J84" s="14">
        <f>ROUND(I84*E84,2)</f>
        <v>116950953.59999999</v>
      </c>
    </row>
    <row r="85" spans="1:12" x14ac:dyDescent="0.25">
      <c r="A85" s="2">
        <v>46</v>
      </c>
      <c r="B85" s="50" t="s">
        <v>230</v>
      </c>
      <c r="C85" s="3" t="s">
        <v>231</v>
      </c>
      <c r="D85" s="2" t="s">
        <v>218</v>
      </c>
      <c r="E85" s="49">
        <v>1406</v>
      </c>
      <c r="F85" s="9">
        <v>2381.1799999999998</v>
      </c>
      <c r="G85" s="14">
        <f t="shared" si="5"/>
        <v>3347939.08</v>
      </c>
      <c r="H85" s="47">
        <f t="shared" si="6"/>
        <v>5.0891129212930424E-2</v>
      </c>
      <c r="I85" s="14">
        <f>ROUND(F85*'Прил. 10'!$D$12,2)</f>
        <v>23430.81</v>
      </c>
      <c r="J85" s="14">
        <f>ROUND(I85*E85,2)</f>
        <v>32943718.859999999</v>
      </c>
    </row>
    <row r="86" spans="1:12" x14ac:dyDescent="0.25">
      <c r="A86" s="113"/>
      <c r="B86" s="114" t="s">
        <v>230</v>
      </c>
      <c r="C86" s="115" t="s">
        <v>231</v>
      </c>
      <c r="D86" s="113" t="s">
        <v>218</v>
      </c>
      <c r="E86" s="116">
        <v>1368</v>
      </c>
      <c r="F86" s="117">
        <v>2381.1799999999998</v>
      </c>
      <c r="G86" s="118">
        <f t="shared" si="5"/>
        <v>3257454.24</v>
      </c>
      <c r="H86" s="119">
        <f t="shared" si="6"/>
        <v>4.9515693288256633E-2</v>
      </c>
      <c r="I86" s="118"/>
      <c r="J86" s="118"/>
      <c r="L86" s="1"/>
    </row>
    <row r="87" spans="1:12" x14ac:dyDescent="0.25">
      <c r="A87" s="113"/>
      <c r="B87" s="114" t="s">
        <v>232</v>
      </c>
      <c r="C87" s="115" t="s">
        <v>233</v>
      </c>
      <c r="D87" s="113" t="s">
        <v>218</v>
      </c>
      <c r="E87" s="116">
        <v>38</v>
      </c>
      <c r="F87" s="117">
        <v>33.69</v>
      </c>
      <c r="G87" s="118">
        <f t="shared" si="5"/>
        <v>1280.22</v>
      </c>
      <c r="H87" s="119">
        <f t="shared" si="6"/>
        <v>1.9460282843909389E-5</v>
      </c>
      <c r="I87" s="118"/>
      <c r="J87" s="118"/>
      <c r="L87" s="1"/>
    </row>
    <row r="88" spans="1:12" x14ac:dyDescent="0.25">
      <c r="A88" s="2">
        <v>47</v>
      </c>
      <c r="B88" s="50" t="s">
        <v>491</v>
      </c>
      <c r="C88" s="3" t="s">
        <v>234</v>
      </c>
      <c r="D88" s="2" t="s">
        <v>223</v>
      </c>
      <c r="E88" s="49">
        <v>638</v>
      </c>
      <c r="F88" s="9">
        <f>ROUND(I88/'Прил. 10'!$D$12,2)</f>
        <v>5714.07</v>
      </c>
      <c r="G88" s="14">
        <f t="shared" si="5"/>
        <v>3645576.66</v>
      </c>
      <c r="H88" s="47">
        <f t="shared" si="6"/>
        <v>5.5415438700187857E-2</v>
      </c>
      <c r="I88" s="14">
        <v>56226.42</v>
      </c>
      <c r="J88" s="14">
        <f>ROUND(I88*E88,2)</f>
        <v>35872455.960000001</v>
      </c>
    </row>
    <row r="89" spans="1:12" x14ac:dyDescent="0.25">
      <c r="A89" s="2">
        <v>48</v>
      </c>
      <c r="B89" s="50" t="s">
        <v>493</v>
      </c>
      <c r="C89" s="3" t="s">
        <v>235</v>
      </c>
      <c r="D89" s="2" t="s">
        <v>223</v>
      </c>
      <c r="E89" s="49">
        <v>450</v>
      </c>
      <c r="F89" s="9">
        <f>ROUND(I89/'Прил. 10'!$D$12,2)</f>
        <v>5714.07</v>
      </c>
      <c r="G89" s="14">
        <f t="shared" si="5"/>
        <v>2571331.5</v>
      </c>
      <c r="H89" s="47">
        <f t="shared" si="6"/>
        <v>3.9086124475054128E-2</v>
      </c>
      <c r="I89" s="14">
        <v>56226.42</v>
      </c>
      <c r="J89" s="14">
        <f>ROUND(I89*E89,2)</f>
        <v>25301889</v>
      </c>
    </row>
    <row r="90" spans="1:12" x14ac:dyDescent="0.25">
      <c r="A90" s="2">
        <v>49</v>
      </c>
      <c r="B90" s="50" t="s">
        <v>236</v>
      </c>
      <c r="C90" s="3" t="s">
        <v>237</v>
      </c>
      <c r="D90" s="2" t="s">
        <v>218</v>
      </c>
      <c r="E90" s="49">
        <v>947</v>
      </c>
      <c r="F90" s="9">
        <v>1962.52</v>
      </c>
      <c r="G90" s="14">
        <f t="shared" si="5"/>
        <v>1858506.44</v>
      </c>
      <c r="H90" s="47">
        <f t="shared" si="6"/>
        <v>2.8250660815818465E-2</v>
      </c>
      <c r="I90" s="14">
        <f>ROUND(F90*'Прил. 10'!$D$12,2)</f>
        <v>19311.2</v>
      </c>
      <c r="J90" s="14">
        <f>ROUND(I90*E90,2)</f>
        <v>18287706.399999999</v>
      </c>
    </row>
    <row r="91" spans="1:12" x14ac:dyDescent="0.25">
      <c r="A91" s="2">
        <v>50</v>
      </c>
      <c r="B91" s="50" t="s">
        <v>494</v>
      </c>
      <c r="C91" s="3" t="s">
        <v>238</v>
      </c>
      <c r="D91" s="2" t="s">
        <v>223</v>
      </c>
      <c r="E91" s="49">
        <v>317</v>
      </c>
      <c r="F91" s="9">
        <f>ROUND(I91/'Прил. 10'!$D$12,2)</f>
        <v>7238.46</v>
      </c>
      <c r="G91" s="14">
        <f t="shared" si="5"/>
        <v>2294591.8199999998</v>
      </c>
      <c r="H91" s="47">
        <f t="shared" si="6"/>
        <v>3.4879478393183061E-2</v>
      </c>
      <c r="I91" s="14">
        <v>71226.42</v>
      </c>
      <c r="J91" s="14">
        <f>ROUND(I91*E91,2)</f>
        <v>22578775.140000001</v>
      </c>
    </row>
    <row r="92" spans="1:12" x14ac:dyDescent="0.25">
      <c r="A92" s="2">
        <v>51</v>
      </c>
      <c r="B92" s="50" t="s">
        <v>239</v>
      </c>
      <c r="C92" s="3" t="s">
        <v>240</v>
      </c>
      <c r="D92" s="2" t="s">
        <v>218</v>
      </c>
      <c r="E92" s="49">
        <v>8982</v>
      </c>
      <c r="F92" s="9">
        <v>138.35</v>
      </c>
      <c r="G92" s="14">
        <f t="shared" si="5"/>
        <v>1242659.7</v>
      </c>
      <c r="H92" s="47">
        <f t="shared" si="6"/>
        <v>1.8889338739222623E-2</v>
      </c>
      <c r="I92" s="14">
        <f>ROUND(F92*'Прил. 10'!$D$12,2)</f>
        <v>1361.36</v>
      </c>
      <c r="J92" s="14">
        <f>ROUND(I92*E92,2)</f>
        <v>12227735.52</v>
      </c>
    </row>
    <row r="93" spans="1:12" x14ac:dyDescent="0.25">
      <c r="A93" s="113"/>
      <c r="B93" s="114" t="s">
        <v>239</v>
      </c>
      <c r="C93" s="115" t="s">
        <v>240</v>
      </c>
      <c r="D93" s="113" t="s">
        <v>218</v>
      </c>
      <c r="E93" s="116">
        <v>5400</v>
      </c>
      <c r="F93" s="117">
        <v>138.35</v>
      </c>
      <c r="G93" s="118">
        <f t="shared" si="5"/>
        <v>747090</v>
      </c>
      <c r="H93" s="119">
        <f t="shared" si="6"/>
        <v>1.1356315875284143E-2</v>
      </c>
      <c r="I93" s="118"/>
      <c r="J93" s="118"/>
      <c r="L93" s="1"/>
    </row>
    <row r="94" spans="1:12" x14ac:dyDescent="0.25">
      <c r="A94" s="113"/>
      <c r="B94" s="114" t="s">
        <v>241</v>
      </c>
      <c r="C94" s="115" t="s">
        <v>242</v>
      </c>
      <c r="D94" s="113" t="s">
        <v>218</v>
      </c>
      <c r="E94" s="116">
        <v>3582</v>
      </c>
      <c r="F94" s="117">
        <v>158.91</v>
      </c>
      <c r="G94" s="118">
        <f t="shared" si="5"/>
        <v>569215.62</v>
      </c>
      <c r="H94" s="119">
        <f t="shared" si="6"/>
        <v>8.6524948558616855E-3</v>
      </c>
      <c r="I94" s="118"/>
      <c r="J94" s="118"/>
      <c r="L94" s="1"/>
    </row>
    <row r="95" spans="1:12" ht="25.5" x14ac:dyDescent="0.25">
      <c r="A95" s="113"/>
      <c r="B95" s="50" t="s">
        <v>495</v>
      </c>
      <c r="C95" s="3" t="s">
        <v>243</v>
      </c>
      <c r="D95" s="2" t="s">
        <v>223</v>
      </c>
      <c r="E95" s="49">
        <v>168</v>
      </c>
      <c r="F95" s="9">
        <f>ROUND(I95/'Прил. 10'!$D$12,2)</f>
        <v>5714.07</v>
      </c>
      <c r="G95" s="14">
        <f t="shared" si="5"/>
        <v>959963.76</v>
      </c>
      <c r="H95" s="47">
        <f t="shared" si="6"/>
        <v>1.4592153137353542E-2</v>
      </c>
      <c r="I95" s="14">
        <v>56226.415000000001</v>
      </c>
      <c r="J95" s="14">
        <f>ROUND(I95*E95,2)</f>
        <v>9446037.7200000007</v>
      </c>
      <c r="L95" s="1"/>
    </row>
    <row r="96" spans="1:12" x14ac:dyDescent="0.25">
      <c r="B96" s="2"/>
      <c r="C96" s="3" t="s">
        <v>244</v>
      </c>
      <c r="D96" s="2"/>
      <c r="E96" s="49">
        <v>0</v>
      </c>
      <c r="F96" s="4"/>
      <c r="G96" s="14">
        <f>G78+SUM(G81:G85)+G88+G89+G90+G91+G92+G95</f>
        <v>57555043.450000003</v>
      </c>
      <c r="H96" s="47">
        <f t="shared" si="6"/>
        <v>0.87487886818710425</v>
      </c>
      <c r="I96" s="14"/>
      <c r="J96" s="14">
        <f>SUM(J78:J95)</f>
        <v>566341390.26999998</v>
      </c>
      <c r="K96" s="48"/>
    </row>
    <row r="97" spans="1:10" ht="25.5" x14ac:dyDescent="0.25">
      <c r="A97" s="2">
        <v>52</v>
      </c>
      <c r="B97" s="66" t="s">
        <v>221</v>
      </c>
      <c r="C97" s="3" t="s">
        <v>245</v>
      </c>
      <c r="D97" s="2" t="s">
        <v>218</v>
      </c>
      <c r="E97" s="49">
        <v>450</v>
      </c>
      <c r="F97" s="9">
        <v>1396.65</v>
      </c>
      <c r="G97" s="14">
        <f t="shared" ref="G97:G128" si="7">ROUND(F97*E97,2)</f>
        <v>628492.5</v>
      </c>
      <c r="H97" s="47">
        <f t="shared" si="6"/>
        <v>9.5535469023103232E-3</v>
      </c>
      <c r="I97" s="14">
        <f>ROUND(F97*'Прил. 10'!$D$12,2)</f>
        <v>13743.04</v>
      </c>
      <c r="J97" s="14">
        <f t="shared" ref="J97:J128" si="8">ROUND(I97*E97,2)</f>
        <v>6184368</v>
      </c>
    </row>
    <row r="98" spans="1:10" x14ac:dyDescent="0.25">
      <c r="A98" s="2">
        <v>53</v>
      </c>
      <c r="B98" s="50" t="s">
        <v>221</v>
      </c>
      <c r="C98" s="3" t="s">
        <v>246</v>
      </c>
      <c r="D98" s="2" t="s">
        <v>218</v>
      </c>
      <c r="E98" s="49">
        <v>2424</v>
      </c>
      <c r="F98" s="9">
        <v>254.27</v>
      </c>
      <c r="G98" s="14">
        <f t="shared" si="7"/>
        <v>616350.48</v>
      </c>
      <c r="H98" s="47">
        <f t="shared" si="6"/>
        <v>9.3689792940114328E-3</v>
      </c>
      <c r="I98" s="14">
        <f>ROUND(F98*'Прил. 10'!$D$12,2)</f>
        <v>2502.02</v>
      </c>
      <c r="J98" s="14">
        <f t="shared" si="8"/>
        <v>6064896.4800000004</v>
      </c>
    </row>
    <row r="99" spans="1:10" ht="25.5" x14ac:dyDescent="0.25">
      <c r="A99" s="2">
        <v>54</v>
      </c>
      <c r="B99" s="50" t="s">
        <v>221</v>
      </c>
      <c r="C99" s="3" t="s">
        <v>247</v>
      </c>
      <c r="D99" s="2" t="s">
        <v>218</v>
      </c>
      <c r="E99" s="49">
        <v>344</v>
      </c>
      <c r="F99" s="9">
        <v>1405.65</v>
      </c>
      <c r="G99" s="14">
        <f t="shared" si="7"/>
        <v>483543.6</v>
      </c>
      <c r="H99" s="47">
        <f t="shared" si="6"/>
        <v>7.3502173246490325E-3</v>
      </c>
      <c r="I99" s="14">
        <f>ROUND(F99*'Прил. 10'!$D$12,2)</f>
        <v>13831.6</v>
      </c>
      <c r="J99" s="14">
        <f t="shared" si="8"/>
        <v>4758070.4000000004</v>
      </c>
    </row>
    <row r="100" spans="1:10" x14ac:dyDescent="0.25">
      <c r="A100" s="2">
        <v>55</v>
      </c>
      <c r="B100" s="50" t="s">
        <v>248</v>
      </c>
      <c r="C100" s="3" t="s">
        <v>249</v>
      </c>
      <c r="D100" s="2" t="s">
        <v>218</v>
      </c>
      <c r="E100" s="49">
        <v>846</v>
      </c>
      <c r="F100" s="9">
        <v>492.77</v>
      </c>
      <c r="G100" s="14">
        <f t="shared" si="7"/>
        <v>416883.42</v>
      </c>
      <c r="H100" s="47">
        <f t="shared" si="6"/>
        <v>6.3369337036886415E-3</v>
      </c>
      <c r="I100" s="14">
        <f>ROUND(F100*'Прил. 10'!$D$12,2)</f>
        <v>4848.8599999999997</v>
      </c>
      <c r="J100" s="14">
        <f t="shared" si="8"/>
        <v>4102135.56</v>
      </c>
    </row>
    <row r="101" spans="1:10" x14ac:dyDescent="0.25">
      <c r="A101" s="2">
        <v>56</v>
      </c>
      <c r="B101" s="50" t="s">
        <v>250</v>
      </c>
      <c r="C101" s="3" t="s">
        <v>251</v>
      </c>
      <c r="D101" s="2" t="s">
        <v>218</v>
      </c>
      <c r="E101" s="49">
        <v>855</v>
      </c>
      <c r="F101" s="9">
        <v>482.19</v>
      </c>
      <c r="G101" s="14">
        <f t="shared" si="7"/>
        <v>412272.45</v>
      </c>
      <c r="H101" s="47">
        <f t="shared" si="6"/>
        <v>6.2668435782533404E-3</v>
      </c>
      <c r="I101" s="14">
        <f>ROUND(F101*'Прил. 10'!$D$12,2)</f>
        <v>4744.75</v>
      </c>
      <c r="J101" s="14">
        <f t="shared" si="8"/>
        <v>4056761.25</v>
      </c>
    </row>
    <row r="102" spans="1:10" x14ac:dyDescent="0.25">
      <c r="A102" s="2">
        <v>57</v>
      </c>
      <c r="B102" s="50" t="s">
        <v>252</v>
      </c>
      <c r="C102" s="3" t="s">
        <v>253</v>
      </c>
      <c r="D102" s="2" t="s">
        <v>223</v>
      </c>
      <c r="E102" s="49">
        <v>2374</v>
      </c>
      <c r="F102" s="9">
        <v>166.8</v>
      </c>
      <c r="G102" s="14">
        <f t="shared" si="7"/>
        <v>395983.2</v>
      </c>
      <c r="H102" s="47">
        <f t="shared" si="6"/>
        <v>6.0192350326009128E-3</v>
      </c>
      <c r="I102" s="14">
        <f>ROUND(F102*'Прил. 10'!$D$12,2)</f>
        <v>1641.31</v>
      </c>
      <c r="J102" s="14">
        <f t="shared" si="8"/>
        <v>3896469.94</v>
      </c>
    </row>
    <row r="103" spans="1:10" ht="25.5" x14ac:dyDescent="0.25">
      <c r="A103" s="2">
        <v>58</v>
      </c>
      <c r="B103" s="50" t="s">
        <v>254</v>
      </c>
      <c r="C103" s="3" t="s">
        <v>255</v>
      </c>
      <c r="D103" s="2" t="s">
        <v>228</v>
      </c>
      <c r="E103" s="49">
        <v>67</v>
      </c>
      <c r="F103" s="9">
        <v>5650</v>
      </c>
      <c r="G103" s="14">
        <f t="shared" si="7"/>
        <v>378550</v>
      </c>
      <c r="H103" s="47">
        <f t="shared" si="6"/>
        <v>5.7542376080376026E-3</v>
      </c>
      <c r="I103" s="14">
        <f>ROUND(F103*'Прил. 10'!$D$12,2)</f>
        <v>55596</v>
      </c>
      <c r="J103" s="14">
        <f t="shared" si="8"/>
        <v>3724932</v>
      </c>
    </row>
    <row r="104" spans="1:10" x14ac:dyDescent="0.25">
      <c r="A104" s="2">
        <v>59</v>
      </c>
      <c r="B104" s="50" t="s">
        <v>256</v>
      </c>
      <c r="C104" s="3" t="s">
        <v>257</v>
      </c>
      <c r="D104" s="2" t="s">
        <v>218</v>
      </c>
      <c r="E104" s="49">
        <v>1002</v>
      </c>
      <c r="F104" s="9">
        <v>326.10000000000002</v>
      </c>
      <c r="G104" s="14">
        <f t="shared" si="7"/>
        <v>326752.2</v>
      </c>
      <c r="H104" s="47">
        <f t="shared" si="6"/>
        <v>4.9668730623405738E-3</v>
      </c>
      <c r="I104" s="14">
        <f>ROUND(F104*'Прил. 10'!$D$12,2)</f>
        <v>3208.82</v>
      </c>
      <c r="J104" s="14">
        <f t="shared" si="8"/>
        <v>3215237.64</v>
      </c>
    </row>
    <row r="105" spans="1:10" x14ac:dyDescent="0.25">
      <c r="A105" s="2">
        <v>60</v>
      </c>
      <c r="B105" s="50" t="s">
        <v>258</v>
      </c>
      <c r="C105" s="3" t="s">
        <v>259</v>
      </c>
      <c r="D105" s="2" t="s">
        <v>218</v>
      </c>
      <c r="E105" s="49">
        <v>2333</v>
      </c>
      <c r="F105" s="9">
        <v>116.92</v>
      </c>
      <c r="G105" s="14">
        <f t="shared" si="7"/>
        <v>272774.36</v>
      </c>
      <c r="H105" s="47">
        <f t="shared" si="6"/>
        <v>4.1463703099204538E-3</v>
      </c>
      <c r="I105" s="14">
        <f>ROUND(F105*'Прил. 10'!$D$12,2)</f>
        <v>1150.49</v>
      </c>
      <c r="J105" s="14">
        <f t="shared" si="8"/>
        <v>2684093.17</v>
      </c>
    </row>
    <row r="106" spans="1:10" x14ac:dyDescent="0.25">
      <c r="A106" s="2">
        <v>61</v>
      </c>
      <c r="B106" s="50" t="s">
        <v>260</v>
      </c>
      <c r="C106" s="3" t="s">
        <v>261</v>
      </c>
      <c r="D106" s="2" t="s">
        <v>218</v>
      </c>
      <c r="E106" s="49">
        <v>1002</v>
      </c>
      <c r="F106" s="9">
        <v>248.59</v>
      </c>
      <c r="G106" s="14">
        <f t="shared" si="7"/>
        <v>249087.18</v>
      </c>
      <c r="H106" s="47">
        <f t="shared" si="6"/>
        <v>3.786307803027425E-3</v>
      </c>
      <c r="I106" s="14">
        <f>ROUND(F106*'Прил. 10'!$D$12,2)</f>
        <v>2446.13</v>
      </c>
      <c r="J106" s="14">
        <f t="shared" si="8"/>
        <v>2451022.2599999998</v>
      </c>
    </row>
    <row r="107" spans="1:10" ht="25.5" x14ac:dyDescent="0.25">
      <c r="A107" s="2">
        <v>62</v>
      </c>
      <c r="B107" s="50" t="s">
        <v>221</v>
      </c>
      <c r="C107" s="3" t="s">
        <v>262</v>
      </c>
      <c r="D107" s="2" t="s">
        <v>218</v>
      </c>
      <c r="E107" s="49">
        <v>1038</v>
      </c>
      <c r="F107" s="9">
        <v>225.27</v>
      </c>
      <c r="G107" s="14">
        <f t="shared" si="7"/>
        <v>233830.26</v>
      </c>
      <c r="H107" s="47">
        <f t="shared" si="6"/>
        <v>3.5543914304298264E-3</v>
      </c>
      <c r="I107" s="14">
        <f>ROUND(F107*'Прил. 10'!$D$12,2)</f>
        <v>2216.66</v>
      </c>
      <c r="J107" s="14">
        <f t="shared" si="8"/>
        <v>2300893.08</v>
      </c>
    </row>
    <row r="108" spans="1:10" ht="38.25" x14ac:dyDescent="0.25">
      <c r="A108" s="2">
        <v>63</v>
      </c>
      <c r="B108" s="50" t="s">
        <v>221</v>
      </c>
      <c r="C108" s="3" t="s">
        <v>263</v>
      </c>
      <c r="D108" s="2" t="s">
        <v>218</v>
      </c>
      <c r="E108" s="49">
        <v>1013</v>
      </c>
      <c r="F108" s="9">
        <v>221.44</v>
      </c>
      <c r="G108" s="14">
        <f t="shared" si="7"/>
        <v>224318.72</v>
      </c>
      <c r="H108" s="47">
        <f t="shared" si="6"/>
        <v>3.4098090471822921E-3</v>
      </c>
      <c r="I108" s="14">
        <f>ROUND(F108*'Прил. 10'!$D$12,2)</f>
        <v>2178.9699999999998</v>
      </c>
      <c r="J108" s="14">
        <f t="shared" si="8"/>
        <v>2207296.61</v>
      </c>
    </row>
    <row r="109" spans="1:10" x14ac:dyDescent="0.25">
      <c r="A109" s="2">
        <v>64</v>
      </c>
      <c r="B109" s="50" t="s">
        <v>496</v>
      </c>
      <c r="C109" s="3" t="s">
        <v>264</v>
      </c>
      <c r="D109" s="2" t="s">
        <v>223</v>
      </c>
      <c r="E109" s="49">
        <v>41</v>
      </c>
      <c r="F109" s="9">
        <f>ROUND(I109/'Прил. 10'!$D$12,2)</f>
        <v>5714.07</v>
      </c>
      <c r="G109" s="14">
        <f t="shared" si="7"/>
        <v>234276.87</v>
      </c>
      <c r="H109" s="47">
        <f t="shared" si="6"/>
        <v>3.5611802299493761E-3</v>
      </c>
      <c r="I109" s="14">
        <v>56226.42</v>
      </c>
      <c r="J109" s="14">
        <f t="shared" si="8"/>
        <v>2305283.2200000002</v>
      </c>
    </row>
    <row r="110" spans="1:10" x14ac:dyDescent="0.25">
      <c r="A110" s="2">
        <v>65</v>
      </c>
      <c r="B110" s="50" t="s">
        <v>221</v>
      </c>
      <c r="C110" s="3" t="s">
        <v>265</v>
      </c>
      <c r="D110" s="2" t="s">
        <v>218</v>
      </c>
      <c r="E110" s="49">
        <v>203</v>
      </c>
      <c r="F110" s="9">
        <v>968.66</v>
      </c>
      <c r="G110" s="14">
        <f t="shared" si="7"/>
        <v>196637.98</v>
      </c>
      <c r="H110" s="47">
        <f t="shared" ref="H110:H141" si="9">G110/$G$203</f>
        <v>2.9890414996289684E-3</v>
      </c>
      <c r="I110" s="14">
        <f>ROUND(F110*'Прил. 10'!$D$12,2)</f>
        <v>9531.61</v>
      </c>
      <c r="J110" s="14">
        <f t="shared" si="8"/>
        <v>1934916.83</v>
      </c>
    </row>
    <row r="111" spans="1:10" x14ac:dyDescent="0.25">
      <c r="A111" s="2">
        <v>66</v>
      </c>
      <c r="B111" s="50" t="s">
        <v>266</v>
      </c>
      <c r="C111" s="3" t="s">
        <v>267</v>
      </c>
      <c r="D111" s="2" t="s">
        <v>218</v>
      </c>
      <c r="E111" s="49">
        <v>1610</v>
      </c>
      <c r="F111" s="9">
        <v>120.24</v>
      </c>
      <c r="G111" s="14">
        <f t="shared" si="7"/>
        <v>193586.4</v>
      </c>
      <c r="H111" s="47">
        <f t="shared" si="9"/>
        <v>2.9426552457657127E-3</v>
      </c>
      <c r="I111" s="14">
        <f>ROUND(F111*'Прил. 10'!$D$12,2)</f>
        <v>1183.1600000000001</v>
      </c>
      <c r="J111" s="14">
        <f t="shared" si="8"/>
        <v>1904887.6</v>
      </c>
    </row>
    <row r="112" spans="1:10" x14ac:dyDescent="0.25">
      <c r="A112" s="2">
        <v>67</v>
      </c>
      <c r="B112" s="50" t="s">
        <v>221</v>
      </c>
      <c r="C112" s="3" t="s">
        <v>268</v>
      </c>
      <c r="D112" s="2" t="s">
        <v>218</v>
      </c>
      <c r="E112" s="49">
        <v>375</v>
      </c>
      <c r="F112" s="9">
        <v>495.18</v>
      </c>
      <c r="G112" s="14">
        <f t="shared" si="7"/>
        <v>185692.5</v>
      </c>
      <c r="H112" s="47">
        <f t="shared" si="9"/>
        <v>2.8226621768076146E-3</v>
      </c>
      <c r="I112" s="14">
        <f>ROUND(F112*'Прил. 10'!$D$12,2)</f>
        <v>4872.57</v>
      </c>
      <c r="J112" s="14">
        <f t="shared" si="8"/>
        <v>1827213.75</v>
      </c>
    </row>
    <row r="113" spans="1:10" ht="25.5" x14ac:dyDescent="0.25">
      <c r="A113" s="2">
        <v>68</v>
      </c>
      <c r="B113" s="50" t="s">
        <v>221</v>
      </c>
      <c r="C113" s="3" t="s">
        <v>269</v>
      </c>
      <c r="D113" s="2" t="s">
        <v>551</v>
      </c>
      <c r="E113" s="49">
        <v>1350</v>
      </c>
      <c r="F113" s="9">
        <v>135.16</v>
      </c>
      <c r="G113" s="14">
        <f t="shared" si="7"/>
        <v>182466</v>
      </c>
      <c r="H113" s="47">
        <f t="shared" si="9"/>
        <v>2.7736170106675184E-3</v>
      </c>
      <c r="I113" s="14">
        <f>ROUND(F113*'Прил. 10'!$D$12,2)</f>
        <v>1329.97</v>
      </c>
      <c r="J113" s="14">
        <f t="shared" si="8"/>
        <v>1795459.5</v>
      </c>
    </row>
    <row r="114" spans="1:10" ht="25.5" x14ac:dyDescent="0.25">
      <c r="A114" s="2">
        <v>69</v>
      </c>
      <c r="B114" s="50" t="s">
        <v>221</v>
      </c>
      <c r="C114" s="3" t="s">
        <v>270</v>
      </c>
      <c r="D114" s="2" t="s">
        <v>218</v>
      </c>
      <c r="E114" s="49">
        <v>54</v>
      </c>
      <c r="F114" s="9">
        <v>3167.29</v>
      </c>
      <c r="G114" s="14">
        <f t="shared" si="7"/>
        <v>171033.66</v>
      </c>
      <c r="H114" s="47">
        <f t="shared" si="9"/>
        <v>2.599837058809448E-3</v>
      </c>
      <c r="I114" s="14">
        <f>ROUND(F114*'Прил. 10'!$D$12,2)</f>
        <v>31166.13</v>
      </c>
      <c r="J114" s="14">
        <f t="shared" si="8"/>
        <v>1682971.02</v>
      </c>
    </row>
    <row r="115" spans="1:10" x14ac:dyDescent="0.25">
      <c r="A115" s="2">
        <v>70</v>
      </c>
      <c r="B115" s="50" t="s">
        <v>221</v>
      </c>
      <c r="C115" s="3" t="s">
        <v>271</v>
      </c>
      <c r="D115" s="2" t="s">
        <v>218</v>
      </c>
      <c r="E115" s="49">
        <v>375</v>
      </c>
      <c r="F115" s="9">
        <v>394.4</v>
      </c>
      <c r="G115" s="14">
        <f t="shared" si="7"/>
        <v>147900</v>
      </c>
      <c r="H115" s="47">
        <f t="shared" si="9"/>
        <v>2.2481884618379645E-3</v>
      </c>
      <c r="I115" s="14">
        <f>ROUND(F115*'Прил. 10'!$D$12,2)</f>
        <v>3880.9</v>
      </c>
      <c r="J115" s="14">
        <f t="shared" si="8"/>
        <v>1455337.5</v>
      </c>
    </row>
    <row r="116" spans="1:10" x14ac:dyDescent="0.25">
      <c r="A116" s="2">
        <v>71</v>
      </c>
      <c r="B116" s="50" t="s">
        <v>221</v>
      </c>
      <c r="C116" s="3" t="s">
        <v>272</v>
      </c>
      <c r="D116" s="2" t="s">
        <v>218</v>
      </c>
      <c r="E116" s="49">
        <v>1002</v>
      </c>
      <c r="F116" s="9">
        <v>142.38</v>
      </c>
      <c r="G116" s="14">
        <f t="shared" si="7"/>
        <v>142664.76</v>
      </c>
      <c r="H116" s="47">
        <f t="shared" si="9"/>
        <v>2.1686089745969056E-3</v>
      </c>
      <c r="I116" s="14">
        <f>ROUND(F116*'Прил. 10'!$D$12,2)</f>
        <v>1401.02</v>
      </c>
      <c r="J116" s="14">
        <f t="shared" si="8"/>
        <v>1403822.04</v>
      </c>
    </row>
    <row r="117" spans="1:10" x14ac:dyDescent="0.25">
      <c r="A117" s="2">
        <v>72</v>
      </c>
      <c r="B117" s="50" t="s">
        <v>221</v>
      </c>
      <c r="C117" s="3" t="s">
        <v>273</v>
      </c>
      <c r="D117" s="2" t="s">
        <v>218</v>
      </c>
      <c r="E117" s="49">
        <v>33</v>
      </c>
      <c r="F117" s="9">
        <v>3865.21</v>
      </c>
      <c r="G117" s="14">
        <f t="shared" si="7"/>
        <v>127551.93</v>
      </c>
      <c r="H117" s="47">
        <f t="shared" si="9"/>
        <v>1.9388828756670973E-3</v>
      </c>
      <c r="I117" s="14">
        <f>ROUND(F117*'Прил. 10'!$D$12,2)</f>
        <v>38033.67</v>
      </c>
      <c r="J117" s="14">
        <f t="shared" si="8"/>
        <v>1255111.1100000001</v>
      </c>
    </row>
    <row r="118" spans="1:10" x14ac:dyDescent="0.25">
      <c r="A118" s="2">
        <v>73</v>
      </c>
      <c r="B118" s="50" t="s">
        <v>274</v>
      </c>
      <c r="C118" s="3" t="s">
        <v>275</v>
      </c>
      <c r="D118" s="2" t="s">
        <v>218</v>
      </c>
      <c r="E118" s="49">
        <v>1724</v>
      </c>
      <c r="F118" s="9">
        <v>73.09</v>
      </c>
      <c r="G118" s="14">
        <f t="shared" si="7"/>
        <v>126007.16</v>
      </c>
      <c r="H118" s="47">
        <f t="shared" si="9"/>
        <v>1.9154012388165672E-3</v>
      </c>
      <c r="I118" s="14">
        <f>ROUND(F118*'Прил. 10'!$D$12,2)</f>
        <v>719.21</v>
      </c>
      <c r="J118" s="14">
        <f t="shared" si="8"/>
        <v>1239918.04</v>
      </c>
    </row>
    <row r="119" spans="1:10" ht="25.5" x14ac:dyDescent="0.25">
      <c r="A119" s="2">
        <v>74</v>
      </c>
      <c r="B119" s="50" t="s">
        <v>221</v>
      </c>
      <c r="C119" s="3" t="s">
        <v>276</v>
      </c>
      <c r="D119" s="2" t="s">
        <v>218</v>
      </c>
      <c r="E119" s="49">
        <v>203</v>
      </c>
      <c r="F119" s="9">
        <v>606.88</v>
      </c>
      <c r="G119" s="14">
        <f t="shared" si="7"/>
        <v>123196.64</v>
      </c>
      <c r="H119" s="47">
        <f t="shared" si="9"/>
        <v>1.8726792737336405E-3</v>
      </c>
      <c r="I119" s="14">
        <f>ROUND(F119*'Прил. 10'!$D$12,2)</f>
        <v>5971.7</v>
      </c>
      <c r="J119" s="14">
        <f t="shared" si="8"/>
        <v>1212255.1000000001</v>
      </c>
    </row>
    <row r="120" spans="1:10" x14ac:dyDescent="0.25">
      <c r="A120" s="2">
        <v>75</v>
      </c>
      <c r="B120" s="50" t="s">
        <v>277</v>
      </c>
      <c r="C120" s="3" t="s">
        <v>278</v>
      </c>
      <c r="D120" s="2" t="s">
        <v>218</v>
      </c>
      <c r="E120" s="49">
        <v>855</v>
      </c>
      <c r="F120" s="9">
        <v>137.02000000000001</v>
      </c>
      <c r="G120" s="14">
        <f t="shared" si="7"/>
        <v>117152.1</v>
      </c>
      <c r="H120" s="47">
        <f t="shared" si="9"/>
        <v>1.780797832995858E-3</v>
      </c>
      <c r="I120" s="14">
        <f>ROUND(F120*'Прил. 10'!$D$12,2)</f>
        <v>1348.28</v>
      </c>
      <c r="J120" s="14">
        <f t="shared" si="8"/>
        <v>1152779.3999999999</v>
      </c>
    </row>
    <row r="121" spans="1:10" x14ac:dyDescent="0.25">
      <c r="A121" s="2">
        <v>76</v>
      </c>
      <c r="B121" s="50" t="s">
        <v>279</v>
      </c>
      <c r="C121" s="3" t="s">
        <v>280</v>
      </c>
      <c r="D121" s="2" t="s">
        <v>218</v>
      </c>
      <c r="E121" s="49">
        <v>158</v>
      </c>
      <c r="F121" s="9">
        <v>720.06</v>
      </c>
      <c r="G121" s="14">
        <f t="shared" si="7"/>
        <v>113769.48</v>
      </c>
      <c r="H121" s="47">
        <f t="shared" si="9"/>
        <v>1.7293795283658219E-3</v>
      </c>
      <c r="I121" s="14">
        <f>ROUND(F121*'Прил. 10'!$D$12,2)</f>
        <v>7085.39</v>
      </c>
      <c r="J121" s="14">
        <f t="shared" si="8"/>
        <v>1119491.6200000001</v>
      </c>
    </row>
    <row r="122" spans="1:10" ht="25.5" x14ac:dyDescent="0.25">
      <c r="A122" s="2">
        <v>77</v>
      </c>
      <c r="B122" s="50" t="s">
        <v>221</v>
      </c>
      <c r="C122" s="3" t="s">
        <v>281</v>
      </c>
      <c r="D122" s="2" t="s">
        <v>218</v>
      </c>
      <c r="E122" s="49">
        <v>546</v>
      </c>
      <c r="F122" s="9">
        <v>197.11</v>
      </c>
      <c r="G122" s="14">
        <f t="shared" si="7"/>
        <v>107622.06</v>
      </c>
      <c r="H122" s="47">
        <f t="shared" si="9"/>
        <v>1.6359342361814274E-3</v>
      </c>
      <c r="I122" s="14">
        <f>ROUND(F122*'Прил. 10'!$D$12,2)</f>
        <v>1939.56</v>
      </c>
      <c r="J122" s="14">
        <f t="shared" si="8"/>
        <v>1058999.76</v>
      </c>
    </row>
    <row r="123" spans="1:10" x14ac:dyDescent="0.25">
      <c r="A123" s="2">
        <v>78</v>
      </c>
      <c r="B123" s="50" t="s">
        <v>282</v>
      </c>
      <c r="C123" s="3" t="s">
        <v>283</v>
      </c>
      <c r="D123" s="2" t="s">
        <v>218</v>
      </c>
      <c r="E123" s="49">
        <v>1368</v>
      </c>
      <c r="F123" s="9">
        <v>57.83</v>
      </c>
      <c r="G123" s="14">
        <f t="shared" si="7"/>
        <v>79111.44</v>
      </c>
      <c r="H123" s="47">
        <f t="shared" si="9"/>
        <v>1.2025519040391238E-3</v>
      </c>
      <c r="I123" s="14">
        <f>ROUND(F123*'Прил. 10'!$D$12,2)</f>
        <v>569.04999999999995</v>
      </c>
      <c r="J123" s="14">
        <f t="shared" si="8"/>
        <v>778460.4</v>
      </c>
    </row>
    <row r="124" spans="1:10" x14ac:dyDescent="0.25">
      <c r="A124" s="2">
        <v>79</v>
      </c>
      <c r="B124" s="50" t="s">
        <v>284</v>
      </c>
      <c r="C124" s="3" t="s">
        <v>285</v>
      </c>
      <c r="D124" s="2" t="s">
        <v>218</v>
      </c>
      <c r="E124" s="49">
        <v>147</v>
      </c>
      <c r="F124" s="9">
        <v>498.26</v>
      </c>
      <c r="G124" s="14">
        <f t="shared" si="7"/>
        <v>73244.22</v>
      </c>
      <c r="H124" s="47">
        <f t="shared" si="9"/>
        <v>1.1133658573382113E-3</v>
      </c>
      <c r="I124" s="14">
        <f>ROUND(F124*'Прил. 10'!$D$12,2)</f>
        <v>4902.88</v>
      </c>
      <c r="J124" s="14">
        <f t="shared" si="8"/>
        <v>720723.36</v>
      </c>
    </row>
    <row r="125" spans="1:10" ht="25.5" x14ac:dyDescent="0.25">
      <c r="A125" s="2">
        <v>80</v>
      </c>
      <c r="B125" s="50" t="s">
        <v>221</v>
      </c>
      <c r="C125" s="3" t="s">
        <v>286</v>
      </c>
      <c r="D125" s="2" t="s">
        <v>218</v>
      </c>
      <c r="E125" s="49">
        <v>242</v>
      </c>
      <c r="F125" s="9">
        <v>298.02999999999997</v>
      </c>
      <c r="G125" s="14">
        <f t="shared" si="7"/>
        <v>72123.259999999995</v>
      </c>
      <c r="H125" s="47">
        <f t="shared" si="9"/>
        <v>1.0963264432869476E-3</v>
      </c>
      <c r="I125" s="14">
        <f>ROUND(F125*'Прил. 10'!$D$12,2)</f>
        <v>2932.62</v>
      </c>
      <c r="J125" s="14">
        <f t="shared" si="8"/>
        <v>709694.04</v>
      </c>
    </row>
    <row r="126" spans="1:10" x14ac:dyDescent="0.25">
      <c r="A126" s="2">
        <v>81</v>
      </c>
      <c r="B126" s="50" t="s">
        <v>287</v>
      </c>
      <c r="C126" s="3" t="s">
        <v>288</v>
      </c>
      <c r="D126" s="2" t="s">
        <v>289</v>
      </c>
      <c r="E126" s="49">
        <v>7864</v>
      </c>
      <c r="F126" s="9">
        <v>9.0399999999999991</v>
      </c>
      <c r="G126" s="14">
        <f t="shared" si="7"/>
        <v>71090.559999999998</v>
      </c>
      <c r="H126" s="47">
        <f t="shared" si="9"/>
        <v>1.0806286459607811E-3</v>
      </c>
      <c r="I126" s="14">
        <f>ROUND(F126*'Прил. 10'!$D$12,2)</f>
        <v>88.95</v>
      </c>
      <c r="J126" s="14">
        <f t="shared" si="8"/>
        <v>699502.8</v>
      </c>
    </row>
    <row r="127" spans="1:10" x14ac:dyDescent="0.25">
      <c r="A127" s="2">
        <v>82</v>
      </c>
      <c r="B127" s="50" t="s">
        <v>290</v>
      </c>
      <c r="C127" s="3" t="s">
        <v>291</v>
      </c>
      <c r="D127" s="2" t="s">
        <v>218</v>
      </c>
      <c r="E127" s="49">
        <v>1002</v>
      </c>
      <c r="F127" s="9">
        <v>68.73</v>
      </c>
      <c r="G127" s="14">
        <f t="shared" si="7"/>
        <v>68867.460000000006</v>
      </c>
      <c r="H127" s="47">
        <f t="shared" si="9"/>
        <v>1.0468358956598211E-3</v>
      </c>
      <c r="I127" s="14">
        <f>ROUND(F127*'Прил. 10'!$D$12,2)</f>
        <v>676.3</v>
      </c>
      <c r="J127" s="14">
        <f t="shared" si="8"/>
        <v>677652.6</v>
      </c>
    </row>
    <row r="128" spans="1:10" x14ac:dyDescent="0.25">
      <c r="A128" s="2">
        <v>83</v>
      </c>
      <c r="B128" s="50" t="s">
        <v>221</v>
      </c>
      <c r="C128" s="3" t="s">
        <v>292</v>
      </c>
      <c r="D128" s="2" t="s">
        <v>218</v>
      </c>
      <c r="E128" s="49">
        <v>206</v>
      </c>
      <c r="F128" s="9">
        <v>329.19</v>
      </c>
      <c r="G128" s="14">
        <f t="shared" si="7"/>
        <v>67813.14</v>
      </c>
      <c r="H128" s="47">
        <f t="shared" si="9"/>
        <v>1.0308094584787189E-3</v>
      </c>
      <c r="I128" s="14">
        <f>ROUND(F128*'Прил. 10'!$D$12,2)</f>
        <v>3239.23</v>
      </c>
      <c r="J128" s="14">
        <f t="shared" si="8"/>
        <v>667281.38</v>
      </c>
    </row>
    <row r="129" spans="1:10" x14ac:dyDescent="0.25">
      <c r="A129" s="2">
        <v>84</v>
      </c>
      <c r="B129" s="50" t="s">
        <v>221</v>
      </c>
      <c r="C129" s="3" t="s">
        <v>293</v>
      </c>
      <c r="D129" s="2" t="s">
        <v>218</v>
      </c>
      <c r="E129" s="49">
        <v>114</v>
      </c>
      <c r="F129" s="9">
        <v>502.8</v>
      </c>
      <c r="G129" s="14">
        <f t="shared" ref="G129:G160" si="10">ROUND(F129*E129,2)</f>
        <v>57319.199999999997</v>
      </c>
      <c r="H129" s="47">
        <f t="shared" si="9"/>
        <v>8.7129387479230997E-4</v>
      </c>
      <c r="I129" s="14">
        <f>ROUND(F129*'Прил. 10'!$D$12,2)</f>
        <v>4947.55</v>
      </c>
      <c r="J129" s="14">
        <f t="shared" ref="J129:J160" si="11">ROUND(I129*E129,2)</f>
        <v>564020.69999999995</v>
      </c>
    </row>
    <row r="130" spans="1:10" x14ac:dyDescent="0.25">
      <c r="A130" s="2">
        <v>85</v>
      </c>
      <c r="B130" s="50" t="s">
        <v>294</v>
      </c>
      <c r="C130" s="3" t="s">
        <v>295</v>
      </c>
      <c r="D130" s="2" t="s">
        <v>223</v>
      </c>
      <c r="E130" s="49">
        <v>21516</v>
      </c>
      <c r="F130" s="9">
        <v>2.44</v>
      </c>
      <c r="G130" s="14">
        <f t="shared" si="10"/>
        <v>52499.040000000001</v>
      </c>
      <c r="H130" s="47">
        <f t="shared" si="9"/>
        <v>7.9802390794840952E-4</v>
      </c>
      <c r="I130" s="14">
        <f>ROUND(F130*'Прил. 10'!$D$12,2)</f>
        <v>24.01</v>
      </c>
      <c r="J130" s="14">
        <f t="shared" si="11"/>
        <v>516599.16</v>
      </c>
    </row>
    <row r="131" spans="1:10" ht="25.5" x14ac:dyDescent="0.25">
      <c r="A131" s="2">
        <v>86</v>
      </c>
      <c r="B131" s="50" t="s">
        <v>221</v>
      </c>
      <c r="C131" s="3" t="s">
        <v>296</v>
      </c>
      <c r="D131" s="2" t="s">
        <v>551</v>
      </c>
      <c r="E131" s="49">
        <v>1802</v>
      </c>
      <c r="F131" s="9">
        <v>28.99</v>
      </c>
      <c r="G131" s="14">
        <f t="shared" si="10"/>
        <v>52239.98</v>
      </c>
      <c r="H131" s="47">
        <f t="shared" si="9"/>
        <v>7.9408600596785691E-4</v>
      </c>
      <c r="I131" s="14">
        <f>ROUND(F131*'Прил. 10'!$D$12,2)</f>
        <v>285.26</v>
      </c>
      <c r="J131" s="14">
        <f t="shared" si="11"/>
        <v>514038.52</v>
      </c>
    </row>
    <row r="132" spans="1:10" ht="25.5" x14ac:dyDescent="0.25">
      <c r="A132" s="2">
        <v>87</v>
      </c>
      <c r="B132" s="50" t="s">
        <v>221</v>
      </c>
      <c r="C132" s="3" t="s">
        <v>297</v>
      </c>
      <c r="D132" s="2" t="s">
        <v>218</v>
      </c>
      <c r="E132" s="49">
        <v>41</v>
      </c>
      <c r="F132" s="9">
        <v>1269.82</v>
      </c>
      <c r="G132" s="14">
        <f t="shared" si="10"/>
        <v>52062.62</v>
      </c>
      <c r="H132" s="47">
        <f t="shared" si="9"/>
        <v>7.9139000390165276E-4</v>
      </c>
      <c r="I132" s="14">
        <f>ROUND(F132*'Прил. 10'!$D$12,2)</f>
        <v>12495.03</v>
      </c>
      <c r="J132" s="14">
        <f t="shared" si="11"/>
        <v>512296.23</v>
      </c>
    </row>
    <row r="133" spans="1:10" ht="25.5" x14ac:dyDescent="0.25">
      <c r="A133" s="2">
        <v>88</v>
      </c>
      <c r="B133" s="50" t="s">
        <v>221</v>
      </c>
      <c r="C133" s="3" t="s">
        <v>298</v>
      </c>
      <c r="D133" s="2" t="s">
        <v>218</v>
      </c>
      <c r="E133" s="49">
        <v>216</v>
      </c>
      <c r="F133" s="9">
        <v>205</v>
      </c>
      <c r="G133" s="14">
        <f t="shared" si="10"/>
        <v>44280</v>
      </c>
      <c r="H133" s="47">
        <f t="shared" si="9"/>
        <v>6.730884725502709E-4</v>
      </c>
      <c r="I133" s="14">
        <f>ROUND(F133*'Прил. 10'!$D$12,2)</f>
        <v>2017.2</v>
      </c>
      <c r="J133" s="14">
        <f t="shared" si="11"/>
        <v>435715.2</v>
      </c>
    </row>
    <row r="134" spans="1:10" ht="25.5" x14ac:dyDescent="0.25">
      <c r="A134" s="2">
        <v>89</v>
      </c>
      <c r="B134" s="50" t="s">
        <v>221</v>
      </c>
      <c r="C134" s="3" t="s">
        <v>299</v>
      </c>
      <c r="D134" s="2" t="s">
        <v>218</v>
      </c>
      <c r="E134" s="49">
        <v>1487</v>
      </c>
      <c r="F134" s="9">
        <v>29.28</v>
      </c>
      <c r="G134" s="14">
        <f t="shared" si="10"/>
        <v>43539.360000000001</v>
      </c>
      <c r="H134" s="47">
        <f t="shared" si="9"/>
        <v>6.6183020140506686E-4</v>
      </c>
      <c r="I134" s="14">
        <f>ROUND(F134*'Прил. 10'!$D$12,2)</f>
        <v>288.12</v>
      </c>
      <c r="J134" s="14">
        <f t="shared" si="11"/>
        <v>428434.44</v>
      </c>
    </row>
    <row r="135" spans="1:10" x14ac:dyDescent="0.25">
      <c r="A135" s="2">
        <v>90</v>
      </c>
      <c r="B135" s="50" t="s">
        <v>221</v>
      </c>
      <c r="C135" s="3" t="s">
        <v>300</v>
      </c>
      <c r="D135" s="2" t="s">
        <v>218</v>
      </c>
      <c r="E135" s="49">
        <v>74</v>
      </c>
      <c r="F135" s="9">
        <v>585.70000000000005</v>
      </c>
      <c r="G135" s="14">
        <f t="shared" si="10"/>
        <v>43341.8</v>
      </c>
      <c r="H135" s="47">
        <f t="shared" si="9"/>
        <v>6.5882714452527853E-4</v>
      </c>
      <c r="I135" s="14">
        <f>ROUND(F135*'Прил. 10'!$D$12,2)</f>
        <v>5763.29</v>
      </c>
      <c r="J135" s="14">
        <f t="shared" si="11"/>
        <v>426483.46</v>
      </c>
    </row>
    <row r="136" spans="1:10" x14ac:dyDescent="0.25">
      <c r="A136" s="2">
        <v>91</v>
      </c>
      <c r="B136" s="50" t="s">
        <v>221</v>
      </c>
      <c r="C136" s="3" t="s">
        <v>301</v>
      </c>
      <c r="D136" s="2" t="s">
        <v>218</v>
      </c>
      <c r="E136" s="49">
        <v>74</v>
      </c>
      <c r="F136" s="9">
        <v>492.44</v>
      </c>
      <c r="G136" s="14">
        <f t="shared" si="10"/>
        <v>36440.559999999998</v>
      </c>
      <c r="H136" s="47">
        <f t="shared" si="9"/>
        <v>5.5392323553018282E-4</v>
      </c>
      <c r="I136" s="14">
        <f>ROUND(F136*'Прил. 10'!$D$12,2)</f>
        <v>4845.6099999999997</v>
      </c>
      <c r="J136" s="14">
        <f t="shared" si="11"/>
        <v>358575.14</v>
      </c>
    </row>
    <row r="137" spans="1:10" ht="25.5" x14ac:dyDescent="0.25">
      <c r="A137" s="2">
        <v>92</v>
      </c>
      <c r="B137" s="50" t="s">
        <v>302</v>
      </c>
      <c r="C137" s="3" t="s">
        <v>303</v>
      </c>
      <c r="D137" s="2" t="s">
        <v>228</v>
      </c>
      <c r="E137" s="49">
        <v>7</v>
      </c>
      <c r="F137" s="9">
        <v>5000</v>
      </c>
      <c r="G137" s="14">
        <f t="shared" si="10"/>
        <v>35000</v>
      </c>
      <c r="H137" s="47">
        <f t="shared" si="9"/>
        <v>5.3202566710161428E-4</v>
      </c>
      <c r="I137" s="14">
        <f>ROUND(F137*'Прил. 10'!$D$12,2)</f>
        <v>49200</v>
      </c>
      <c r="J137" s="14">
        <f t="shared" si="11"/>
        <v>344400</v>
      </c>
    </row>
    <row r="138" spans="1:10" x14ac:dyDescent="0.25">
      <c r="A138" s="2">
        <v>93</v>
      </c>
      <c r="B138" s="50" t="s">
        <v>304</v>
      </c>
      <c r="C138" s="3" t="s">
        <v>305</v>
      </c>
      <c r="D138" s="2" t="s">
        <v>218</v>
      </c>
      <c r="E138" s="49">
        <v>203</v>
      </c>
      <c r="F138" s="9">
        <v>175.99</v>
      </c>
      <c r="G138" s="14">
        <f t="shared" si="10"/>
        <v>35725.97</v>
      </c>
      <c r="H138" s="47">
        <f t="shared" si="9"/>
        <v>5.4306094348863601E-4</v>
      </c>
      <c r="I138" s="14">
        <f>ROUND(F138*'Прил. 10'!$D$12,2)</f>
        <v>1731.74</v>
      </c>
      <c r="J138" s="14">
        <f t="shared" si="11"/>
        <v>351543.22</v>
      </c>
    </row>
    <row r="139" spans="1:10" x14ac:dyDescent="0.25">
      <c r="A139" s="2">
        <v>94</v>
      </c>
      <c r="B139" s="50" t="s">
        <v>306</v>
      </c>
      <c r="C139" s="3" t="s">
        <v>307</v>
      </c>
      <c r="D139" s="2" t="s">
        <v>228</v>
      </c>
      <c r="E139" s="49">
        <v>3</v>
      </c>
      <c r="F139" s="9">
        <v>10316.42</v>
      </c>
      <c r="G139" s="14">
        <f t="shared" si="10"/>
        <v>30949.26</v>
      </c>
      <c r="H139" s="47">
        <f t="shared" si="9"/>
        <v>4.7045144850860876E-4</v>
      </c>
      <c r="I139" s="14">
        <f>ROUND(F139*'Прил. 10'!$D$12,2)</f>
        <v>101513.57</v>
      </c>
      <c r="J139" s="14">
        <f t="shared" si="11"/>
        <v>304540.71000000002</v>
      </c>
    </row>
    <row r="140" spans="1:10" ht="25.5" x14ac:dyDescent="0.25">
      <c r="A140" s="2">
        <v>95</v>
      </c>
      <c r="B140" s="50" t="s">
        <v>308</v>
      </c>
      <c r="C140" s="3" t="s">
        <v>309</v>
      </c>
      <c r="D140" s="2" t="s">
        <v>223</v>
      </c>
      <c r="E140" s="49">
        <v>615</v>
      </c>
      <c r="F140" s="9">
        <v>54.95</v>
      </c>
      <c r="G140" s="14">
        <f t="shared" si="10"/>
        <v>33794.25</v>
      </c>
      <c r="H140" s="47">
        <f t="shared" si="9"/>
        <v>5.1369738286996362E-4</v>
      </c>
      <c r="I140" s="14">
        <f>ROUND(F140*'Прил. 10'!$D$12,2)</f>
        <v>540.71</v>
      </c>
      <c r="J140" s="14">
        <f t="shared" si="11"/>
        <v>332536.65000000002</v>
      </c>
    </row>
    <row r="141" spans="1:10" x14ac:dyDescent="0.25">
      <c r="A141" s="2">
        <v>96</v>
      </c>
      <c r="B141" s="50" t="s">
        <v>310</v>
      </c>
      <c r="C141" s="3" t="s">
        <v>311</v>
      </c>
      <c r="D141" s="2" t="s">
        <v>218</v>
      </c>
      <c r="E141" s="49">
        <v>242</v>
      </c>
      <c r="F141" s="9">
        <v>137.86000000000001</v>
      </c>
      <c r="G141" s="14">
        <f t="shared" si="10"/>
        <v>33362.120000000003</v>
      </c>
      <c r="H141" s="47">
        <f t="shared" si="9"/>
        <v>5.0712868996926025E-4</v>
      </c>
      <c r="I141" s="14">
        <f>ROUND(F141*'Прил. 10'!$D$12,2)</f>
        <v>1356.54</v>
      </c>
      <c r="J141" s="14">
        <f t="shared" si="11"/>
        <v>328282.68</v>
      </c>
    </row>
    <row r="142" spans="1:10" x14ac:dyDescent="0.25">
      <c r="A142" s="2">
        <v>97</v>
      </c>
      <c r="B142" s="50" t="s">
        <v>221</v>
      </c>
      <c r="C142" s="3" t="s">
        <v>312</v>
      </c>
      <c r="D142" s="2" t="s">
        <v>218</v>
      </c>
      <c r="E142" s="49">
        <v>203</v>
      </c>
      <c r="F142" s="9">
        <v>135.16</v>
      </c>
      <c r="G142" s="14">
        <f t="shared" si="10"/>
        <v>27437.48</v>
      </c>
      <c r="H142" s="47">
        <f t="shared" ref="H142:H173" si="12">G142/$G$203</f>
        <v>4.1706981715963428E-4</v>
      </c>
      <c r="I142" s="14">
        <f>ROUND(F142*'Прил. 10'!$D$12,2)</f>
        <v>1329.97</v>
      </c>
      <c r="J142" s="14">
        <f t="shared" si="11"/>
        <v>269983.90999999997</v>
      </c>
    </row>
    <row r="143" spans="1:10" x14ac:dyDescent="0.25">
      <c r="A143" s="2">
        <v>98</v>
      </c>
      <c r="B143" s="50" t="s">
        <v>313</v>
      </c>
      <c r="C143" s="3" t="s">
        <v>314</v>
      </c>
      <c r="D143" s="2" t="s">
        <v>228</v>
      </c>
      <c r="E143" s="49">
        <v>2</v>
      </c>
      <c r="F143" s="9">
        <v>10615.64</v>
      </c>
      <c r="G143" s="14">
        <f t="shared" si="10"/>
        <v>21231.279999999999</v>
      </c>
      <c r="H143" s="47">
        <f t="shared" si="12"/>
        <v>3.2273102586917603E-4</v>
      </c>
      <c r="I143" s="14">
        <f>ROUND(F143*'Прил. 10'!$D$12,2)</f>
        <v>104457.9</v>
      </c>
      <c r="J143" s="14">
        <f t="shared" si="11"/>
        <v>208915.8</v>
      </c>
    </row>
    <row r="144" spans="1:10" x14ac:dyDescent="0.25">
      <c r="A144" s="2">
        <v>99</v>
      </c>
      <c r="B144" s="50" t="s">
        <v>221</v>
      </c>
      <c r="C144" s="3" t="s">
        <v>315</v>
      </c>
      <c r="D144" s="2" t="s">
        <v>218</v>
      </c>
      <c r="E144" s="49">
        <v>405</v>
      </c>
      <c r="F144" s="9">
        <v>61.51</v>
      </c>
      <c r="G144" s="14">
        <f t="shared" si="10"/>
        <v>24911.55</v>
      </c>
      <c r="H144" s="47">
        <f t="shared" si="12"/>
        <v>3.7867382877957768E-4</v>
      </c>
      <c r="I144" s="14">
        <f>ROUND(F144*'Прил. 10'!$D$12,2)</f>
        <v>605.26</v>
      </c>
      <c r="J144" s="14">
        <f t="shared" si="11"/>
        <v>245130.3</v>
      </c>
    </row>
    <row r="145" spans="1:10" ht="25.5" x14ac:dyDescent="0.25">
      <c r="A145" s="2">
        <v>100</v>
      </c>
      <c r="B145" s="50" t="s">
        <v>316</v>
      </c>
      <c r="C145" s="3" t="s">
        <v>317</v>
      </c>
      <c r="D145" s="2" t="s">
        <v>228</v>
      </c>
      <c r="E145" s="49">
        <v>4</v>
      </c>
      <c r="F145" s="9">
        <v>6511.15</v>
      </c>
      <c r="G145" s="14">
        <f t="shared" si="10"/>
        <v>26044.6</v>
      </c>
      <c r="H145" s="47">
        <f t="shared" si="12"/>
        <v>3.9589701969699152E-4</v>
      </c>
      <c r="I145" s="14">
        <f>ROUND(F145*'Прил. 10'!$D$12,2)</f>
        <v>64069.72</v>
      </c>
      <c r="J145" s="14">
        <f t="shared" si="11"/>
        <v>256278.88</v>
      </c>
    </row>
    <row r="146" spans="1:10" x14ac:dyDescent="0.25">
      <c r="A146" s="2">
        <v>101</v>
      </c>
      <c r="B146" s="50" t="s">
        <v>318</v>
      </c>
      <c r="C146" s="3" t="s">
        <v>319</v>
      </c>
      <c r="D146" s="2" t="s">
        <v>218</v>
      </c>
      <c r="E146" s="49">
        <v>74</v>
      </c>
      <c r="F146" s="9">
        <v>314.56</v>
      </c>
      <c r="G146" s="14">
        <f t="shared" si="10"/>
        <v>23277.439999999999</v>
      </c>
      <c r="H146" s="47">
        <f t="shared" si="12"/>
        <v>3.5383415841193713E-4</v>
      </c>
      <c r="I146" s="14">
        <f>ROUND(F146*'Прил. 10'!$D$12,2)</f>
        <v>3095.27</v>
      </c>
      <c r="J146" s="14">
        <f t="shared" si="11"/>
        <v>229049.98</v>
      </c>
    </row>
    <row r="147" spans="1:10" x14ac:dyDescent="0.25">
      <c r="A147" s="2">
        <v>102</v>
      </c>
      <c r="B147" s="50" t="s">
        <v>320</v>
      </c>
      <c r="C147" s="3" t="s">
        <v>321</v>
      </c>
      <c r="D147" s="2" t="s">
        <v>289</v>
      </c>
      <c r="E147" s="49">
        <v>788</v>
      </c>
      <c r="F147" s="9">
        <v>28.6</v>
      </c>
      <c r="G147" s="14">
        <f t="shared" si="10"/>
        <v>22536.799999999999</v>
      </c>
      <c r="H147" s="47">
        <f t="shared" si="12"/>
        <v>3.4257588726673314E-4</v>
      </c>
      <c r="I147" s="14">
        <f>ROUND(F147*'Прил. 10'!$D$12,2)</f>
        <v>281.42</v>
      </c>
      <c r="J147" s="14">
        <f t="shared" si="11"/>
        <v>221758.96</v>
      </c>
    </row>
    <row r="148" spans="1:10" x14ac:dyDescent="0.25">
      <c r="A148" s="2">
        <v>103</v>
      </c>
      <c r="B148" s="50" t="s">
        <v>221</v>
      </c>
      <c r="C148" s="3" t="s">
        <v>322</v>
      </c>
      <c r="D148" s="2" t="s">
        <v>218</v>
      </c>
      <c r="E148" s="49">
        <v>203</v>
      </c>
      <c r="F148" s="9">
        <v>108.2</v>
      </c>
      <c r="G148" s="14">
        <f t="shared" si="10"/>
        <v>21964.6</v>
      </c>
      <c r="H148" s="47">
        <f t="shared" si="12"/>
        <v>3.3387802764628903E-4</v>
      </c>
      <c r="I148" s="14">
        <f>ROUND(F148*'Прил. 10'!$D$12,2)</f>
        <v>1064.69</v>
      </c>
      <c r="J148" s="14">
        <f t="shared" si="11"/>
        <v>216132.07</v>
      </c>
    </row>
    <row r="149" spans="1:10" x14ac:dyDescent="0.25">
      <c r="A149" s="2">
        <v>104</v>
      </c>
      <c r="B149" s="50" t="s">
        <v>323</v>
      </c>
      <c r="C149" s="3" t="s">
        <v>324</v>
      </c>
      <c r="D149" s="2" t="s">
        <v>218</v>
      </c>
      <c r="E149" s="49">
        <v>1610</v>
      </c>
      <c r="F149" s="9">
        <v>13.29</v>
      </c>
      <c r="G149" s="14">
        <f t="shared" si="10"/>
        <v>21396.9</v>
      </c>
      <c r="H149" s="47">
        <f t="shared" si="12"/>
        <v>3.2524857132590091E-4</v>
      </c>
      <c r="I149" s="14">
        <f>ROUND(F149*'Прил. 10'!$D$12,2)</f>
        <v>130.77000000000001</v>
      </c>
      <c r="J149" s="14">
        <f t="shared" si="11"/>
        <v>210539.7</v>
      </c>
    </row>
    <row r="150" spans="1:10" x14ac:dyDescent="0.25">
      <c r="A150" s="2">
        <v>105</v>
      </c>
      <c r="B150" s="50" t="s">
        <v>221</v>
      </c>
      <c r="C150" s="3" t="s">
        <v>325</v>
      </c>
      <c r="D150" s="2" t="s">
        <v>218</v>
      </c>
      <c r="E150" s="49">
        <v>74</v>
      </c>
      <c r="F150" s="9">
        <v>283.27999999999997</v>
      </c>
      <c r="G150" s="14">
        <f t="shared" si="10"/>
        <v>20962.72</v>
      </c>
      <c r="H150" s="47">
        <f t="shared" si="12"/>
        <v>3.1864871692183862E-4</v>
      </c>
      <c r="I150" s="14">
        <f>ROUND(F150*'Прил. 10'!$D$12,2)</f>
        <v>2787.48</v>
      </c>
      <c r="J150" s="14">
        <f t="shared" si="11"/>
        <v>206273.52</v>
      </c>
    </row>
    <row r="151" spans="1:10" x14ac:dyDescent="0.25">
      <c r="A151" s="2">
        <v>106</v>
      </c>
      <c r="B151" s="50" t="s">
        <v>221</v>
      </c>
      <c r="C151" s="3" t="s">
        <v>326</v>
      </c>
      <c r="D151" s="2" t="s">
        <v>218</v>
      </c>
      <c r="E151" s="49">
        <v>203</v>
      </c>
      <c r="F151" s="9">
        <v>97.33</v>
      </c>
      <c r="G151" s="14">
        <f t="shared" si="10"/>
        <v>19757.990000000002</v>
      </c>
      <c r="H151" s="47">
        <f t="shared" si="12"/>
        <v>3.0033593743820073E-4</v>
      </c>
      <c r="I151" s="14">
        <f>ROUND(F151*'Прил. 10'!$D$12,2)</f>
        <v>957.73</v>
      </c>
      <c r="J151" s="14">
        <f t="shared" si="11"/>
        <v>194419.19</v>
      </c>
    </row>
    <row r="152" spans="1:10" x14ac:dyDescent="0.25">
      <c r="A152" s="2">
        <v>107</v>
      </c>
      <c r="B152" s="50" t="s">
        <v>327</v>
      </c>
      <c r="C152" s="3" t="s">
        <v>328</v>
      </c>
      <c r="D152" s="2" t="s">
        <v>218</v>
      </c>
      <c r="E152" s="49">
        <v>683</v>
      </c>
      <c r="F152" s="9">
        <v>28.43</v>
      </c>
      <c r="G152" s="14">
        <f t="shared" si="10"/>
        <v>19417.689999999999</v>
      </c>
      <c r="H152" s="47">
        <f t="shared" si="12"/>
        <v>2.951631278806384E-4</v>
      </c>
      <c r="I152" s="14">
        <f>ROUND(F152*'Прил. 10'!$D$12,2)</f>
        <v>279.75</v>
      </c>
      <c r="J152" s="14">
        <f t="shared" si="11"/>
        <v>191069.25</v>
      </c>
    </row>
    <row r="153" spans="1:10" x14ac:dyDescent="0.25">
      <c r="A153" s="2">
        <v>108</v>
      </c>
      <c r="B153" s="50" t="s">
        <v>221</v>
      </c>
      <c r="C153" s="3" t="s">
        <v>329</v>
      </c>
      <c r="D153" s="2" t="s">
        <v>218</v>
      </c>
      <c r="E153" s="49">
        <v>74</v>
      </c>
      <c r="F153" s="9">
        <v>231.68</v>
      </c>
      <c r="G153" s="14">
        <f t="shared" si="10"/>
        <v>17144.32</v>
      </c>
      <c r="H153" s="47">
        <f t="shared" si="12"/>
        <v>2.6060623671438706E-4</v>
      </c>
      <c r="I153" s="14">
        <f>ROUND(F153*'Прил. 10'!$D$12,2)</f>
        <v>2279.73</v>
      </c>
      <c r="J153" s="14">
        <f t="shared" si="11"/>
        <v>168700.02</v>
      </c>
    </row>
    <row r="154" spans="1:10" x14ac:dyDescent="0.25">
      <c r="A154" s="2">
        <v>109</v>
      </c>
      <c r="B154" s="50" t="s">
        <v>330</v>
      </c>
      <c r="C154" s="3" t="s">
        <v>331</v>
      </c>
      <c r="D154" s="2" t="s">
        <v>218</v>
      </c>
      <c r="E154" s="49">
        <v>228</v>
      </c>
      <c r="F154" s="9">
        <v>70.760000000000005</v>
      </c>
      <c r="G154" s="14">
        <f t="shared" si="10"/>
        <v>16133.28</v>
      </c>
      <c r="H154" s="47">
        <f t="shared" si="12"/>
        <v>2.452376872724895E-4</v>
      </c>
      <c r="I154" s="14">
        <f>ROUND(F154*'Прил. 10'!$D$12,2)</f>
        <v>696.28</v>
      </c>
      <c r="J154" s="14">
        <f t="shared" si="11"/>
        <v>158751.84</v>
      </c>
    </row>
    <row r="155" spans="1:10" x14ac:dyDescent="0.25">
      <c r="A155" s="2">
        <v>110</v>
      </c>
      <c r="B155" s="50" t="s">
        <v>221</v>
      </c>
      <c r="C155" s="3" t="s">
        <v>332</v>
      </c>
      <c r="D155" s="2" t="s">
        <v>289</v>
      </c>
      <c r="E155" s="49">
        <v>685</v>
      </c>
      <c r="F155" s="9">
        <v>22.09</v>
      </c>
      <c r="G155" s="14">
        <f t="shared" si="10"/>
        <v>15131.65</v>
      </c>
      <c r="H155" s="47">
        <f t="shared" si="12"/>
        <v>2.3001217673137547E-4</v>
      </c>
      <c r="I155" s="14">
        <f>ROUND(F155*'Прил. 10'!$D$12,2)</f>
        <v>217.37</v>
      </c>
      <c r="J155" s="14">
        <f t="shared" si="11"/>
        <v>148898.45000000001</v>
      </c>
    </row>
    <row r="156" spans="1:10" x14ac:dyDescent="0.25">
      <c r="A156" s="2">
        <v>111</v>
      </c>
      <c r="B156" s="50" t="s">
        <v>333</v>
      </c>
      <c r="C156" s="3" t="s">
        <v>334</v>
      </c>
      <c r="D156" s="2" t="s">
        <v>218</v>
      </c>
      <c r="E156" s="49">
        <v>203</v>
      </c>
      <c r="F156" s="9">
        <v>68.680000000000007</v>
      </c>
      <c r="G156" s="14">
        <f t="shared" si="10"/>
        <v>13942.04</v>
      </c>
      <c r="H156" s="47">
        <f t="shared" si="12"/>
        <v>2.1192923233592545E-4</v>
      </c>
      <c r="I156" s="14">
        <f>ROUND(F156*'Прил. 10'!$D$12,2)</f>
        <v>675.81</v>
      </c>
      <c r="J156" s="14">
        <f t="shared" si="11"/>
        <v>137189.43</v>
      </c>
    </row>
    <row r="157" spans="1:10" x14ac:dyDescent="0.25">
      <c r="A157" s="2">
        <v>112</v>
      </c>
      <c r="B157" s="50" t="s">
        <v>335</v>
      </c>
      <c r="C157" s="3" t="s">
        <v>336</v>
      </c>
      <c r="D157" s="2" t="s">
        <v>218</v>
      </c>
      <c r="E157" s="49">
        <v>114</v>
      </c>
      <c r="F157" s="9">
        <v>121.66</v>
      </c>
      <c r="G157" s="14">
        <f t="shared" si="10"/>
        <v>13869.24</v>
      </c>
      <c r="H157" s="47">
        <f t="shared" si="12"/>
        <v>2.1082261894835407E-4</v>
      </c>
      <c r="I157" s="14">
        <f>ROUND(F157*'Прил. 10'!$D$12,2)</f>
        <v>1197.1300000000001</v>
      </c>
      <c r="J157" s="14">
        <f t="shared" si="11"/>
        <v>136472.82</v>
      </c>
    </row>
    <row r="158" spans="1:10" ht="25.5" x14ac:dyDescent="0.25">
      <c r="A158" s="2">
        <v>113</v>
      </c>
      <c r="B158" s="50" t="s">
        <v>337</v>
      </c>
      <c r="C158" s="3" t="s">
        <v>338</v>
      </c>
      <c r="D158" s="2" t="s">
        <v>223</v>
      </c>
      <c r="E158" s="49">
        <v>35</v>
      </c>
      <c r="F158" s="9">
        <v>365</v>
      </c>
      <c r="G158" s="14">
        <f t="shared" si="10"/>
        <v>12775</v>
      </c>
      <c r="H158" s="47">
        <f t="shared" si="12"/>
        <v>1.9418936849208921E-4</v>
      </c>
      <c r="I158" s="14">
        <f>ROUND(F158*'Прил. 10'!$D$12,2)</f>
        <v>3591.6</v>
      </c>
      <c r="J158" s="14">
        <f t="shared" si="11"/>
        <v>125706</v>
      </c>
    </row>
    <row r="159" spans="1:10" x14ac:dyDescent="0.25">
      <c r="A159" s="2">
        <v>114</v>
      </c>
      <c r="B159" s="50" t="s">
        <v>339</v>
      </c>
      <c r="C159" s="3" t="s">
        <v>340</v>
      </c>
      <c r="D159" s="2" t="s">
        <v>218</v>
      </c>
      <c r="E159" s="49">
        <v>216</v>
      </c>
      <c r="F159" s="9">
        <v>45.75</v>
      </c>
      <c r="G159" s="14">
        <f t="shared" si="10"/>
        <v>9882</v>
      </c>
      <c r="H159" s="47">
        <f t="shared" si="12"/>
        <v>1.5021364692280434E-4</v>
      </c>
      <c r="I159" s="14">
        <f>ROUND(F159*'Прил. 10'!$D$12,2)</f>
        <v>450.18</v>
      </c>
      <c r="J159" s="14">
        <f t="shared" si="11"/>
        <v>97238.88</v>
      </c>
    </row>
    <row r="160" spans="1:10" x14ac:dyDescent="0.25">
      <c r="A160" s="2">
        <v>115</v>
      </c>
      <c r="B160" s="50" t="s">
        <v>221</v>
      </c>
      <c r="C160" s="3" t="s">
        <v>341</v>
      </c>
      <c r="D160" s="2" t="s">
        <v>218</v>
      </c>
      <c r="E160" s="49">
        <v>21</v>
      </c>
      <c r="F160" s="9">
        <v>452.12</v>
      </c>
      <c r="G160" s="14">
        <f t="shared" si="10"/>
        <v>9494.52</v>
      </c>
      <c r="H160" s="47">
        <f t="shared" si="12"/>
        <v>1.4432366676598912E-4</v>
      </c>
      <c r="I160" s="14">
        <f>ROUND(F160*'Прил. 10'!$D$12,2)</f>
        <v>4448.8599999999997</v>
      </c>
      <c r="J160" s="14">
        <f t="shared" si="11"/>
        <v>93426.06</v>
      </c>
    </row>
    <row r="161" spans="1:10" x14ac:dyDescent="0.25">
      <c r="A161" s="2">
        <v>116</v>
      </c>
      <c r="B161" s="50" t="s">
        <v>342</v>
      </c>
      <c r="C161" s="3" t="s">
        <v>343</v>
      </c>
      <c r="D161" s="2" t="s">
        <v>218</v>
      </c>
      <c r="E161" s="49">
        <v>216</v>
      </c>
      <c r="F161" s="9">
        <v>39.32</v>
      </c>
      <c r="G161" s="14">
        <f t="shared" ref="G161:G192" si="13">ROUND(F161*E161,2)</f>
        <v>8493.1200000000008</v>
      </c>
      <c r="H161" s="47">
        <f t="shared" si="12"/>
        <v>1.2910165239354466E-4</v>
      </c>
      <c r="I161" s="14">
        <f>ROUND(F161*'Прил. 10'!$D$12,2)</f>
        <v>386.91</v>
      </c>
      <c r="J161" s="14">
        <f t="shared" ref="J161:J192" si="14">ROUND(I161*E161,2)</f>
        <v>83572.56</v>
      </c>
    </row>
    <row r="162" spans="1:10" x14ac:dyDescent="0.25">
      <c r="A162" s="2">
        <v>117</v>
      </c>
      <c r="B162" s="50" t="s">
        <v>344</v>
      </c>
      <c r="C162" s="3" t="s">
        <v>345</v>
      </c>
      <c r="D162" s="2" t="s">
        <v>218</v>
      </c>
      <c r="E162" s="49">
        <v>152</v>
      </c>
      <c r="F162" s="9">
        <v>42.24</v>
      </c>
      <c r="G162" s="14">
        <f t="shared" si="13"/>
        <v>6420.48</v>
      </c>
      <c r="H162" s="47">
        <f t="shared" si="12"/>
        <v>9.7596004431787774E-5</v>
      </c>
      <c r="I162" s="14">
        <f>ROUND(F162*'Прил. 10'!$D$12,2)</f>
        <v>415.64</v>
      </c>
      <c r="J162" s="14">
        <f t="shared" si="14"/>
        <v>63177.279999999999</v>
      </c>
    </row>
    <row r="163" spans="1:10" x14ac:dyDescent="0.25">
      <c r="A163" s="2">
        <v>118</v>
      </c>
      <c r="B163" s="50" t="s">
        <v>346</v>
      </c>
      <c r="C163" s="3" t="s">
        <v>347</v>
      </c>
      <c r="D163" s="2" t="s">
        <v>218</v>
      </c>
      <c r="E163" s="49">
        <v>74</v>
      </c>
      <c r="F163" s="9">
        <v>83.93</v>
      </c>
      <c r="G163" s="14">
        <f t="shared" si="13"/>
        <v>6210.82</v>
      </c>
      <c r="H163" s="47">
        <f t="shared" si="12"/>
        <v>9.4409018678515654E-5</v>
      </c>
      <c r="I163" s="14">
        <f>ROUND(F163*'Прил. 10'!$D$12,2)</f>
        <v>825.87</v>
      </c>
      <c r="J163" s="14">
        <f t="shared" si="14"/>
        <v>61114.38</v>
      </c>
    </row>
    <row r="164" spans="1:10" x14ac:dyDescent="0.25">
      <c r="A164" s="2">
        <v>119</v>
      </c>
      <c r="B164" s="50" t="s">
        <v>348</v>
      </c>
      <c r="C164" s="3" t="s">
        <v>349</v>
      </c>
      <c r="D164" s="2" t="s">
        <v>289</v>
      </c>
      <c r="E164" s="49">
        <v>25</v>
      </c>
      <c r="F164" s="9">
        <v>238.48</v>
      </c>
      <c r="G164" s="14">
        <f t="shared" si="13"/>
        <v>5962</v>
      </c>
      <c r="H164" s="47">
        <f t="shared" si="12"/>
        <v>9.0626772207423557E-5</v>
      </c>
      <c r="I164" s="14">
        <f>ROUND(F164*'Прил. 10'!$D$12,2)</f>
        <v>2346.64</v>
      </c>
      <c r="J164" s="14">
        <f t="shared" si="14"/>
        <v>58666</v>
      </c>
    </row>
    <row r="165" spans="1:10" ht="25.5" x14ac:dyDescent="0.25">
      <c r="A165" s="2">
        <v>120</v>
      </c>
      <c r="B165" s="50" t="s">
        <v>350</v>
      </c>
      <c r="C165" s="3" t="s">
        <v>351</v>
      </c>
      <c r="D165" s="2" t="s">
        <v>228</v>
      </c>
      <c r="E165" s="49">
        <v>0.31</v>
      </c>
      <c r="F165" s="9">
        <v>17500</v>
      </c>
      <c r="G165" s="14">
        <f t="shared" si="13"/>
        <v>5425</v>
      </c>
      <c r="H165" s="47">
        <f t="shared" si="12"/>
        <v>8.2463978400750215E-5</v>
      </c>
      <c r="I165" s="14">
        <f>ROUND(F165*'Прил. 10'!$D$12,2)</f>
        <v>172200</v>
      </c>
      <c r="J165" s="14">
        <f t="shared" si="14"/>
        <v>53382</v>
      </c>
    </row>
    <row r="166" spans="1:10" x14ac:dyDescent="0.25">
      <c r="A166" s="2">
        <v>121</v>
      </c>
      <c r="B166" s="50" t="s">
        <v>352</v>
      </c>
      <c r="C166" s="3" t="s">
        <v>353</v>
      </c>
      <c r="D166" s="2" t="s">
        <v>218</v>
      </c>
      <c r="E166" s="49">
        <v>487.5</v>
      </c>
      <c r="F166" s="9">
        <v>9.36</v>
      </c>
      <c r="G166" s="14">
        <f t="shared" si="13"/>
        <v>4563</v>
      </c>
      <c r="H166" s="47">
        <f t="shared" si="12"/>
        <v>6.9360946256704747E-5</v>
      </c>
      <c r="I166" s="14">
        <f>ROUND(F166*'Прил. 10'!$D$12,2)</f>
        <v>92.1</v>
      </c>
      <c r="J166" s="14">
        <f t="shared" si="14"/>
        <v>44898.75</v>
      </c>
    </row>
    <row r="167" spans="1:10" x14ac:dyDescent="0.25">
      <c r="A167" s="2">
        <v>122</v>
      </c>
      <c r="B167" s="50" t="s">
        <v>354</v>
      </c>
      <c r="C167" s="3" t="s">
        <v>355</v>
      </c>
      <c r="D167" s="2" t="s">
        <v>218</v>
      </c>
      <c r="E167" s="49">
        <v>202.5</v>
      </c>
      <c r="F167" s="9">
        <v>21.5</v>
      </c>
      <c r="G167" s="14">
        <f t="shared" si="13"/>
        <v>4353.75</v>
      </c>
      <c r="H167" s="47">
        <f t="shared" si="12"/>
        <v>6.6180192804104381E-5</v>
      </c>
      <c r="I167" s="14">
        <f>ROUND(F167*'Прил. 10'!$D$12,2)</f>
        <v>211.56</v>
      </c>
      <c r="J167" s="14">
        <f t="shared" si="14"/>
        <v>42840.9</v>
      </c>
    </row>
    <row r="168" spans="1:10" x14ac:dyDescent="0.25">
      <c r="A168" s="2">
        <v>123</v>
      </c>
      <c r="B168" s="50" t="s">
        <v>356</v>
      </c>
      <c r="C168" s="3" t="s">
        <v>357</v>
      </c>
      <c r="D168" s="2" t="s">
        <v>218</v>
      </c>
      <c r="E168" s="49">
        <v>7.33</v>
      </c>
      <c r="F168" s="9">
        <v>585.47</v>
      </c>
      <c r="G168" s="14">
        <f t="shared" si="13"/>
        <v>4291.5</v>
      </c>
      <c r="H168" s="47">
        <f t="shared" si="12"/>
        <v>6.5233947153330786E-5</v>
      </c>
      <c r="I168" s="14">
        <f>ROUND(F168*'Прил. 10'!$D$12,2)</f>
        <v>5761.02</v>
      </c>
      <c r="J168" s="14">
        <f t="shared" si="14"/>
        <v>42228.28</v>
      </c>
    </row>
    <row r="169" spans="1:10" x14ac:dyDescent="0.25">
      <c r="A169" s="2">
        <v>124</v>
      </c>
      <c r="B169" s="50" t="s">
        <v>358</v>
      </c>
      <c r="C169" s="3" t="s">
        <v>359</v>
      </c>
      <c r="D169" s="2" t="s">
        <v>218</v>
      </c>
      <c r="E169" s="49">
        <v>7.8</v>
      </c>
      <c r="F169" s="9">
        <v>527.21</v>
      </c>
      <c r="G169" s="14">
        <f t="shared" si="13"/>
        <v>4112.24</v>
      </c>
      <c r="H169" s="47">
        <f t="shared" si="12"/>
        <v>6.2509063693769775E-5</v>
      </c>
      <c r="I169" s="14">
        <f>ROUND(F169*'Прил. 10'!$D$12,2)</f>
        <v>5187.75</v>
      </c>
      <c r="J169" s="14">
        <f t="shared" si="14"/>
        <v>40464.449999999997</v>
      </c>
    </row>
    <row r="170" spans="1:10" x14ac:dyDescent="0.25">
      <c r="A170" s="2">
        <v>125</v>
      </c>
      <c r="B170" s="50" t="s">
        <v>360</v>
      </c>
      <c r="C170" s="3" t="s">
        <v>361</v>
      </c>
      <c r="D170" s="2" t="s">
        <v>218</v>
      </c>
      <c r="E170" s="49">
        <v>151.5</v>
      </c>
      <c r="F170" s="9">
        <v>25.36</v>
      </c>
      <c r="G170" s="14">
        <f t="shared" si="13"/>
        <v>3842.04</v>
      </c>
      <c r="H170" s="47">
        <f t="shared" si="12"/>
        <v>5.8401825543745315E-5</v>
      </c>
      <c r="I170" s="14">
        <f>ROUND(F170*'Прил. 10'!$D$12,2)</f>
        <v>249.54</v>
      </c>
      <c r="J170" s="14">
        <f t="shared" si="14"/>
        <v>37805.31</v>
      </c>
    </row>
    <row r="171" spans="1:10" x14ac:dyDescent="0.25">
      <c r="A171" s="2">
        <v>126</v>
      </c>
      <c r="B171" s="50" t="s">
        <v>362</v>
      </c>
      <c r="C171" s="3" t="s">
        <v>363</v>
      </c>
      <c r="D171" s="2" t="s">
        <v>218</v>
      </c>
      <c r="E171" s="49">
        <v>37.5</v>
      </c>
      <c r="F171" s="9">
        <v>89.98</v>
      </c>
      <c r="G171" s="14">
        <f t="shared" si="13"/>
        <v>3374.25</v>
      </c>
      <c r="H171" s="47">
        <f t="shared" si="12"/>
        <v>5.129107449193206E-5</v>
      </c>
      <c r="I171" s="14">
        <f>ROUND(F171*'Прил. 10'!$D$12,2)</f>
        <v>885.4</v>
      </c>
      <c r="J171" s="14">
        <f t="shared" si="14"/>
        <v>33202.5</v>
      </c>
    </row>
    <row r="172" spans="1:10" x14ac:dyDescent="0.25">
      <c r="A172" s="2">
        <v>127</v>
      </c>
      <c r="B172" s="50" t="s">
        <v>364</v>
      </c>
      <c r="C172" s="3" t="s">
        <v>365</v>
      </c>
      <c r="D172" s="2" t="s">
        <v>289</v>
      </c>
      <c r="E172" s="49">
        <v>299.83999999999997</v>
      </c>
      <c r="F172" s="9">
        <v>10.57</v>
      </c>
      <c r="G172" s="14">
        <f t="shared" si="13"/>
        <v>3169.31</v>
      </c>
      <c r="H172" s="47">
        <f t="shared" si="12"/>
        <v>4.8175836200051915E-5</v>
      </c>
      <c r="I172" s="14">
        <f>ROUND(F172*'Прил. 10'!$D$12,2)</f>
        <v>104.01</v>
      </c>
      <c r="J172" s="14">
        <f t="shared" si="14"/>
        <v>31186.36</v>
      </c>
    </row>
    <row r="173" spans="1:10" x14ac:dyDescent="0.25">
      <c r="A173" s="2">
        <v>128</v>
      </c>
      <c r="B173" s="50" t="s">
        <v>366</v>
      </c>
      <c r="C173" s="3" t="s">
        <v>367</v>
      </c>
      <c r="D173" s="2" t="s">
        <v>218</v>
      </c>
      <c r="E173" s="49">
        <v>114</v>
      </c>
      <c r="F173" s="9">
        <v>27.04</v>
      </c>
      <c r="G173" s="14">
        <f t="shared" si="13"/>
        <v>3082.56</v>
      </c>
      <c r="H173" s="47">
        <f t="shared" si="12"/>
        <v>4.6857172582307205E-5</v>
      </c>
      <c r="I173" s="14">
        <f>ROUND(F173*'Прил. 10'!$D$12,2)</f>
        <v>266.07</v>
      </c>
      <c r="J173" s="14">
        <f t="shared" si="14"/>
        <v>30331.98</v>
      </c>
    </row>
    <row r="174" spans="1:10" ht="25.5" x14ac:dyDescent="0.25">
      <c r="A174" s="2">
        <v>129</v>
      </c>
      <c r="B174" s="50" t="s">
        <v>368</v>
      </c>
      <c r="C174" s="3" t="s">
        <v>369</v>
      </c>
      <c r="D174" s="2" t="s">
        <v>370</v>
      </c>
      <c r="E174" s="49">
        <v>2569.77</v>
      </c>
      <c r="F174" s="9">
        <v>1</v>
      </c>
      <c r="G174" s="14">
        <f t="shared" si="13"/>
        <v>2569.77</v>
      </c>
      <c r="H174" s="47">
        <f t="shared" ref="H174:H201" si="15">G174/$G$203</f>
        <v>3.9062388529934726E-5</v>
      </c>
      <c r="I174" s="14">
        <f>ROUND(F174*'Прил. 10'!$D$12,2)</f>
        <v>9.84</v>
      </c>
      <c r="J174" s="14">
        <f t="shared" si="14"/>
        <v>25286.54</v>
      </c>
    </row>
    <row r="175" spans="1:10" x14ac:dyDescent="0.25">
      <c r="A175" s="2">
        <v>130</v>
      </c>
      <c r="B175" s="50" t="s">
        <v>371</v>
      </c>
      <c r="C175" s="3" t="s">
        <v>372</v>
      </c>
      <c r="D175" s="2" t="s">
        <v>228</v>
      </c>
      <c r="E175" s="49">
        <v>0.25</v>
      </c>
      <c r="F175" s="9">
        <v>10200</v>
      </c>
      <c r="G175" s="14">
        <f t="shared" si="13"/>
        <v>2550</v>
      </c>
      <c r="H175" s="47">
        <f t="shared" si="15"/>
        <v>3.8761870031689038E-5</v>
      </c>
      <c r="I175" s="14">
        <f>ROUND(F175*'Прил. 10'!$D$12,2)</f>
        <v>100368</v>
      </c>
      <c r="J175" s="14">
        <f t="shared" si="14"/>
        <v>25092</v>
      </c>
    </row>
    <row r="176" spans="1:10" x14ac:dyDescent="0.25">
      <c r="A176" s="2">
        <v>131</v>
      </c>
      <c r="B176" s="50" t="s">
        <v>373</v>
      </c>
      <c r="C176" s="3" t="s">
        <v>374</v>
      </c>
      <c r="D176" s="2" t="s">
        <v>375</v>
      </c>
      <c r="E176" s="49">
        <v>28.64</v>
      </c>
      <c r="F176" s="9">
        <v>79.099999999999994</v>
      </c>
      <c r="G176" s="14">
        <f t="shared" si="13"/>
        <v>2265.42</v>
      </c>
      <c r="H176" s="47">
        <f t="shared" si="15"/>
        <v>3.4436045336152543E-5</v>
      </c>
      <c r="I176" s="14">
        <f>ROUND(F176*'Прил. 10'!$D$12,2)</f>
        <v>778.34</v>
      </c>
      <c r="J176" s="14">
        <f t="shared" si="14"/>
        <v>22291.66</v>
      </c>
    </row>
    <row r="177" spans="1:10" ht="25.5" x14ac:dyDescent="0.25">
      <c r="A177" s="2">
        <v>132</v>
      </c>
      <c r="B177" s="50" t="s">
        <v>376</v>
      </c>
      <c r="C177" s="3" t="s">
        <v>377</v>
      </c>
      <c r="D177" s="2" t="s">
        <v>223</v>
      </c>
      <c r="E177" s="49">
        <v>3.12</v>
      </c>
      <c r="F177" s="9">
        <v>558.33000000000004</v>
      </c>
      <c r="G177" s="14">
        <f t="shared" si="13"/>
        <v>1741.99</v>
      </c>
      <c r="H177" s="47">
        <f t="shared" si="15"/>
        <v>2.6479525480981172E-5</v>
      </c>
      <c r="I177" s="14">
        <f>ROUND(F177*'Прил. 10'!$D$12,2)</f>
        <v>5493.97</v>
      </c>
      <c r="J177" s="14">
        <f t="shared" si="14"/>
        <v>17141.189999999999</v>
      </c>
    </row>
    <row r="178" spans="1:10" x14ac:dyDescent="0.25">
      <c r="A178" s="2">
        <v>133</v>
      </c>
      <c r="B178" s="50" t="s">
        <v>221</v>
      </c>
      <c r="C178" s="3" t="s">
        <v>378</v>
      </c>
      <c r="D178" s="2" t="s">
        <v>218</v>
      </c>
      <c r="E178" s="49">
        <v>202.5</v>
      </c>
      <c r="F178" s="9">
        <v>7.51</v>
      </c>
      <c r="G178" s="14">
        <f t="shared" si="13"/>
        <v>1520.78</v>
      </c>
      <c r="H178" s="47">
        <f t="shared" si="15"/>
        <v>2.3116971257565514E-5</v>
      </c>
      <c r="I178" s="14">
        <f>ROUND(F178*'Прил. 10'!$D$12,2)</f>
        <v>73.900000000000006</v>
      </c>
      <c r="J178" s="14">
        <f t="shared" si="14"/>
        <v>14964.75</v>
      </c>
    </row>
    <row r="179" spans="1:10" ht="25.5" x14ac:dyDescent="0.25">
      <c r="A179" s="2">
        <v>134</v>
      </c>
      <c r="B179" s="50" t="s">
        <v>379</v>
      </c>
      <c r="C179" s="3" t="s">
        <v>380</v>
      </c>
      <c r="D179" s="2" t="s">
        <v>223</v>
      </c>
      <c r="E179" s="49">
        <v>2.76</v>
      </c>
      <c r="F179" s="9">
        <v>550</v>
      </c>
      <c r="G179" s="14">
        <f t="shared" si="13"/>
        <v>1518</v>
      </c>
      <c r="H179" s="47">
        <f t="shared" si="15"/>
        <v>2.3074713218864301E-5</v>
      </c>
      <c r="I179" s="14">
        <f>ROUND(F179*'Прил. 10'!$D$12,2)</f>
        <v>5412</v>
      </c>
      <c r="J179" s="14">
        <f t="shared" si="14"/>
        <v>14937.12</v>
      </c>
    </row>
    <row r="180" spans="1:10" x14ac:dyDescent="0.25">
      <c r="A180" s="2">
        <v>135</v>
      </c>
      <c r="B180" s="50" t="s">
        <v>381</v>
      </c>
      <c r="C180" s="3" t="s">
        <v>382</v>
      </c>
      <c r="D180" s="2" t="s">
        <v>218</v>
      </c>
      <c r="E180" s="49">
        <v>37.5</v>
      </c>
      <c r="F180" s="9">
        <v>35.75</v>
      </c>
      <c r="G180" s="14">
        <f t="shared" si="13"/>
        <v>1340.63</v>
      </c>
      <c r="H180" s="47">
        <f t="shared" si="15"/>
        <v>2.0378559145326777E-5</v>
      </c>
      <c r="I180" s="14">
        <f>ROUND(F180*'Прил. 10'!$D$12,2)</f>
        <v>351.78</v>
      </c>
      <c r="J180" s="14">
        <f t="shared" si="14"/>
        <v>13191.75</v>
      </c>
    </row>
    <row r="181" spans="1:10" x14ac:dyDescent="0.25">
      <c r="A181" s="2">
        <v>136</v>
      </c>
      <c r="B181" s="50" t="s">
        <v>383</v>
      </c>
      <c r="C181" s="3" t="s">
        <v>384</v>
      </c>
      <c r="D181" s="2" t="s">
        <v>218</v>
      </c>
      <c r="E181" s="49">
        <v>19.5</v>
      </c>
      <c r="F181" s="9">
        <v>62.08</v>
      </c>
      <c r="G181" s="14">
        <f t="shared" si="13"/>
        <v>1210.56</v>
      </c>
      <c r="H181" s="47">
        <f t="shared" si="15"/>
        <v>1.8401399759043717E-5</v>
      </c>
      <c r="I181" s="14">
        <f>ROUND(F181*'Прил. 10'!$D$12,2)</f>
        <v>610.87</v>
      </c>
      <c r="J181" s="14">
        <f t="shared" si="14"/>
        <v>11911.97</v>
      </c>
    </row>
    <row r="182" spans="1:10" x14ac:dyDescent="0.25">
      <c r="A182" s="2">
        <v>137</v>
      </c>
      <c r="B182" s="50" t="s">
        <v>385</v>
      </c>
      <c r="C182" s="3" t="s">
        <v>386</v>
      </c>
      <c r="D182" s="2" t="s">
        <v>218</v>
      </c>
      <c r="E182" s="49">
        <v>19.5</v>
      </c>
      <c r="F182" s="9">
        <v>45.25</v>
      </c>
      <c r="G182" s="14">
        <f t="shared" si="13"/>
        <v>882.38</v>
      </c>
      <c r="H182" s="47">
        <f t="shared" si="15"/>
        <v>1.3412823089632069E-5</v>
      </c>
      <c r="I182" s="14">
        <f>ROUND(F182*'Прил. 10'!$D$12,2)</f>
        <v>445.26</v>
      </c>
      <c r="J182" s="14">
        <f t="shared" si="14"/>
        <v>8682.57</v>
      </c>
    </row>
    <row r="183" spans="1:10" x14ac:dyDescent="0.25">
      <c r="A183" s="2">
        <v>138</v>
      </c>
      <c r="B183" s="50" t="s">
        <v>387</v>
      </c>
      <c r="C183" s="3" t="s">
        <v>388</v>
      </c>
      <c r="D183" s="2" t="s">
        <v>389</v>
      </c>
      <c r="E183" s="49">
        <v>0.48</v>
      </c>
      <c r="F183" s="9">
        <v>1490</v>
      </c>
      <c r="G183" s="14">
        <f t="shared" si="13"/>
        <v>715.2</v>
      </c>
      <c r="H183" s="47">
        <f t="shared" si="15"/>
        <v>1.0871564488887845E-5</v>
      </c>
      <c r="I183" s="14">
        <f>ROUND(F183*'Прил. 10'!$D$12,2)</f>
        <v>14661.6</v>
      </c>
      <c r="J183" s="14">
        <f t="shared" si="14"/>
        <v>7037.57</v>
      </c>
    </row>
    <row r="184" spans="1:10" x14ac:dyDescent="0.25">
      <c r="A184" s="2">
        <v>139</v>
      </c>
      <c r="B184" s="50" t="s">
        <v>390</v>
      </c>
      <c r="C184" s="3" t="s">
        <v>391</v>
      </c>
      <c r="D184" s="2" t="s">
        <v>228</v>
      </c>
      <c r="E184" s="49">
        <v>0.25</v>
      </c>
      <c r="F184" s="9">
        <v>2607.1</v>
      </c>
      <c r="G184" s="14">
        <f t="shared" si="13"/>
        <v>651.78</v>
      </c>
      <c r="H184" s="47">
        <f t="shared" si="15"/>
        <v>9.9075339800997191E-6</v>
      </c>
      <c r="I184" s="14">
        <f>ROUND(F184*'Прил. 10'!$D$12,2)</f>
        <v>25653.86</v>
      </c>
      <c r="J184" s="14">
        <f t="shared" si="14"/>
        <v>6413.47</v>
      </c>
    </row>
    <row r="185" spans="1:10" x14ac:dyDescent="0.25">
      <c r="A185" s="2">
        <v>140</v>
      </c>
      <c r="B185" s="50" t="s">
        <v>392</v>
      </c>
      <c r="C185" s="3" t="s">
        <v>393</v>
      </c>
      <c r="D185" s="2" t="s">
        <v>218</v>
      </c>
      <c r="E185" s="49">
        <v>19.5</v>
      </c>
      <c r="F185" s="9">
        <v>28.07</v>
      </c>
      <c r="G185" s="14">
        <f t="shared" si="13"/>
        <v>547.37</v>
      </c>
      <c r="H185" s="47">
        <f t="shared" si="15"/>
        <v>8.3204254114688742E-6</v>
      </c>
      <c r="I185" s="14">
        <f>ROUND(F185*'Прил. 10'!$D$12,2)</f>
        <v>276.20999999999998</v>
      </c>
      <c r="J185" s="14">
        <f t="shared" si="14"/>
        <v>5386.1</v>
      </c>
    </row>
    <row r="186" spans="1:10" x14ac:dyDescent="0.25">
      <c r="A186" s="2">
        <v>141</v>
      </c>
      <c r="B186" s="50" t="s">
        <v>394</v>
      </c>
      <c r="C186" s="3" t="s">
        <v>395</v>
      </c>
      <c r="D186" s="2" t="s">
        <v>218</v>
      </c>
      <c r="E186" s="49">
        <v>19.5</v>
      </c>
      <c r="F186" s="9">
        <v>25.55</v>
      </c>
      <c r="G186" s="14">
        <f t="shared" si="13"/>
        <v>498.23</v>
      </c>
      <c r="H186" s="47">
        <f t="shared" si="15"/>
        <v>7.5734613748582081E-6</v>
      </c>
      <c r="I186" s="14">
        <f>ROUND(F186*'Прил. 10'!$D$12,2)</f>
        <v>251.41</v>
      </c>
      <c r="J186" s="14">
        <f t="shared" si="14"/>
        <v>4902.5</v>
      </c>
    </row>
    <row r="187" spans="1:10" x14ac:dyDescent="0.25">
      <c r="A187" s="2">
        <v>142</v>
      </c>
      <c r="B187" s="50" t="s">
        <v>396</v>
      </c>
      <c r="C187" s="3" t="s">
        <v>397</v>
      </c>
      <c r="D187" s="2" t="s">
        <v>289</v>
      </c>
      <c r="E187" s="49">
        <v>10.69</v>
      </c>
      <c r="F187" s="9">
        <v>38.89</v>
      </c>
      <c r="G187" s="14">
        <f t="shared" si="13"/>
        <v>415.73</v>
      </c>
      <c r="H187" s="47">
        <f t="shared" si="15"/>
        <v>6.3194008738329748E-6</v>
      </c>
      <c r="I187" s="14">
        <f>ROUND(F187*'Прил. 10'!$D$12,2)</f>
        <v>382.68</v>
      </c>
      <c r="J187" s="14">
        <f t="shared" si="14"/>
        <v>4090.85</v>
      </c>
    </row>
    <row r="188" spans="1:10" x14ac:dyDescent="0.25">
      <c r="A188" s="2">
        <v>143</v>
      </c>
      <c r="B188" s="50" t="s">
        <v>398</v>
      </c>
      <c r="C188" s="3" t="s">
        <v>399</v>
      </c>
      <c r="D188" s="2" t="s">
        <v>228</v>
      </c>
      <c r="E188" s="49">
        <v>0.06</v>
      </c>
      <c r="F188" s="9">
        <v>6199.99</v>
      </c>
      <c r="G188" s="14">
        <f t="shared" si="13"/>
        <v>372</v>
      </c>
      <c r="H188" s="47">
        <f t="shared" si="15"/>
        <v>5.6546728046228719E-6</v>
      </c>
      <c r="I188" s="14">
        <f>ROUND(F188*'Прил. 10'!$D$12,2)</f>
        <v>61007.9</v>
      </c>
      <c r="J188" s="14">
        <f t="shared" si="14"/>
        <v>3660.47</v>
      </c>
    </row>
    <row r="189" spans="1:10" x14ac:dyDescent="0.25">
      <c r="A189" s="2">
        <v>144</v>
      </c>
      <c r="B189" s="50" t="s">
        <v>400</v>
      </c>
      <c r="C189" s="3" t="s">
        <v>401</v>
      </c>
      <c r="D189" s="2" t="s">
        <v>228</v>
      </c>
      <c r="E189" s="49">
        <v>0.02</v>
      </c>
      <c r="F189" s="9">
        <v>11976.84</v>
      </c>
      <c r="G189" s="14">
        <f t="shared" si="13"/>
        <v>239.54</v>
      </c>
      <c r="H189" s="47">
        <f t="shared" si="15"/>
        <v>3.6411836656434481E-6</v>
      </c>
      <c r="I189" s="14">
        <f>ROUND(F189*'Прил. 10'!$D$12,2)</f>
        <v>117852.11</v>
      </c>
      <c r="J189" s="14">
        <f t="shared" si="14"/>
        <v>2357.04</v>
      </c>
    </row>
    <row r="190" spans="1:10" x14ac:dyDescent="0.25">
      <c r="A190" s="2">
        <v>145</v>
      </c>
      <c r="B190" s="50" t="s">
        <v>402</v>
      </c>
      <c r="C190" s="3" t="s">
        <v>403</v>
      </c>
      <c r="D190" s="2" t="s">
        <v>228</v>
      </c>
      <c r="E190" s="49">
        <v>0.04</v>
      </c>
      <c r="F190" s="9">
        <v>4487.5</v>
      </c>
      <c r="G190" s="14">
        <f t="shared" si="13"/>
        <v>179.5</v>
      </c>
      <c r="H190" s="47">
        <f t="shared" si="15"/>
        <v>2.7285316355639934E-6</v>
      </c>
      <c r="I190" s="14">
        <f>ROUND(F190*'Прил. 10'!$D$12,2)</f>
        <v>44157</v>
      </c>
      <c r="J190" s="14">
        <f t="shared" si="14"/>
        <v>1766.28</v>
      </c>
    </row>
    <row r="191" spans="1:10" x14ac:dyDescent="0.25">
      <c r="A191" s="2">
        <v>146</v>
      </c>
      <c r="B191" s="50" t="s">
        <v>404</v>
      </c>
      <c r="C191" s="3" t="s">
        <v>405</v>
      </c>
      <c r="D191" s="2" t="s">
        <v>389</v>
      </c>
      <c r="E191" s="49">
        <v>1.08</v>
      </c>
      <c r="F191" s="9">
        <v>63</v>
      </c>
      <c r="G191" s="14">
        <f t="shared" si="13"/>
        <v>68.040000000000006</v>
      </c>
      <c r="H191" s="47">
        <f t="shared" si="15"/>
        <v>1.0342578968455383E-6</v>
      </c>
      <c r="I191" s="14">
        <f>ROUND(F191*'Прил. 10'!$D$12,2)</f>
        <v>619.91999999999996</v>
      </c>
      <c r="J191" s="14">
        <f t="shared" si="14"/>
        <v>669.51</v>
      </c>
    </row>
    <row r="192" spans="1:10" x14ac:dyDescent="0.25">
      <c r="A192" s="2">
        <v>147</v>
      </c>
      <c r="B192" s="50" t="s">
        <v>406</v>
      </c>
      <c r="C192" s="3" t="s">
        <v>407</v>
      </c>
      <c r="D192" s="2" t="s">
        <v>289</v>
      </c>
      <c r="E192" s="49">
        <v>7.2</v>
      </c>
      <c r="F192" s="9">
        <v>6.07</v>
      </c>
      <c r="G192" s="14">
        <f t="shared" si="13"/>
        <v>43.7</v>
      </c>
      <c r="H192" s="47">
        <f t="shared" si="15"/>
        <v>6.6427204720972988E-7</v>
      </c>
      <c r="I192" s="14">
        <f>ROUND(F192*'Прил. 10'!$D$12,2)</f>
        <v>59.73</v>
      </c>
      <c r="J192" s="14">
        <f t="shared" si="14"/>
        <v>430.06</v>
      </c>
    </row>
    <row r="193" spans="1:12" ht="38.25" x14ac:dyDescent="0.25">
      <c r="A193" s="2">
        <v>148</v>
      </c>
      <c r="B193" s="50" t="s">
        <v>408</v>
      </c>
      <c r="C193" s="3" t="s">
        <v>409</v>
      </c>
      <c r="D193" s="2" t="s">
        <v>223</v>
      </c>
      <c r="E193" s="49">
        <v>0.62</v>
      </c>
      <c r="F193" s="9">
        <v>55.26</v>
      </c>
      <c r="G193" s="14">
        <f t="shared" ref="G193:G201" si="16">ROUND(F193*E193,2)</f>
        <v>34.26</v>
      </c>
      <c r="H193" s="47">
        <f t="shared" si="15"/>
        <v>5.2077712442575156E-7</v>
      </c>
      <c r="I193" s="14">
        <f>ROUND(F193*'Прил. 10'!$D$12,2)</f>
        <v>543.76</v>
      </c>
      <c r="J193" s="14">
        <f t="shared" ref="J193:J201" si="17">ROUND(I193*E193,2)</f>
        <v>337.13</v>
      </c>
    </row>
    <row r="194" spans="1:12" x14ac:dyDescent="0.25">
      <c r="A194" s="2">
        <v>149</v>
      </c>
      <c r="B194" s="50" t="s">
        <v>410</v>
      </c>
      <c r="C194" s="3" t="s">
        <v>411</v>
      </c>
      <c r="D194" s="2" t="s">
        <v>289</v>
      </c>
      <c r="E194" s="49">
        <v>0.81</v>
      </c>
      <c r="F194" s="9">
        <v>36</v>
      </c>
      <c r="G194" s="14">
        <f t="shared" si="16"/>
        <v>29.16</v>
      </c>
      <c r="H194" s="47">
        <f t="shared" si="15"/>
        <v>4.432533843623735E-7</v>
      </c>
      <c r="I194" s="14">
        <f>ROUND(F194*'Прил. 10'!$D$12,2)</f>
        <v>354.24</v>
      </c>
      <c r="J194" s="14">
        <f t="shared" si="17"/>
        <v>286.93</v>
      </c>
    </row>
    <row r="195" spans="1:12" ht="25.5" x14ac:dyDescent="0.25">
      <c r="A195" s="2">
        <v>150</v>
      </c>
      <c r="B195" s="50" t="s">
        <v>412</v>
      </c>
      <c r="C195" s="3" t="s">
        <v>413</v>
      </c>
      <c r="D195" s="2" t="s">
        <v>289</v>
      </c>
      <c r="E195" s="49">
        <v>0.54</v>
      </c>
      <c r="F195" s="9">
        <v>30</v>
      </c>
      <c r="G195" s="14">
        <f t="shared" si="16"/>
        <v>16.2</v>
      </c>
      <c r="H195" s="47">
        <f t="shared" si="15"/>
        <v>2.4625188020131862E-7</v>
      </c>
      <c r="I195" s="14">
        <f>ROUND(F195*'Прил. 10'!$D$12,2)</f>
        <v>295.2</v>
      </c>
      <c r="J195" s="14">
        <f t="shared" si="17"/>
        <v>159.41</v>
      </c>
    </row>
    <row r="196" spans="1:12" x14ac:dyDescent="0.25">
      <c r="A196" s="2">
        <v>151</v>
      </c>
      <c r="B196" s="50" t="s">
        <v>414</v>
      </c>
      <c r="C196" s="3" t="s">
        <v>415</v>
      </c>
      <c r="D196" s="2" t="s">
        <v>416</v>
      </c>
      <c r="E196" s="49">
        <v>1.5</v>
      </c>
      <c r="F196" s="9">
        <v>10.09</v>
      </c>
      <c r="G196" s="14">
        <f t="shared" si="16"/>
        <v>15.14</v>
      </c>
      <c r="H196" s="47">
        <f t="shared" si="15"/>
        <v>2.3013910285481259E-7</v>
      </c>
      <c r="I196" s="14">
        <f>ROUND(F196*'Прил. 10'!$D$12,2)</f>
        <v>99.29</v>
      </c>
      <c r="J196" s="14">
        <f t="shared" si="17"/>
        <v>148.94</v>
      </c>
    </row>
    <row r="197" spans="1:12" x14ac:dyDescent="0.25">
      <c r="A197" s="2">
        <v>152</v>
      </c>
      <c r="B197" s="50" t="s">
        <v>417</v>
      </c>
      <c r="C197" s="3" t="s">
        <v>418</v>
      </c>
      <c r="D197" s="2" t="s">
        <v>419</v>
      </c>
      <c r="E197" s="49">
        <v>1.1499999999999999</v>
      </c>
      <c r="F197" s="9">
        <v>7.08</v>
      </c>
      <c r="G197" s="14">
        <f t="shared" si="16"/>
        <v>8.14</v>
      </c>
      <c r="H197" s="47">
        <f t="shared" si="15"/>
        <v>1.2373396943448974E-7</v>
      </c>
      <c r="I197" s="14">
        <f>ROUND(F197*'Прил. 10'!$D$12,2)</f>
        <v>69.67</v>
      </c>
      <c r="J197" s="14">
        <f t="shared" si="17"/>
        <v>80.12</v>
      </c>
    </row>
    <row r="198" spans="1:12" x14ac:dyDescent="0.25">
      <c r="A198" s="2">
        <v>153</v>
      </c>
      <c r="B198" s="50" t="s">
        <v>420</v>
      </c>
      <c r="C198" s="3" t="s">
        <v>421</v>
      </c>
      <c r="D198" s="2" t="s">
        <v>289</v>
      </c>
      <c r="E198" s="49">
        <v>0.11</v>
      </c>
      <c r="F198" s="9">
        <v>45</v>
      </c>
      <c r="G198" s="14">
        <f t="shared" si="16"/>
        <v>4.95</v>
      </c>
      <c r="H198" s="47">
        <f t="shared" si="15"/>
        <v>7.5243630061514024E-8</v>
      </c>
      <c r="I198" s="14">
        <f>ROUND(F198*'Прил. 10'!$D$12,2)</f>
        <v>442.8</v>
      </c>
      <c r="J198" s="14">
        <f t="shared" si="17"/>
        <v>48.71</v>
      </c>
    </row>
    <row r="199" spans="1:12" ht="25.5" x14ac:dyDescent="0.25">
      <c r="A199" s="2">
        <v>154</v>
      </c>
      <c r="B199" s="50" t="s">
        <v>422</v>
      </c>
      <c r="C199" s="3" t="s">
        <v>423</v>
      </c>
      <c r="D199" s="2" t="s">
        <v>289</v>
      </c>
      <c r="E199" s="49">
        <v>0.19</v>
      </c>
      <c r="F199" s="9">
        <v>24.46</v>
      </c>
      <c r="G199" s="14">
        <f t="shared" si="16"/>
        <v>4.6500000000000004</v>
      </c>
      <c r="H199" s="47">
        <f t="shared" si="15"/>
        <v>7.0683410057785901E-8</v>
      </c>
      <c r="I199" s="14">
        <f>ROUND(F199*'Прил. 10'!$D$12,2)</f>
        <v>240.69</v>
      </c>
      <c r="J199" s="14">
        <f t="shared" si="17"/>
        <v>45.73</v>
      </c>
    </row>
    <row r="200" spans="1:12" x14ac:dyDescent="0.25">
      <c r="A200" s="2">
        <v>155</v>
      </c>
      <c r="B200" s="50" t="s">
        <v>424</v>
      </c>
      <c r="C200" s="3" t="s">
        <v>425</v>
      </c>
      <c r="D200" s="2" t="s">
        <v>228</v>
      </c>
      <c r="E200" s="49">
        <v>0</v>
      </c>
      <c r="F200" s="9">
        <v>8000</v>
      </c>
      <c r="G200" s="14">
        <f t="shared" si="16"/>
        <v>0</v>
      </c>
      <c r="H200" s="47">
        <f t="shared" si="15"/>
        <v>0</v>
      </c>
      <c r="I200" s="14">
        <f>ROUND(F200*'Прил. 10'!$D$12,2)</f>
        <v>78720</v>
      </c>
      <c r="J200" s="14">
        <f t="shared" si="17"/>
        <v>0</v>
      </c>
    </row>
    <row r="201" spans="1:12" x14ac:dyDescent="0.25">
      <c r="A201" s="2">
        <v>156</v>
      </c>
      <c r="B201" s="50" t="s">
        <v>426</v>
      </c>
      <c r="C201" s="3" t="s">
        <v>427</v>
      </c>
      <c r="D201" s="2" t="s">
        <v>289</v>
      </c>
      <c r="E201" s="49">
        <v>1.02</v>
      </c>
      <c r="F201" s="9">
        <v>1.8</v>
      </c>
      <c r="G201" s="14">
        <f t="shared" si="16"/>
        <v>1.84</v>
      </c>
      <c r="H201" s="47">
        <f t="shared" si="15"/>
        <v>2.7969349356199151E-8</v>
      </c>
      <c r="I201" s="14">
        <f>ROUND(F201*'Прил. 10'!$D$12,2)</f>
        <v>17.71</v>
      </c>
      <c r="J201" s="14">
        <f t="shared" si="17"/>
        <v>18.059999999999999</v>
      </c>
    </row>
    <row r="202" spans="1:12" x14ac:dyDescent="0.25">
      <c r="A202" s="2"/>
      <c r="B202" s="2"/>
      <c r="C202" s="3" t="s">
        <v>497</v>
      </c>
      <c r="D202" s="2"/>
      <c r="E202" s="52"/>
      <c r="F202" s="4"/>
      <c r="G202" s="14">
        <f>SUM(G97:G201)</f>
        <v>8231256.2800000021</v>
      </c>
      <c r="H202" s="47">
        <f>G202/G203</f>
        <v>0.1251211318128958</v>
      </c>
      <c r="I202" s="14"/>
      <c r="J202" s="14">
        <f>SUM(J97:J201)</f>
        <v>80995547.809999973</v>
      </c>
      <c r="L202" s="100"/>
    </row>
    <row r="203" spans="1:12" x14ac:dyDescent="0.25">
      <c r="A203" s="2"/>
      <c r="B203" s="2"/>
      <c r="C203" s="5" t="s">
        <v>498</v>
      </c>
      <c r="D203" s="2"/>
      <c r="E203" s="52"/>
      <c r="F203" s="4"/>
      <c r="G203" s="14">
        <f>G96+G202</f>
        <v>65786299.730000004</v>
      </c>
      <c r="H203" s="47">
        <f>H202+H96</f>
        <v>1</v>
      </c>
      <c r="I203" s="4"/>
      <c r="J203" s="14">
        <f>J96+J202</f>
        <v>647336938.07999992</v>
      </c>
      <c r="K203" s="48"/>
    </row>
    <row r="204" spans="1:12" x14ac:dyDescent="0.25">
      <c r="A204" s="2"/>
      <c r="B204" s="2"/>
      <c r="C204" s="3" t="s">
        <v>499</v>
      </c>
      <c r="D204" s="2"/>
      <c r="E204" s="52"/>
      <c r="F204" s="4"/>
      <c r="G204" s="14">
        <f>G16+G69+G203</f>
        <v>74504072.640000001</v>
      </c>
      <c r="H204" s="47"/>
      <c r="I204" s="4"/>
      <c r="J204" s="14">
        <f>J16+J69+J203</f>
        <v>785956584.92999995</v>
      </c>
    </row>
    <row r="205" spans="1:12" x14ac:dyDescent="0.25">
      <c r="A205" s="2"/>
      <c r="B205" s="2"/>
      <c r="C205" s="3" t="s">
        <v>500</v>
      </c>
      <c r="D205" s="2" t="s">
        <v>501</v>
      </c>
      <c r="E205" s="58">
        <f>ROUND(G205/(G16+G18),2)</f>
        <v>0.94</v>
      </c>
      <c r="F205" s="4"/>
      <c r="G205" s="14">
        <v>1659933.69</v>
      </c>
      <c r="H205" s="47"/>
      <c r="I205" s="4"/>
      <c r="J205" s="14">
        <f>ROUND(E205*(J16+J18),2)</f>
        <v>71965982.760000005</v>
      </c>
      <c r="K205" s="59"/>
    </row>
    <row r="206" spans="1:12" x14ac:dyDescent="0.25">
      <c r="A206" s="2"/>
      <c r="B206" s="2"/>
      <c r="C206" s="3" t="s">
        <v>502</v>
      </c>
      <c r="D206" s="2" t="s">
        <v>501</v>
      </c>
      <c r="E206" s="58">
        <f>ROUND(G206/(G16+G18),2)</f>
        <v>0.48</v>
      </c>
      <c r="F206" s="4"/>
      <c r="G206" s="14">
        <v>847110.17</v>
      </c>
      <c r="H206" s="47"/>
      <c r="I206" s="4"/>
      <c r="J206" s="14">
        <f>ROUND(E206*(J16+J18),2)</f>
        <v>36748586.939999998</v>
      </c>
      <c r="K206" s="59"/>
    </row>
    <row r="207" spans="1:12" x14ac:dyDescent="0.25">
      <c r="A207" s="2"/>
      <c r="B207" s="2"/>
      <c r="C207" s="3" t="s">
        <v>503</v>
      </c>
      <c r="D207" s="2"/>
      <c r="E207" s="52"/>
      <c r="F207" s="4"/>
      <c r="G207" s="14">
        <f>G16+G69+G203+G205+G206</f>
        <v>77011116.5</v>
      </c>
      <c r="H207" s="47"/>
      <c r="I207" s="4"/>
      <c r="J207" s="14">
        <f>J16+J69+J203+J205+J206</f>
        <v>894671154.62999988</v>
      </c>
      <c r="L207" s="60"/>
    </row>
    <row r="208" spans="1:12" x14ac:dyDescent="0.25">
      <c r="A208" s="2"/>
      <c r="B208" s="2"/>
      <c r="C208" s="3" t="s">
        <v>504</v>
      </c>
      <c r="D208" s="2"/>
      <c r="E208" s="52"/>
      <c r="F208" s="4"/>
      <c r="G208" s="14">
        <f>G207+G74</f>
        <v>77011116.5</v>
      </c>
      <c r="H208" s="47"/>
      <c r="I208" s="4"/>
      <c r="J208" s="14">
        <f>J207+J74</f>
        <v>894671154.62999988</v>
      </c>
      <c r="L208" s="59"/>
    </row>
    <row r="209" spans="1:12" x14ac:dyDescent="0.25">
      <c r="A209" s="2"/>
      <c r="B209" s="2"/>
      <c r="C209" s="3" t="s">
        <v>464</v>
      </c>
      <c r="D209" s="2" t="s">
        <v>505</v>
      </c>
      <c r="E209" s="61">
        <v>2570.567</v>
      </c>
      <c r="F209" s="4"/>
      <c r="G209" s="14">
        <f>G208/E209</f>
        <v>29958.805391962163</v>
      </c>
      <c r="H209" s="47"/>
      <c r="I209" s="4"/>
      <c r="J209" s="14">
        <f>J208/E209</f>
        <v>348044.28541640809</v>
      </c>
      <c r="L209" s="67"/>
    </row>
    <row r="211" spans="1:12" x14ac:dyDescent="0.25">
      <c r="A211" s="10"/>
    </row>
    <row r="212" spans="1:12" x14ac:dyDescent="0.25">
      <c r="A212" s="6" t="s">
        <v>36</v>
      </c>
    </row>
    <row r="213" spans="1:12" x14ac:dyDescent="0.25">
      <c r="A213" s="65" t="s">
        <v>37</v>
      </c>
    </row>
    <row r="214" spans="1:12" x14ac:dyDescent="0.25">
      <c r="A214" s="6"/>
    </row>
    <row r="215" spans="1:12" x14ac:dyDescent="0.25">
      <c r="A215" s="6" t="s">
        <v>38</v>
      </c>
    </row>
    <row r="216" spans="1:12" x14ac:dyDescent="0.25">
      <c r="A216" s="65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"/>
  <sheetViews>
    <sheetView workbookViewId="0"/>
  </sheetViews>
  <sheetFormatPr defaultRowHeight="15" x14ac:dyDescent="0.25"/>
  <sheetData>
    <row r="1" spans="1:7" x14ac:dyDescent="0.25">
      <c r="A1" s="164" t="s">
        <v>506</v>
      </c>
      <c r="B1" s="164"/>
      <c r="C1" s="164"/>
      <c r="D1" s="164"/>
      <c r="E1" s="164"/>
      <c r="F1" s="164"/>
      <c r="G1" s="164"/>
    </row>
    <row r="2" spans="1:7" x14ac:dyDescent="0.25">
      <c r="A2" s="15"/>
      <c r="B2" s="15"/>
      <c r="C2" s="15"/>
      <c r="D2" s="15"/>
      <c r="E2" s="15"/>
      <c r="F2" s="15"/>
      <c r="G2" s="15"/>
    </row>
    <row r="3" spans="1:7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41" t="s">
        <v>507</v>
      </c>
      <c r="B5" s="141"/>
      <c r="C5" s="141"/>
      <c r="D5" s="141"/>
      <c r="E5" s="141"/>
      <c r="F5" s="141"/>
      <c r="G5" s="141"/>
    </row>
    <row r="6" spans="1:7" ht="409.5" x14ac:dyDescent="0.25">
      <c r="A6" s="166" t="str">
        <f>'Прил.1 Сравнит табл'!B7</f>
        <v>Наименование разрабатываемого показателя УНЦ - Строительно-монтажные работы ВЛ 0,4-750 кВ без опор и провода. Двухцепная, все типы опор за исключением многогранных 220 кВ</v>
      </c>
      <c r="B6" s="166"/>
      <c r="C6" s="166"/>
      <c r="D6" s="166"/>
      <c r="E6" s="166"/>
      <c r="F6" s="166"/>
      <c r="G6" s="166"/>
    </row>
    <row r="7" spans="1:7" x14ac:dyDescent="0.25">
      <c r="A7" s="6"/>
      <c r="B7" s="6"/>
      <c r="C7" s="6"/>
      <c r="D7" s="6"/>
      <c r="E7" s="6"/>
      <c r="F7" s="6"/>
      <c r="G7" s="6"/>
    </row>
    <row r="8" spans="1:7" ht="76.5" x14ac:dyDescent="0.25">
      <c r="A8" s="165" t="s">
        <v>469</v>
      </c>
      <c r="B8" s="165" t="s">
        <v>75</v>
      </c>
      <c r="C8" s="165" t="s">
        <v>430</v>
      </c>
      <c r="D8" s="165" t="s">
        <v>77</v>
      </c>
      <c r="E8" s="158" t="s">
        <v>470</v>
      </c>
      <c r="F8" s="165" t="s">
        <v>79</v>
      </c>
      <c r="G8" s="165"/>
    </row>
    <row r="9" spans="1:7" ht="25.5" x14ac:dyDescent="0.25">
      <c r="A9" s="165"/>
      <c r="B9" s="165"/>
      <c r="C9" s="165"/>
      <c r="D9" s="165"/>
      <c r="E9" s="159"/>
      <c r="F9" s="2" t="s">
        <v>473</v>
      </c>
      <c r="G9" s="2" t="s">
        <v>81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51" x14ac:dyDescent="0.25">
      <c r="A11" s="7"/>
      <c r="B11" s="160" t="s">
        <v>508</v>
      </c>
      <c r="C11" s="161"/>
      <c r="D11" s="161"/>
      <c r="E11" s="161"/>
      <c r="F11" s="161"/>
      <c r="G11" s="162"/>
    </row>
    <row r="12" spans="1:7" ht="63.75" x14ac:dyDescent="0.25">
      <c r="A12" s="2"/>
      <c r="B12" s="5"/>
      <c r="C12" s="3" t="s">
        <v>509</v>
      </c>
      <c r="D12" s="5"/>
      <c r="E12" s="8"/>
      <c r="F12" s="4"/>
      <c r="G12" s="4">
        <v>0</v>
      </c>
    </row>
    <row r="13" spans="1:7" ht="63.75" x14ac:dyDescent="0.25">
      <c r="A13" s="2"/>
      <c r="B13" s="144" t="s">
        <v>510</v>
      </c>
      <c r="C13" s="144"/>
      <c r="D13" s="144"/>
      <c r="E13" s="163"/>
      <c r="F13" s="147"/>
      <c r="G13" s="147"/>
    </row>
    <row r="14" spans="1:7" ht="76.5" x14ac:dyDescent="0.25">
      <c r="A14" s="2"/>
      <c r="B14" s="12"/>
      <c r="C14" s="12" t="s">
        <v>511</v>
      </c>
      <c r="D14" s="12"/>
      <c r="E14" s="13"/>
      <c r="F14" s="4"/>
      <c r="G14" s="14">
        <f>0</f>
        <v>0</v>
      </c>
    </row>
    <row r="15" spans="1:7" ht="51" x14ac:dyDescent="0.25">
      <c r="A15" s="2"/>
      <c r="B15" s="3"/>
      <c r="C15" s="3" t="s">
        <v>512</v>
      </c>
      <c r="D15" s="3"/>
      <c r="E15" s="9"/>
      <c r="F15" s="4"/>
      <c r="G15" s="14">
        <f>G12+G14</f>
        <v>0</v>
      </c>
    </row>
    <row r="16" spans="1:7" x14ac:dyDescent="0.25">
      <c r="A16" s="10"/>
      <c r="B16" s="11"/>
      <c r="C16" s="10"/>
      <c r="D16" s="10"/>
      <c r="E16" s="10"/>
      <c r="F16" s="10"/>
      <c r="G16" s="10"/>
    </row>
    <row r="17" spans="1:7" x14ac:dyDescent="0.25">
      <c r="A17" s="6" t="s">
        <v>36</v>
      </c>
      <c r="B17" s="1"/>
      <c r="C17" s="1"/>
      <c r="D17" s="10"/>
      <c r="E17" s="10"/>
      <c r="F17" s="10"/>
      <c r="G17" s="10"/>
    </row>
    <row r="18" spans="1:7" x14ac:dyDescent="0.25">
      <c r="A18" s="65" t="s">
        <v>37</v>
      </c>
      <c r="B18" s="1"/>
      <c r="C18" s="1"/>
      <c r="D18" s="10"/>
      <c r="E18" s="10"/>
      <c r="F18" s="10"/>
      <c r="G18" s="10"/>
    </row>
    <row r="19" spans="1:7" x14ac:dyDescent="0.25">
      <c r="A19" s="6"/>
      <c r="B19" s="1"/>
      <c r="C19" s="1"/>
      <c r="D19" s="10"/>
      <c r="E19" s="10"/>
      <c r="F19" s="10"/>
      <c r="G19" s="10"/>
    </row>
    <row r="20" spans="1:7" x14ac:dyDescent="0.25">
      <c r="A20" s="6" t="s">
        <v>38</v>
      </c>
      <c r="B20" s="1"/>
      <c r="C20" s="1"/>
      <c r="D20" s="10"/>
      <c r="E20" s="10"/>
      <c r="F20" s="10"/>
      <c r="G20" s="10"/>
    </row>
    <row r="21" spans="1:7" x14ac:dyDescent="0.25">
      <c r="A21" s="65" t="s">
        <v>39</v>
      </c>
      <c r="B21" s="1"/>
      <c r="C21" s="1"/>
      <c r="D21" s="10"/>
      <c r="E21" s="10"/>
      <c r="F21" s="10"/>
      <c r="G21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7"/>
  <sheetViews>
    <sheetView workbookViewId="0"/>
  </sheetViews>
  <sheetFormatPr defaultRowHeight="15" x14ac:dyDescent="0.25"/>
  <sheetData>
    <row r="1" spans="1:4" ht="15.75" x14ac:dyDescent="0.25">
      <c r="A1" s="120"/>
      <c r="B1" s="120"/>
      <c r="C1" s="120"/>
      <c r="D1" s="120" t="s">
        <v>513</v>
      </c>
    </row>
    <row r="2" spans="1:4" ht="15.75" x14ac:dyDescent="0.25">
      <c r="A2" s="120"/>
      <c r="B2" s="120"/>
      <c r="C2" s="120"/>
      <c r="D2" s="120"/>
    </row>
    <row r="3" spans="1:4" ht="15.75" x14ac:dyDescent="0.25">
      <c r="A3" s="120"/>
      <c r="B3" s="121" t="s">
        <v>514</v>
      </c>
      <c r="C3" s="120"/>
      <c r="D3" s="120"/>
    </row>
    <row r="4" spans="1:4" ht="15.75" x14ac:dyDescent="0.25">
      <c r="A4" s="120"/>
      <c r="B4" s="120"/>
      <c r="C4" s="120"/>
      <c r="D4" s="120"/>
    </row>
    <row r="5" spans="1:4" ht="330.75" x14ac:dyDescent="0.25">
      <c r="A5" s="167" t="s">
        <v>515</v>
      </c>
      <c r="B5" s="167"/>
      <c r="C5" s="167"/>
      <c r="D5" s="122" t="str">
        <f>'Прил.5 Расчет СМР и ОБ'!D6:J6</f>
        <v>Строительно-монтажные работы ВЛ 0,4-750 кВ без опор и провода. Двухцепная, все типы опор за исключением многогранных 220 кВ</v>
      </c>
    </row>
    <row r="6" spans="1:4" ht="15.75" x14ac:dyDescent="0.25">
      <c r="A6" s="120" t="s">
        <v>3</v>
      </c>
      <c r="B6" s="120"/>
      <c r="C6" s="120"/>
      <c r="D6" s="120"/>
    </row>
    <row r="7" spans="1:4" ht="15.75" x14ac:dyDescent="0.25">
      <c r="A7" s="120"/>
      <c r="B7" s="120"/>
      <c r="C7" s="120"/>
      <c r="D7" s="120"/>
    </row>
    <row r="8" spans="1:4" ht="126" x14ac:dyDescent="0.25">
      <c r="A8" s="135" t="s">
        <v>516</v>
      </c>
      <c r="B8" s="135" t="s">
        <v>517</v>
      </c>
      <c r="C8" s="135" t="s">
        <v>518</v>
      </c>
      <c r="D8" s="135" t="s">
        <v>519</v>
      </c>
    </row>
    <row r="9" spans="1:4" ht="15.75" x14ac:dyDescent="0.25">
      <c r="A9" s="135"/>
      <c r="B9" s="135"/>
      <c r="C9" s="135"/>
      <c r="D9" s="135"/>
    </row>
    <row r="10" spans="1:4" ht="15.75" x14ac:dyDescent="0.25">
      <c r="A10" s="123">
        <v>1</v>
      </c>
      <c r="B10" s="123">
        <v>2</v>
      </c>
      <c r="C10" s="123">
        <v>3</v>
      </c>
      <c r="D10" s="123">
        <v>4</v>
      </c>
    </row>
    <row r="11" spans="1:4" ht="330.75" x14ac:dyDescent="0.25">
      <c r="A11" s="123" t="s">
        <v>520</v>
      </c>
      <c r="B11" s="123" t="s">
        <v>521</v>
      </c>
      <c r="C11" s="124" t="str">
        <f>D5</f>
        <v>Строительно-монтажные работы ВЛ 0,4-750 кВ без опор и провода. Двухцепная, все типы опор за исключением многогранных 220 кВ</v>
      </c>
      <c r="D11" s="125">
        <f>'Прил.4 РМ'!C41/1000</f>
        <v>382.77083544992206</v>
      </c>
    </row>
    <row r="13" spans="1:4" x14ac:dyDescent="0.25">
      <c r="A13" s="126" t="s">
        <v>36</v>
      </c>
      <c r="B13" s="127"/>
      <c r="C13" s="127"/>
      <c r="D13" s="128"/>
    </row>
    <row r="14" spans="1:4" x14ac:dyDescent="0.25">
      <c r="A14" s="129" t="s">
        <v>37</v>
      </c>
      <c r="B14" s="127"/>
      <c r="C14" s="127"/>
      <c r="D14" s="128"/>
    </row>
    <row r="15" spans="1:4" x14ac:dyDescent="0.25">
      <c r="A15" s="126"/>
      <c r="B15" s="127"/>
      <c r="C15" s="127"/>
      <c r="D15" s="128"/>
    </row>
    <row r="16" spans="1:4" x14ac:dyDescent="0.25">
      <c r="A16" s="126" t="s">
        <v>38</v>
      </c>
      <c r="B16" s="127"/>
      <c r="C16" s="127"/>
      <c r="D16" s="128"/>
    </row>
    <row r="17" spans="1:4" x14ac:dyDescent="0.25">
      <c r="A17" s="129" t="s">
        <v>39</v>
      </c>
      <c r="B17" s="127"/>
      <c r="C17" s="127"/>
      <c r="D17" s="1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E29"/>
  <sheetViews>
    <sheetView workbookViewId="0"/>
  </sheetViews>
  <sheetFormatPr defaultRowHeight="15" x14ac:dyDescent="0.25"/>
  <sheetData>
    <row r="4" spans="2:5" ht="15.75" x14ac:dyDescent="0.25">
      <c r="B4" s="133" t="s">
        <v>522</v>
      </c>
      <c r="C4" s="133"/>
      <c r="D4" s="133"/>
    </row>
    <row r="5" spans="2:5" ht="18.75" x14ac:dyDescent="0.25">
      <c r="B5" s="35"/>
    </row>
    <row r="6" spans="2:5" ht="15.75" x14ac:dyDescent="0.25">
      <c r="B6" s="134" t="s">
        <v>523</v>
      </c>
      <c r="C6" s="134"/>
      <c r="D6" s="134"/>
    </row>
    <row r="7" spans="2:5" x14ac:dyDescent="0.25">
      <c r="B7" s="168"/>
      <c r="C7" s="168"/>
      <c r="D7" s="168"/>
      <c r="E7" s="168"/>
    </row>
    <row r="8" spans="2:5" ht="157.5" x14ac:dyDescent="0.25">
      <c r="B8" s="37" t="s">
        <v>524</v>
      </c>
      <c r="C8" s="37" t="s">
        <v>525</v>
      </c>
      <c r="D8" s="37" t="s">
        <v>526</v>
      </c>
    </row>
    <row r="9" spans="2:5" ht="15.75" x14ac:dyDescent="0.25">
      <c r="B9" s="37">
        <v>1</v>
      </c>
      <c r="C9" s="37">
        <v>2</v>
      </c>
      <c r="D9" s="37">
        <v>3</v>
      </c>
    </row>
    <row r="10" spans="2:5" ht="157.5" x14ac:dyDescent="0.25">
      <c r="B10" s="37" t="s">
        <v>527</v>
      </c>
      <c r="C10" s="37" t="s">
        <v>528</v>
      </c>
      <c r="D10" s="37">
        <v>46.83</v>
      </c>
    </row>
    <row r="11" spans="2:5" ht="157.5" x14ac:dyDescent="0.25">
      <c r="B11" s="37" t="s">
        <v>529</v>
      </c>
      <c r="C11" s="37" t="s">
        <v>528</v>
      </c>
      <c r="D11" s="37">
        <v>11.96</v>
      </c>
    </row>
    <row r="12" spans="2:5" ht="157.5" x14ac:dyDescent="0.25">
      <c r="B12" s="37" t="s">
        <v>530</v>
      </c>
      <c r="C12" s="37" t="s">
        <v>528</v>
      </c>
      <c r="D12" s="37">
        <v>9.84</v>
      </c>
    </row>
    <row r="13" spans="2:5" ht="157.5" x14ac:dyDescent="0.25">
      <c r="B13" s="37" t="s">
        <v>531</v>
      </c>
      <c r="C13" s="38" t="s">
        <v>532</v>
      </c>
      <c r="D13" s="37">
        <v>6.26</v>
      </c>
    </row>
    <row r="14" spans="2:5" ht="393.75" x14ac:dyDescent="0.25">
      <c r="B14" s="37" t="s">
        <v>533</v>
      </c>
      <c r="C14" s="37" t="s">
        <v>534</v>
      </c>
      <c r="D14" s="39">
        <v>3.3000000000000002E-2</v>
      </c>
    </row>
    <row r="15" spans="2:5" ht="409.5" x14ac:dyDescent="0.25">
      <c r="B15" s="37" t="s">
        <v>535</v>
      </c>
      <c r="C15" s="37" t="s">
        <v>536</v>
      </c>
      <c r="D15" s="39">
        <v>0.01</v>
      </c>
    </row>
    <row r="16" spans="2:5" ht="110.25" x14ac:dyDescent="0.25">
      <c r="B16" s="37" t="s">
        <v>537</v>
      </c>
      <c r="C16" s="37" t="s">
        <v>538</v>
      </c>
      <c r="D16" s="39">
        <v>2.1399999999999999E-2</v>
      </c>
    </row>
    <row r="17" spans="2:4" ht="94.5" x14ac:dyDescent="0.25">
      <c r="B17" s="37" t="s">
        <v>460</v>
      </c>
      <c r="C17" s="37" t="s">
        <v>539</v>
      </c>
      <c r="D17" s="39">
        <v>2E-3</v>
      </c>
    </row>
    <row r="18" spans="2:4" ht="94.5" x14ac:dyDescent="0.25">
      <c r="B18" s="37" t="s">
        <v>462</v>
      </c>
      <c r="C18" s="37" t="s">
        <v>540</v>
      </c>
      <c r="D18" s="39">
        <v>0.03</v>
      </c>
    </row>
    <row r="19" spans="2:4" ht="18.75" x14ac:dyDescent="0.25">
      <c r="B19" s="36"/>
    </row>
    <row r="20" spans="2:4" ht="18.75" x14ac:dyDescent="0.25">
      <c r="B20" s="36"/>
    </row>
    <row r="21" spans="2:4" ht="18.75" x14ac:dyDescent="0.25">
      <c r="B21" s="36"/>
    </row>
    <row r="22" spans="2:4" ht="18.75" x14ac:dyDescent="0.25">
      <c r="B22" s="36"/>
    </row>
    <row r="25" spans="2:4" x14ac:dyDescent="0.25">
      <c r="B25" s="6" t="s">
        <v>36</v>
      </c>
      <c r="C25" s="1"/>
    </row>
    <row r="26" spans="2:4" x14ac:dyDescent="0.25">
      <c r="B26" s="65" t="s">
        <v>37</v>
      </c>
      <c r="C26" s="1"/>
    </row>
    <row r="27" spans="2:4" x14ac:dyDescent="0.25">
      <c r="B27" s="6"/>
      <c r="C27" s="1"/>
    </row>
    <row r="28" spans="2:4" x14ac:dyDescent="0.25">
      <c r="B28" s="6" t="s">
        <v>38</v>
      </c>
      <c r="C28" s="1"/>
    </row>
    <row r="29" spans="2:4" x14ac:dyDescent="0.25">
      <c r="B29" s="65" t="s">
        <v>39</v>
      </c>
      <c r="C2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13"/>
  <sheetViews>
    <sheetView workbookViewId="0"/>
  </sheetViews>
  <sheetFormatPr defaultRowHeight="15" x14ac:dyDescent="0.25"/>
  <sheetData>
    <row r="2" spans="1:7" x14ac:dyDescent="0.25">
      <c r="A2" s="169" t="s">
        <v>541</v>
      </c>
      <c r="B2" s="169"/>
      <c r="C2" s="169"/>
      <c r="D2" s="169"/>
      <c r="E2" s="169"/>
      <c r="F2" s="169"/>
    </row>
    <row r="4" spans="1:7" x14ac:dyDescent="0.25">
      <c r="A4" s="20" t="s">
        <v>542</v>
      </c>
    </row>
    <row r="5" spans="1:7" x14ac:dyDescent="0.25">
      <c r="A5" s="21" t="s">
        <v>469</v>
      </c>
      <c r="B5" s="21" t="s">
        <v>543</v>
      </c>
      <c r="C5" s="21" t="s">
        <v>544</v>
      </c>
      <c r="D5" s="21" t="s">
        <v>545</v>
      </c>
      <c r="E5" s="21" t="s">
        <v>546</v>
      </c>
      <c r="F5" s="21" t="s">
        <v>547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409.5" x14ac:dyDescent="0.25">
      <c r="A7" s="22" t="s">
        <v>548</v>
      </c>
      <c r="B7" s="24" t="s">
        <v>549</v>
      </c>
      <c r="C7" s="23" t="s">
        <v>550</v>
      </c>
      <c r="D7" s="23" t="s">
        <v>551</v>
      </c>
      <c r="E7" s="25">
        <v>43361</v>
      </c>
      <c r="F7" s="24" t="s">
        <v>552</v>
      </c>
    </row>
    <row r="8" spans="1:7" ht="180" x14ac:dyDescent="0.25">
      <c r="A8" s="22" t="s">
        <v>553</v>
      </c>
      <c r="B8" s="24" t="s">
        <v>554</v>
      </c>
      <c r="C8" s="23" t="s">
        <v>555</v>
      </c>
      <c r="D8" s="23" t="s">
        <v>556</v>
      </c>
      <c r="E8" s="25">
        <f>1973/12</f>
        <v>164.41666666666666</v>
      </c>
      <c r="F8" s="24" t="s">
        <v>557</v>
      </c>
      <c r="G8" s="26"/>
    </row>
    <row r="9" spans="1:7" ht="60" x14ac:dyDescent="0.25">
      <c r="A9" s="22" t="s">
        <v>558</v>
      </c>
      <c r="B9" s="24" t="s">
        <v>559</v>
      </c>
      <c r="C9" s="23" t="s">
        <v>560</v>
      </c>
      <c r="D9" s="23" t="s">
        <v>551</v>
      </c>
      <c r="E9" s="25">
        <v>1</v>
      </c>
      <c r="F9" s="24"/>
      <c r="G9" s="27"/>
    </row>
    <row r="10" spans="1:7" ht="45" x14ac:dyDescent="0.25">
      <c r="A10" s="22" t="s">
        <v>561</v>
      </c>
      <c r="B10" s="24" t="s">
        <v>562</v>
      </c>
      <c r="C10" s="23"/>
      <c r="D10" s="23"/>
      <c r="E10" s="28">
        <v>2.6</v>
      </c>
      <c r="F10" s="24" t="s">
        <v>563</v>
      </c>
      <c r="G10" s="27"/>
    </row>
    <row r="11" spans="1:7" ht="360" x14ac:dyDescent="0.25">
      <c r="A11" s="22" t="s">
        <v>564</v>
      </c>
      <c r="B11" s="24" t="s">
        <v>565</v>
      </c>
      <c r="C11" s="23" t="s">
        <v>566</v>
      </c>
      <c r="D11" s="23" t="s">
        <v>551</v>
      </c>
      <c r="E11" s="29">
        <v>1.1459999999999999</v>
      </c>
      <c r="F11" s="24" t="s">
        <v>567</v>
      </c>
    </row>
    <row r="12" spans="1:7" ht="360" x14ac:dyDescent="0.25">
      <c r="A12" s="22" t="s">
        <v>568</v>
      </c>
      <c r="B12" s="30" t="s">
        <v>569</v>
      </c>
      <c r="C12" s="23" t="s">
        <v>570</v>
      </c>
      <c r="D12" s="23" t="s">
        <v>551</v>
      </c>
      <c r="E12" s="31">
        <v>1.139</v>
      </c>
      <c r="F12" s="32" t="s">
        <v>571</v>
      </c>
      <c r="G12" s="27" t="s">
        <v>572</v>
      </c>
    </row>
    <row r="13" spans="1:7" ht="345" x14ac:dyDescent="0.25">
      <c r="A13" s="22" t="s">
        <v>573</v>
      </c>
      <c r="B13" s="33" t="s">
        <v>574</v>
      </c>
      <c r="C13" s="23" t="s">
        <v>575</v>
      </c>
      <c r="D13" s="23" t="s">
        <v>576</v>
      </c>
      <c r="E13" s="34">
        <f>((E7*E9/E8)*E11)*E12</f>
        <v>344.24036371414093</v>
      </c>
      <c r="F13" s="24" t="s">
        <v>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ФОТи.тек.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D.Stromov</cp:lastModifiedBy>
  <cp:lastPrinted>2023-11-29T13:16:09Z</cp:lastPrinted>
  <dcterms:created xsi:type="dcterms:W3CDTF">2020-09-30T08:50:27Z</dcterms:created>
  <dcterms:modified xsi:type="dcterms:W3CDTF">2025-01-31T08:31:18Z</dcterms:modified>
  <cp:category/>
</cp:coreProperties>
</file>