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'Прил.3'!$A$1:$H$157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00"/>
    <numFmt numFmtId="171" formatCode="0.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EDA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5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top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0" fontId="0" fillId="3" borderId="0" pivotButton="0" quotePrefix="0" xfId="0"/>
    <xf numFmtId="166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1" xfId="0">
      <alignment horizontal="center" vertical="center"/>
    </xf>
    <xf numFmtId="166" fontId="9" fillId="0" borderId="1" applyAlignment="1" pivotButton="0" quotePrefix="0" xfId="0">
      <alignment horizontal="right" vertical="center"/>
    </xf>
    <xf numFmtId="166" fontId="9" fillId="0" borderId="0" pivotButton="0" quotePrefix="0" xfId="0"/>
    <xf numFmtId="170" fontId="9" fillId="0" borderId="0" pivotButton="0" quotePrefix="0" xfId="0"/>
    <xf numFmtId="171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vertical="center" wrapText="1"/>
    </xf>
    <xf numFmtId="166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0" fontId="9" fillId="0" borderId="0" pivotButton="0" quotePrefix="0" xfId="0"/>
    <xf numFmtId="0" fontId="0" fillId="0" borderId="0" pivotButton="0" quotePrefix="0" xfId="0"/>
    <xf numFmtId="0" fontId="13" fillId="0" borderId="0" pivotButton="0" quotePrefix="0" xfId="0"/>
    <xf numFmtId="4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10" fillId="0" borderId="0" applyAlignment="1" pivotButton="0" quotePrefix="0" xfId="0">
      <alignment vertical="center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68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5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2" fontId="9" fillId="0" borderId="0" pivotButton="0" quotePrefix="0" xfId="0"/>
    <xf numFmtId="2" fontId="9" fillId="0" borderId="0" applyAlignment="1" pivotButton="0" quotePrefix="0" xfId="0">
      <alignment horizontal="left" vertical="center"/>
    </xf>
    <xf numFmtId="2" fontId="9" fillId="0" borderId="1" applyAlignment="1" pivotButton="0" quotePrefix="0" xfId="0">
      <alignment horizontal="center" vertical="center" wrapText="1"/>
    </xf>
    <xf numFmtId="2" fontId="9" fillId="0" borderId="3" applyAlignment="1" pivotButton="0" quotePrefix="0" xfId="0">
      <alignment horizontal="center" vertical="center" wrapText="1"/>
    </xf>
    <xf numFmtId="2" fontId="13" fillId="0" borderId="1" applyAlignment="1" pivotButton="0" quotePrefix="0" xfId="0">
      <alignment vertical="top"/>
    </xf>
    <xf numFmtId="2" fontId="9" fillId="0" borderId="1" applyAlignment="1" pivotButton="0" quotePrefix="0" xfId="0">
      <alignment vertical="top"/>
    </xf>
    <xf numFmtId="2" fontId="9" fillId="0" borderId="1" applyAlignment="1" pivotButton="0" quotePrefix="0" xfId="0">
      <alignment vertical="top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tabSelected="1" view="pageBreakPreview" topLeftCell="A10" zoomScale="60" zoomScaleNormal="70" workbookViewId="0">
      <selection activeCell="F38" sqref="F38"/>
    </sheetView>
  </sheetViews>
  <sheetFormatPr baseColWidth="8" defaultRowHeight="15.6"/>
  <cols>
    <col width="9.109375" customWidth="1" style="120" min="1" max="2"/>
    <col width="36.88671875" customWidth="1" style="120" min="3" max="3"/>
    <col width="52.6640625" customWidth="1" style="120" min="4" max="4"/>
    <col width="14.33203125" customWidth="1" style="121" min="5" max="5"/>
    <col width="16" customWidth="1" style="121" min="6" max="6"/>
    <col width="12.33203125" customWidth="1" style="121" min="7" max="7"/>
    <col width="15" customWidth="1" style="121" min="8" max="8"/>
  </cols>
  <sheetData>
    <row r="1">
      <c r="E1" s="120" t="n"/>
      <c r="F1" s="120" t="n"/>
      <c r="G1" s="120" t="n"/>
      <c r="H1" s="120" t="n"/>
      <c r="I1" s="120" t="n"/>
    </row>
    <row r="2">
      <c r="E2" s="120" t="n"/>
      <c r="F2" s="120" t="n"/>
      <c r="G2" s="120" t="n"/>
      <c r="H2" s="120" t="n"/>
      <c r="I2" s="120" t="n"/>
    </row>
    <row r="3">
      <c r="B3" s="147" t="inlineStr">
        <is>
          <t>Приложение № 1</t>
        </is>
      </c>
      <c r="E3" s="120" t="n"/>
      <c r="F3" s="120" t="n"/>
      <c r="G3" s="120" t="n"/>
      <c r="H3" s="120" t="n"/>
      <c r="I3" s="120" t="n"/>
    </row>
    <row r="4">
      <c r="B4" s="148" t="inlineStr">
        <is>
          <t>Сравнительная таблица отбора объекта-представителя</t>
        </is>
      </c>
      <c r="E4" s="120" t="n"/>
      <c r="F4" s="120" t="n"/>
      <c r="G4" s="120" t="n"/>
      <c r="H4" s="120" t="n"/>
      <c r="I4" s="120" t="n"/>
    </row>
    <row r="5">
      <c r="B5" s="72" t="n"/>
      <c r="C5" s="72" t="n"/>
      <c r="D5" s="72" t="n"/>
      <c r="E5" s="120" t="n"/>
      <c r="F5" s="120" t="n"/>
      <c r="G5" s="120" t="n"/>
      <c r="H5" s="120" t="n"/>
      <c r="I5" s="120" t="n"/>
    </row>
    <row r="6">
      <c r="B6" s="72" t="n"/>
      <c r="C6" s="72" t="n"/>
      <c r="D6" s="72" t="n"/>
      <c r="E6" s="120" t="n"/>
      <c r="F6" s="120" t="n"/>
      <c r="G6" s="120" t="n"/>
      <c r="H6" s="120" t="n"/>
      <c r="I6" s="120" t="n"/>
    </row>
    <row r="7" ht="54.75" customHeight="1" s="121">
      <c r="B7" s="146">
        <f>_xlfn.CONCAT(TEXT('Прил.5 Расчет СМР и ОБ'!A6,0)," - ",TEXT('Прил.5 Расчет СМР и ОБ'!D6,0))</f>
        <v/>
      </c>
      <c r="E7" s="73" t="n"/>
      <c r="F7" s="120" t="n"/>
      <c r="G7" s="120" t="n"/>
      <c r="H7" s="120" t="n"/>
      <c r="I7" s="120" t="n"/>
    </row>
    <row r="8" ht="15.75" customHeight="1" s="121">
      <c r="B8" s="71" t="inlineStr">
        <is>
          <t xml:space="preserve">Сопоставимый уровень цен: </t>
        </is>
      </c>
      <c r="C8" s="71" t="n"/>
      <c r="D8" s="71">
        <f>D22</f>
        <v/>
      </c>
      <c r="E8" s="120" t="n"/>
      <c r="F8" s="120" t="n"/>
      <c r="G8" s="120" t="n"/>
      <c r="H8" s="120" t="n"/>
      <c r="I8" s="120" t="n"/>
    </row>
    <row r="9" ht="15.75" customHeight="1" s="121">
      <c r="B9" s="146" t="inlineStr">
        <is>
          <t>Единица измерения  — 1 тн опор</t>
        </is>
      </c>
      <c r="E9" s="73" t="n"/>
      <c r="F9" s="120" t="n"/>
      <c r="G9" s="120" t="n"/>
      <c r="H9" s="120" t="n"/>
      <c r="I9" s="120" t="n"/>
    </row>
    <row r="10">
      <c r="B10" s="146" t="n"/>
      <c r="E10" s="120" t="n"/>
      <c r="F10" s="120" t="n"/>
      <c r="G10" s="120" t="n"/>
      <c r="H10" s="120" t="n"/>
      <c r="I10" s="120" t="n"/>
    </row>
    <row r="11">
      <c r="B11" s="151" t="inlineStr">
        <is>
          <t>№ п/п</t>
        </is>
      </c>
      <c r="C11" s="151" t="inlineStr">
        <is>
          <t>Параметр</t>
        </is>
      </c>
      <c r="D11" s="151" t="inlineStr">
        <is>
          <t xml:space="preserve">Объект-представитель </t>
        </is>
      </c>
      <c r="E11" s="73" t="n"/>
      <c r="F11" s="120" t="n"/>
      <c r="G11" s="120" t="n"/>
      <c r="H11" s="120" t="n"/>
      <c r="I11" s="120" t="n"/>
    </row>
    <row r="12" ht="31.2" customHeight="1" s="121">
      <c r="B12" s="151" t="n">
        <v>1</v>
      </c>
      <c r="C12" s="74" t="inlineStr">
        <is>
          <t>Наименование объекта-представителя</t>
        </is>
      </c>
      <c r="D12" s="110" t="inlineStr">
        <is>
          <t xml:space="preserve"> ВЛ 330 Нальчик – Владикавказ-2 </t>
        </is>
      </c>
      <c r="E12" s="120" t="n"/>
      <c r="F12" s="120" t="n"/>
      <c r="G12" s="120" t="n"/>
      <c r="H12" s="120" t="n"/>
      <c r="I12" s="120" t="n"/>
    </row>
    <row r="13" ht="31.5" customHeight="1" s="121">
      <c r="B13" s="151" t="n">
        <v>2</v>
      </c>
      <c r="C13" s="74" t="inlineStr">
        <is>
          <t>Наименование субъекта Российской Федерации</t>
        </is>
      </c>
      <c r="D13" s="110" t="inlineStr">
        <is>
          <t>Республика Северная Осетия-Алания, Кабаридино-Балкарская республика</t>
        </is>
      </c>
      <c r="E13" s="120" t="n"/>
      <c r="F13" s="120" t="n"/>
      <c r="G13" s="120" t="n"/>
      <c r="H13" s="120" t="n"/>
      <c r="I13" s="120" t="n"/>
    </row>
    <row r="14">
      <c r="B14" s="151" t="n">
        <v>3</v>
      </c>
      <c r="C14" s="74" t="inlineStr">
        <is>
          <t>Климатический район и подрайон</t>
        </is>
      </c>
      <c r="D14" s="111" t="inlineStr">
        <is>
          <t>IIIБ</t>
        </is>
      </c>
      <c r="E14" s="120" t="n"/>
      <c r="F14" s="120" t="n"/>
      <c r="G14" s="120" t="n"/>
      <c r="H14" s="120" t="n"/>
      <c r="I14" s="120" t="n"/>
    </row>
    <row r="15">
      <c r="B15" s="151" t="n">
        <v>4</v>
      </c>
      <c r="C15" s="74" t="inlineStr">
        <is>
          <t>Мощность объекта</t>
        </is>
      </c>
      <c r="D15" s="110" t="n">
        <v>879.34</v>
      </c>
      <c r="E15" s="120" t="n"/>
      <c r="F15" s="120" t="n"/>
      <c r="G15" s="120" t="n"/>
      <c r="H15" s="120" t="n"/>
      <c r="I15" s="120" t="n"/>
    </row>
    <row r="16" ht="93.59999999999999" customHeight="1" s="121">
      <c r="B16" s="151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1" t="inlineStr">
        <is>
          <t>Фундаменты под опоры типа Ф5-А-350 - 140 шт
Фундаменты под опоры типа Ф6-А-350 - 252 шт
Фундаменты железобетонные ФС1-4 - 164,832 м3
Линейная арматура</t>
        </is>
      </c>
      <c r="E16" s="120" t="n"/>
      <c r="F16" s="120" t="n"/>
      <c r="G16" s="120" t="n"/>
      <c r="H16" s="120" t="n"/>
      <c r="I16" s="120" t="n"/>
    </row>
    <row r="17" ht="82.5" customHeight="1" s="121">
      <c r="B17" s="151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3">
        <f>SUM(D18:D21)</f>
        <v/>
      </c>
      <c r="E17" s="75" t="n"/>
      <c r="F17" s="107" t="n"/>
      <c r="G17" s="120" t="n"/>
      <c r="H17" s="120" t="n"/>
      <c r="I17" s="120" t="n"/>
    </row>
    <row r="18">
      <c r="B18" s="76" t="inlineStr">
        <is>
          <t>6.1</t>
        </is>
      </c>
      <c r="C18" s="74" t="inlineStr">
        <is>
          <t>строительно-монтажные работы</t>
        </is>
      </c>
      <c r="D18" s="103">
        <f>'Прил.2 Расч стоим'!F14+'Прил.2 Расч стоим'!G14</f>
        <v/>
      </c>
      <c r="E18" s="120" t="n"/>
      <c r="F18" s="107" t="n"/>
      <c r="G18" s="120" t="n"/>
      <c r="H18" s="120" t="n"/>
      <c r="I18" s="120" t="n"/>
    </row>
    <row r="19">
      <c r="B19" s="76" t="inlineStr">
        <is>
          <t>6.2</t>
        </is>
      </c>
      <c r="C19" s="74" t="inlineStr">
        <is>
          <t>оборудование и инвентарь</t>
        </is>
      </c>
      <c r="D19" s="103" t="n">
        <v>0</v>
      </c>
      <c r="E19" s="120" t="n"/>
      <c r="F19" s="120" t="n"/>
      <c r="G19" s="120" t="n"/>
      <c r="H19" s="120" t="n"/>
      <c r="I19" s="120" t="n"/>
    </row>
    <row r="20">
      <c r="B20" s="76" t="inlineStr">
        <is>
          <t>6.3</t>
        </is>
      </c>
      <c r="C20" s="74" t="inlineStr">
        <is>
          <t>пусконаладочные работы</t>
        </is>
      </c>
      <c r="D20" s="103" t="n">
        <v>0</v>
      </c>
      <c r="E20" s="120" t="n"/>
      <c r="F20" s="120" t="n"/>
      <c r="G20" s="120" t="n"/>
      <c r="H20" s="120" t="n"/>
      <c r="I20" s="120" t="n"/>
    </row>
    <row r="21" ht="31.5" customHeight="1" s="121">
      <c r="B21" s="76" t="inlineStr">
        <is>
          <t>6.4</t>
        </is>
      </c>
      <c r="C21" s="77" t="inlineStr">
        <is>
          <t>прочие и лимитированные затраты</t>
        </is>
      </c>
      <c r="D21" s="103">
        <f>'Прил.2 Расч стоим'!I14</f>
        <v/>
      </c>
      <c r="E21" s="120" t="n"/>
      <c r="F21" s="120" t="n"/>
      <c r="G21" s="120" t="n"/>
      <c r="H21" s="120" t="n"/>
      <c r="I21" s="120" t="n"/>
    </row>
    <row r="22">
      <c r="B22" s="151" t="n">
        <v>7</v>
      </c>
      <c r="C22" s="77" t="inlineStr">
        <is>
          <t>Сопоставимый уровень цен</t>
        </is>
      </c>
      <c r="D22" s="151" t="inlineStr">
        <is>
          <t>2 квартал 2019 г</t>
        </is>
      </c>
      <c r="E22" s="75" t="n"/>
      <c r="F22" s="120" t="n"/>
      <c r="G22" s="120" t="n"/>
      <c r="H22" s="120" t="n"/>
      <c r="I22" s="120" t="n"/>
    </row>
    <row r="23" ht="119.25" customHeight="1" s="121">
      <c r="B23" s="151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3">
        <f>'Прил.2 Расч стоим'!J15</f>
        <v/>
      </c>
      <c r="E23" s="120" t="n"/>
      <c r="F23" s="120" t="n"/>
      <c r="G23" s="120" t="n"/>
      <c r="H23" s="120" t="n"/>
      <c r="I23" s="120" t="n"/>
    </row>
    <row r="24" ht="47.25" customHeight="1" s="121">
      <c r="B24" s="151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03">
        <f>D23/D15</f>
        <v/>
      </c>
      <c r="E24" s="75" t="n"/>
      <c r="F24" s="120" t="n"/>
      <c r="G24" s="120" t="n"/>
      <c r="H24" s="120" t="n"/>
      <c r="I24" s="120" t="n"/>
    </row>
    <row r="25" ht="31.5" customHeight="1" s="121">
      <c r="B25" s="151" t="n">
        <v>10</v>
      </c>
      <c r="C25" s="74" t="inlineStr">
        <is>
          <t>Примечание</t>
        </is>
      </c>
      <c r="D25" s="74" t="n"/>
      <c r="E25" s="120" t="n"/>
      <c r="F25" s="120" t="n"/>
      <c r="G25" s="120" t="n"/>
      <c r="H25" s="120" t="n"/>
      <c r="I25" s="120" t="n"/>
    </row>
    <row r="26">
      <c r="B26" s="187" t="n"/>
      <c r="C26" s="80" t="n"/>
      <c r="D26" s="80" t="n"/>
      <c r="E26" s="120" t="n"/>
      <c r="F26" s="120" t="n"/>
      <c r="G26" s="120" t="n"/>
      <c r="H26" s="120" t="n"/>
      <c r="I26" s="120" t="n"/>
    </row>
    <row r="27">
      <c r="B27" s="71" t="n"/>
      <c r="E27" s="120" t="n"/>
      <c r="F27" s="120" t="n"/>
      <c r="G27" s="120" t="n"/>
      <c r="H27" s="120" t="n"/>
      <c r="I27" s="120" t="n"/>
    </row>
    <row r="28">
      <c r="B28" s="120" t="inlineStr">
        <is>
          <t>Составил ______________________        Е. М. Добровольская</t>
        </is>
      </c>
      <c r="E28" s="120" t="n"/>
      <c r="F28" s="120" t="n"/>
      <c r="G28" s="120" t="n"/>
      <c r="H28" s="120" t="n"/>
      <c r="I28" s="120" t="n"/>
    </row>
    <row r="29" ht="22.5" customHeight="1" s="121">
      <c r="B29" s="89" t="inlineStr">
        <is>
          <t xml:space="preserve">                         (подпись, инициалы, фамилия)</t>
        </is>
      </c>
      <c r="E29" s="120" t="n"/>
      <c r="F29" s="120" t="n"/>
      <c r="G29" s="120" t="n"/>
      <c r="H29" s="120" t="n"/>
      <c r="I29" s="120" t="n"/>
    </row>
    <row r="30">
      <c r="E30" s="120" t="n"/>
      <c r="F30" s="120" t="n"/>
      <c r="G30" s="120" t="n"/>
      <c r="H30" s="120" t="n"/>
      <c r="I30" s="120" t="n"/>
    </row>
    <row r="31">
      <c r="B31" s="120" t="inlineStr">
        <is>
          <t>Проверил ______________________        А.В. Костянецкая</t>
        </is>
      </c>
      <c r="E31" s="120" t="n"/>
      <c r="F31" s="120" t="n"/>
      <c r="G31" s="120" t="n"/>
      <c r="H31" s="120" t="n"/>
      <c r="I31" s="120" t="n"/>
    </row>
    <row r="32" ht="22.5" customHeight="1" s="121">
      <c r="B32" s="89" t="inlineStr">
        <is>
          <t xml:space="preserve">                        (подпись, инициалы, фамилия)</t>
        </is>
      </c>
      <c r="E32" s="120" t="n"/>
      <c r="F32" s="120" t="n"/>
      <c r="G32" s="120" t="n"/>
      <c r="H32" s="120" t="n"/>
      <c r="I32" s="120" t="n"/>
    </row>
    <row r="33">
      <c r="E33" s="120" t="n"/>
      <c r="F33" s="120" t="n"/>
      <c r="G33" s="120" t="n"/>
      <c r="H33" s="120" t="n"/>
      <c r="I33" s="120" t="n"/>
    </row>
    <row r="34">
      <c r="E34" s="120" t="n"/>
      <c r="F34" s="120" t="n"/>
      <c r="G34" s="120" t="n"/>
      <c r="H34" s="120" t="n"/>
      <c r="I34" s="120" t="n"/>
    </row>
    <row r="35">
      <c r="E35" s="120" t="n"/>
      <c r="F35" s="120" t="n"/>
      <c r="G35" s="120" t="n"/>
      <c r="H35" s="120" t="n"/>
      <c r="I35" s="120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P25"/>
  <sheetViews>
    <sheetView view="pageBreakPreview" zoomScale="60" zoomScaleNormal="55" workbookViewId="0">
      <selection activeCell="C20" sqref="C20"/>
    </sheetView>
  </sheetViews>
  <sheetFormatPr baseColWidth="8" defaultRowHeight="14.4"/>
  <cols>
    <col width="5.5546875" customWidth="1" style="121" min="1" max="1"/>
    <col width="35.33203125" customWidth="1" style="121" min="3" max="3"/>
    <col width="13.88671875" customWidth="1" style="121" min="4" max="4"/>
    <col width="24.88671875" customWidth="1" style="121" min="5" max="5"/>
    <col width="17.44140625" customWidth="1" style="121" min="6" max="6"/>
    <col width="18.33203125" customWidth="1" style="121" min="7" max="7"/>
    <col width="16.6640625" customWidth="1" style="121" min="8" max="8"/>
    <col width="13" customWidth="1" style="121" min="9" max="9"/>
    <col width="18.109375" customWidth="1" style="121" min="10" max="10"/>
    <col hidden="1" outlineLevel="1" width="12.33203125" customWidth="1" style="121" min="12" max="15"/>
    <col hidden="1" outlineLevel="1" width="14.6640625" customWidth="1" style="121" min="16" max="16"/>
    <col collapsed="1" width="9.109375" customWidth="1" style="121" min="17" max="17"/>
  </cols>
  <sheetData>
    <row r="1" ht="15.75" customHeight="1" s="121">
      <c r="A1" s="120" t="n"/>
      <c r="B1" s="120" t="n"/>
      <c r="C1" s="120" t="n"/>
      <c r="D1" s="120" t="n"/>
      <c r="E1" s="120" t="n"/>
      <c r="F1" s="120" t="n"/>
      <c r="G1" s="120" t="n"/>
      <c r="H1" s="120" t="n"/>
      <c r="I1" s="120" t="n"/>
      <c r="J1" s="120" t="n"/>
    </row>
    <row r="2" ht="15.75" customHeight="1" s="121">
      <c r="A2" s="120" t="n"/>
      <c r="B2" s="120" t="n"/>
      <c r="C2" s="120" t="n"/>
      <c r="D2" s="120" t="n"/>
      <c r="E2" s="120" t="n"/>
      <c r="F2" s="120" t="n"/>
      <c r="G2" s="120" t="n"/>
      <c r="H2" s="120" t="n"/>
      <c r="I2" s="120" t="n"/>
      <c r="J2" s="120" t="n"/>
    </row>
    <row r="3" ht="15.75" customHeight="1" s="121">
      <c r="A3" s="120" t="n"/>
      <c r="B3" s="147" t="inlineStr">
        <is>
          <t>Приложение № 2</t>
        </is>
      </c>
    </row>
    <row r="4" ht="15.75" customHeight="1" s="121">
      <c r="A4" s="120" t="n"/>
      <c r="B4" s="148" t="inlineStr">
        <is>
          <t>Расчет стоимости основных видов работ для выбора объекта-представителя</t>
        </is>
      </c>
    </row>
    <row r="5" ht="15.75" customHeight="1" s="121">
      <c r="A5" s="120" t="n"/>
      <c r="B5" s="72" t="n"/>
      <c r="C5" s="72" t="n"/>
      <c r="D5" s="72" t="n"/>
      <c r="E5" s="72" t="n"/>
      <c r="F5" s="72" t="n"/>
      <c r="G5" s="72" t="n"/>
      <c r="H5" s="72" t="n"/>
      <c r="I5" s="72" t="n"/>
      <c r="J5" s="72" t="n"/>
    </row>
    <row r="6" ht="45.75" customHeight="1" s="121">
      <c r="A6" s="120" t="n"/>
      <c r="B6" s="149">
        <f>'Прил.1 Сравнит табл'!B7</f>
        <v/>
      </c>
    </row>
    <row r="7" ht="15.75" customHeight="1" s="121">
      <c r="A7" s="120" t="n"/>
      <c r="B7" s="146">
        <f>'Прил.1 Сравнит табл'!B9</f>
        <v/>
      </c>
    </row>
    <row r="8" ht="15.75" customHeight="1" s="121">
      <c r="A8" s="120" t="n"/>
      <c r="B8" s="146" t="n"/>
      <c r="C8" s="120" t="n"/>
      <c r="D8" s="120" t="n"/>
      <c r="E8" s="120" t="n"/>
      <c r="F8" s="120" t="n"/>
      <c r="G8" s="120" t="n"/>
      <c r="H8" s="120" t="n"/>
      <c r="I8" s="120" t="n"/>
      <c r="J8" s="120" t="n"/>
    </row>
    <row r="9" ht="15.75" customHeight="1" s="121">
      <c r="A9" s="120" t="n"/>
      <c r="B9" s="151" t="inlineStr">
        <is>
          <t>№ п/п</t>
        </is>
      </c>
      <c r="C9" s="1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1" t="inlineStr">
        <is>
          <t>Объект-представитель 1</t>
        </is>
      </c>
      <c r="E9" s="198" t="n"/>
      <c r="F9" s="198" t="n"/>
      <c r="G9" s="198" t="n"/>
      <c r="H9" s="198" t="n"/>
      <c r="I9" s="198" t="n"/>
      <c r="J9" s="199" t="n"/>
    </row>
    <row r="10" ht="15.75" customHeight="1" s="121">
      <c r="A10" s="120" t="n"/>
      <c r="B10" s="200" t="n"/>
      <c r="C10" s="200" t="n"/>
      <c r="D10" s="151" t="inlineStr">
        <is>
          <t>Номер сметы</t>
        </is>
      </c>
      <c r="E10" s="151" t="inlineStr">
        <is>
          <t>Наименование сметы</t>
        </is>
      </c>
      <c r="F10" s="151" t="inlineStr">
        <is>
          <t>Сметная стоимость в уровне цен 2 квартал 2019 г, тыс. руб.</t>
        </is>
      </c>
      <c r="G10" s="198" t="n"/>
      <c r="H10" s="198" t="n"/>
      <c r="I10" s="198" t="n"/>
      <c r="J10" s="199" t="n"/>
    </row>
    <row r="11" ht="63" customHeight="1" s="121">
      <c r="A11" s="120" t="n"/>
      <c r="B11" s="201" t="n"/>
      <c r="C11" s="201" t="n"/>
      <c r="D11" s="201" t="n"/>
      <c r="E11" s="201" t="n"/>
      <c r="F11" s="151" t="inlineStr">
        <is>
          <t>Строительные работы</t>
        </is>
      </c>
      <c r="G11" s="151" t="inlineStr">
        <is>
          <t>Монтажные работы</t>
        </is>
      </c>
      <c r="H11" s="151" t="inlineStr">
        <is>
          <t>Оборудование</t>
        </is>
      </c>
      <c r="I11" s="151" t="inlineStr">
        <is>
          <t>Прочее</t>
        </is>
      </c>
      <c r="J11" s="151" t="inlineStr">
        <is>
          <t>Всего</t>
        </is>
      </c>
    </row>
    <row r="12" ht="99.75" customHeight="1" s="121">
      <c r="A12" s="120" t="n"/>
      <c r="B12" s="100" t="n">
        <v>1</v>
      </c>
      <c r="C12" s="74" t="inlineStr">
        <is>
          <t>Установка грибовидных фундаментов (оп.1 - оп. 94)</t>
        </is>
      </c>
      <c r="D12" s="104" t="inlineStr">
        <is>
          <t>02-01-01</t>
        </is>
      </c>
      <c r="E12" s="74" t="inlineStr">
        <is>
          <t xml:space="preserve">Установка фундаментов. Участок до 103 опоры включительно. </t>
        </is>
      </c>
      <c r="F12" s="105">
        <f>29246541*7.69/1000</f>
        <v/>
      </c>
      <c r="G12" s="105" t="n"/>
      <c r="H12" s="105" t="n"/>
      <c r="I12" s="114">
        <f>(F12+G12)*3.3%+((F12+G12)*3.3%+F12+G12)*1%</f>
        <v/>
      </c>
      <c r="J12" s="93">
        <f>SUM(F12:I12)</f>
        <v/>
      </c>
    </row>
    <row r="13" ht="69.75" customHeight="1" s="121">
      <c r="A13" s="120" t="n"/>
      <c r="B13" s="100" t="n">
        <v>2</v>
      </c>
      <c r="C13" s="74" t="inlineStr">
        <is>
          <t>Устройсво свайных фундаментов</t>
        </is>
      </c>
      <c r="D13" s="104" t="inlineStr">
        <is>
          <t>02-01-03</t>
        </is>
      </c>
      <c r="E13" s="74" t="inlineStr">
        <is>
          <t xml:space="preserve">Подвеска провода. Участок до 103 опоры включительно. </t>
        </is>
      </c>
      <c r="F13" s="105">
        <f>31981741*7.69/1000</f>
        <v/>
      </c>
      <c r="G13" s="105" t="n"/>
      <c r="H13" s="105" t="n"/>
      <c r="I13" s="114">
        <f>(F13+G13)*3.3%+((F13+G13)*3.3%+F13+G13)*1%</f>
        <v/>
      </c>
      <c r="J13" s="93">
        <f>SUM(F13:I13)</f>
        <v/>
      </c>
    </row>
    <row r="14" ht="15" customHeight="1" s="121">
      <c r="A14" s="120" t="n"/>
      <c r="B14" s="150" t="inlineStr">
        <is>
          <t>Всего по объекту:</t>
        </is>
      </c>
      <c r="C14" s="198" t="n"/>
      <c r="D14" s="198" t="n"/>
      <c r="E14" s="199" t="n"/>
      <c r="F14" s="94">
        <f>SUM(F12:F13)</f>
        <v/>
      </c>
      <c r="G14" s="94">
        <f>SUM(G12:G13)</f>
        <v/>
      </c>
      <c r="H14" s="94">
        <f>SUM(H12:H13)</f>
        <v/>
      </c>
      <c r="I14" s="94">
        <f>(F14+G14)*3.3%+((F14+G14)*3.3%+F14+G14)*1%</f>
        <v/>
      </c>
      <c r="J14" s="94">
        <f>SUM(F14:I14)</f>
        <v/>
      </c>
    </row>
    <row r="15" ht="15.75" customHeight="1" s="121">
      <c r="A15" s="120" t="n"/>
      <c r="B15" s="150" t="inlineStr">
        <is>
          <t>Всего по объекту в сопоставимом уровне цен 2 квартал 2019 г:</t>
        </is>
      </c>
      <c r="C15" s="198" t="n"/>
      <c r="D15" s="198" t="n"/>
      <c r="E15" s="199" t="n"/>
      <c r="F15" s="94">
        <f>F14</f>
        <v/>
      </c>
      <c r="G15" s="94">
        <f>G14</f>
        <v/>
      </c>
      <c r="H15" s="94">
        <f>H14</f>
        <v/>
      </c>
      <c r="I15" s="94">
        <f>(F15+G15)*3.3%+((F15+G15)*3.3%+F15+G15)*1%</f>
        <v/>
      </c>
      <c r="J15" s="94">
        <f>SUM(F15:I15)</f>
        <v/>
      </c>
    </row>
    <row r="16" ht="15.75" customHeight="1" s="121">
      <c r="A16" s="120" t="n"/>
      <c r="B16" s="146" t="n"/>
      <c r="C16" s="120" t="n"/>
      <c r="D16" s="120" t="n"/>
      <c r="E16" s="120" t="n"/>
      <c r="F16" s="120" t="n"/>
      <c r="G16" s="120" t="n"/>
      <c r="H16" s="120" t="n"/>
      <c r="I16" s="120" t="n"/>
      <c r="J16" s="120" t="n"/>
    </row>
    <row r="17" ht="15.75" customHeight="1" s="121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120" t="n"/>
      <c r="L17" s="102" t="inlineStr">
        <is>
          <t>Письмо Минстроя от 14.09.2021г. №39177-ИФ/09 (3 квартал 2021 г)</t>
        </is>
      </c>
      <c r="M17" s="102" t="n"/>
      <c r="N17" s="102" t="n"/>
      <c r="O17" s="102" t="n"/>
      <c r="P17" s="102" t="n"/>
    </row>
    <row r="18" ht="15.75" customHeight="1" s="121">
      <c r="A18" s="120" t="n"/>
      <c r="B18" s="120" t="n"/>
      <c r="C18" s="120" t="n"/>
      <c r="D18" s="120" t="n"/>
      <c r="E18" s="120" t="n"/>
      <c r="F18" s="120" t="n"/>
      <c r="G18" s="106" t="n"/>
      <c r="H18" s="120" t="n"/>
      <c r="I18" s="120" t="n"/>
      <c r="J18" s="120" t="n"/>
      <c r="L18" s="102" t="n">
        <v>33.95</v>
      </c>
      <c r="M18" s="102" t="n">
        <v>7.17</v>
      </c>
      <c r="N18" s="102" t="n">
        <v>4.98</v>
      </c>
      <c r="O18" s="102" t="n"/>
      <c r="P18" s="102" t="n"/>
    </row>
    <row r="19" ht="15.75" customHeight="1" s="121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120" t="n"/>
    </row>
    <row r="20" ht="15.75" customHeight="1" s="121">
      <c r="A20" s="120" t="n"/>
      <c r="B20" s="120" t="n"/>
      <c r="C20" s="120" t="n"/>
      <c r="D20" s="120" t="n"/>
      <c r="E20" s="120" t="n"/>
      <c r="F20" s="120" t="n"/>
      <c r="G20" s="120" t="n"/>
      <c r="H20" s="120" t="n"/>
      <c r="I20" s="120" t="n"/>
      <c r="J20" s="120" t="n"/>
    </row>
    <row r="21" ht="15.75" customHeight="1" s="121">
      <c r="A21" s="120" t="n"/>
      <c r="B21" s="120" t="inlineStr">
        <is>
          <t>Составил ______________________      Е. М. Добровольская</t>
        </is>
      </c>
      <c r="C21" s="120" t="n"/>
      <c r="D21" s="120" t="n"/>
      <c r="E21" s="120" t="n"/>
      <c r="F21" s="120" t="n"/>
      <c r="G21" s="120" t="n"/>
      <c r="H21" s="120" t="n"/>
      <c r="I21" s="120" t="n"/>
      <c r="J21" s="120" t="n"/>
    </row>
    <row r="22" ht="22.5" customHeight="1" s="121">
      <c r="A22" s="120" t="n"/>
      <c r="B22" s="89" t="inlineStr">
        <is>
          <t xml:space="preserve">                         (подпись, инициалы, фамилия)</t>
        </is>
      </c>
      <c r="C22" s="120" t="n"/>
      <c r="D22" s="120" t="n"/>
      <c r="E22" s="120" t="n"/>
      <c r="F22" s="120" t="n"/>
      <c r="G22" s="120" t="n"/>
      <c r="H22" s="120" t="n"/>
      <c r="I22" s="120" t="n"/>
      <c r="J22" s="120" t="n"/>
    </row>
    <row r="23" ht="15.75" customHeight="1" s="121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120" t="n"/>
    </row>
    <row r="24" ht="15.75" customHeight="1" s="121">
      <c r="A24" s="120" t="n"/>
      <c r="B24" s="120" t="inlineStr">
        <is>
          <t>Проверил ______________________        А.В. Костянецкая</t>
        </is>
      </c>
      <c r="C24" s="120" t="n"/>
      <c r="D24" s="120" t="n"/>
      <c r="E24" s="120" t="n"/>
      <c r="F24" s="120" t="n"/>
      <c r="G24" s="120" t="n"/>
      <c r="H24" s="120" t="n"/>
      <c r="I24" s="120" t="n"/>
      <c r="J24" s="120" t="n"/>
    </row>
    <row r="25" ht="22.5" customHeight="1" s="121">
      <c r="A25" s="120" t="n"/>
      <c r="B25" s="89" t="inlineStr">
        <is>
          <t xml:space="preserve">                        (подпись, инициалы, фамилия)</t>
        </is>
      </c>
      <c r="C25" s="120" t="n"/>
      <c r="D25" s="120" t="n"/>
      <c r="E25" s="120" t="n"/>
      <c r="F25" s="120" t="n"/>
      <c r="G25" s="120" t="n"/>
      <c r="H25" s="120" t="n"/>
      <c r="I25" s="120" t="n"/>
      <c r="J25" s="120" t="n"/>
    </row>
  </sheetData>
  <mergeCells count="12">
    <mergeCell ref="B7:J7"/>
    <mergeCell ref="B3:J3"/>
    <mergeCell ref="D10:D11"/>
    <mergeCell ref="D9:J9"/>
    <mergeCell ref="F10:J10"/>
    <mergeCell ref="B15:E15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L157"/>
  <sheetViews>
    <sheetView view="pageBreakPreview" topLeftCell="A127" zoomScale="70" workbookViewId="0">
      <selection activeCell="C153" sqref="C153"/>
    </sheetView>
  </sheetViews>
  <sheetFormatPr baseColWidth="8" defaultRowHeight="15.6"/>
  <cols>
    <col width="9.109375" customWidth="1" style="120" min="1" max="1"/>
    <col width="12.5546875" customWidth="1" style="120" min="2" max="2"/>
    <col width="22.44140625" customWidth="1" style="120" min="3" max="3"/>
    <col width="54.88671875" customWidth="1" style="120" min="4" max="4"/>
    <col width="10.109375" customWidth="1" style="120" min="5" max="5"/>
    <col width="20.6640625" customWidth="1" style="191" min="6" max="6"/>
    <col width="16.109375" customWidth="1" style="120" min="7" max="7"/>
    <col width="16.6640625" customWidth="1" style="120" min="8" max="8"/>
    <col width="4.6640625" customWidth="1" style="120" min="9" max="9"/>
    <col width="8.5546875" customWidth="1" style="120" min="10" max="10"/>
    <col width="13" customWidth="1" style="121" min="11" max="11"/>
    <col width="9.109375" customWidth="1" style="121" min="12" max="12"/>
  </cols>
  <sheetData>
    <row r="1">
      <c r="K1" s="120" t="n"/>
    </row>
    <row r="2">
      <c r="A2" s="147" t="inlineStr">
        <is>
          <t xml:space="preserve">Приложение № 3 </t>
        </is>
      </c>
      <c r="K2" s="120" t="n"/>
    </row>
    <row r="3">
      <c r="A3" s="148" t="inlineStr">
        <is>
          <t>Объектная ресурсная ведомость</t>
        </is>
      </c>
      <c r="K3" s="120" t="n"/>
    </row>
    <row r="4">
      <c r="A4" s="146" t="n"/>
      <c r="K4" s="120" t="n"/>
    </row>
    <row r="5">
      <c r="A5" s="149">
        <f>'Прил.1 Сравнит табл'!B7</f>
        <v/>
      </c>
      <c r="K5" s="120" t="n"/>
    </row>
    <row r="6">
      <c r="A6" s="81" t="n"/>
      <c r="B6" s="81" t="n"/>
      <c r="C6" s="81" t="n"/>
      <c r="D6" s="81" t="n"/>
      <c r="E6" s="81" t="n"/>
      <c r="F6" s="192" t="n"/>
      <c r="G6" s="81" t="n"/>
      <c r="H6" s="81" t="n"/>
      <c r="K6" s="120" t="n"/>
    </row>
    <row r="7">
      <c r="A7" s="151" t="inlineStr">
        <is>
          <t>п/п</t>
        </is>
      </c>
      <c r="B7" s="151" t="inlineStr">
        <is>
          <t>№ЛСР</t>
        </is>
      </c>
      <c r="C7" s="151" t="inlineStr">
        <is>
          <t>Код ресурса</t>
        </is>
      </c>
      <c r="D7" s="151" t="inlineStr">
        <is>
          <t>Наименование ресурса</t>
        </is>
      </c>
      <c r="E7" s="151" t="inlineStr">
        <is>
          <t>Ед. изм.</t>
        </is>
      </c>
      <c r="F7" s="193" t="inlineStr">
        <is>
          <t>Кол-во единиц по данным объекта-представителя</t>
        </is>
      </c>
      <c r="G7" s="151" t="inlineStr">
        <is>
          <t>Сметная стоимость в ценах на 01.01.2000 (руб.)</t>
        </is>
      </c>
      <c r="H7" s="199" t="n"/>
      <c r="K7" s="120" t="n"/>
    </row>
    <row r="8">
      <c r="A8" s="201" t="n"/>
      <c r="B8" s="201" t="n"/>
      <c r="C8" s="201" t="n"/>
      <c r="D8" s="201" t="n"/>
      <c r="E8" s="201" t="n"/>
      <c r="F8" s="201" t="n"/>
      <c r="G8" s="151" t="inlineStr">
        <is>
          <t>на ед.изм.</t>
        </is>
      </c>
      <c r="H8" s="151" t="inlineStr">
        <is>
          <t>общая</t>
        </is>
      </c>
      <c r="K8" s="120" t="n"/>
    </row>
    <row r="9">
      <c r="A9" s="82" t="n">
        <v>1</v>
      </c>
      <c r="B9" s="82" t="n"/>
      <c r="C9" s="82" t="n">
        <v>2</v>
      </c>
      <c r="D9" s="82" t="inlineStr">
        <is>
          <t>З</t>
        </is>
      </c>
      <c r="E9" s="82" t="n">
        <v>4</v>
      </c>
      <c r="F9" s="194" t="n">
        <v>5</v>
      </c>
      <c r="G9" s="82" t="n">
        <v>6</v>
      </c>
      <c r="H9" s="82" t="n">
        <v>7</v>
      </c>
      <c r="I9" s="108" t="n"/>
      <c r="K9" s="120" t="n"/>
    </row>
    <row r="10">
      <c r="A10" s="152" t="inlineStr">
        <is>
          <t>Затраты труда рабочих</t>
        </is>
      </c>
      <c r="B10" s="198" t="n"/>
      <c r="C10" s="198" t="n"/>
      <c r="D10" s="198" t="n"/>
      <c r="E10" s="199" t="n"/>
      <c r="F10" s="195">
        <f>SUM(F11:F20)</f>
        <v/>
      </c>
      <c r="G10" s="83" t="n"/>
      <c r="H10" s="83">
        <f>SUM(H11:H20)</f>
        <v/>
      </c>
      <c r="I10" s="122" t="n"/>
      <c r="J10" s="122" t="n"/>
      <c r="K10" s="122" t="n"/>
    </row>
    <row r="11">
      <c r="A11" s="153" t="n">
        <v>1</v>
      </c>
      <c r="B11" s="99" t="n"/>
      <c r="C11" s="86" t="inlineStr">
        <is>
          <t>1-4-4</t>
        </is>
      </c>
      <c r="D11" s="154" t="inlineStr">
        <is>
          <t>Затраты труда рабочих (ср 4,4)</t>
        </is>
      </c>
      <c r="E11" s="153" t="inlineStr">
        <is>
          <t>чел.-ч</t>
        </is>
      </c>
      <c r="F11" s="196" t="n">
        <v>1444.35</v>
      </c>
      <c r="G11" s="88" t="n">
        <v>10.21</v>
      </c>
      <c r="H11" s="88">
        <f>ROUND(F11*G11,2)</f>
        <v/>
      </c>
      <c r="K11" s="120" t="n"/>
    </row>
    <row r="12">
      <c r="A12" s="153" t="n">
        <v>2</v>
      </c>
      <c r="B12" s="99" t="n"/>
      <c r="C12" s="86" t="inlineStr">
        <is>
          <t>1-4-3</t>
        </is>
      </c>
      <c r="D12" s="154" t="inlineStr">
        <is>
          <t>Затраты труда рабочих (ср 4,3)</t>
        </is>
      </c>
      <c r="E12" s="153" t="inlineStr">
        <is>
          <t>чел.-ч</t>
        </is>
      </c>
      <c r="F12" s="196" t="n">
        <v>1176.35</v>
      </c>
      <c r="G12" s="88" t="n">
        <v>10.06</v>
      </c>
      <c r="H12" s="88">
        <f>ROUND(F12*G12,2)</f>
        <v/>
      </c>
      <c r="K12" s="120" t="n"/>
    </row>
    <row r="13">
      <c r="A13" s="153" t="n">
        <v>3</v>
      </c>
      <c r="B13" s="99" t="n"/>
      <c r="C13" s="86" t="inlineStr">
        <is>
          <t>1-4-1</t>
        </is>
      </c>
      <c r="D13" s="154" t="inlineStr">
        <is>
          <t>Затраты труда рабочих (ср 4,1)</t>
        </is>
      </c>
      <c r="E13" s="153" t="inlineStr">
        <is>
          <t>чел.-ч</t>
        </is>
      </c>
      <c r="F13" s="196" t="n">
        <v>822.5599999999999</v>
      </c>
      <c r="G13" s="88" t="n">
        <v>9.76</v>
      </c>
      <c r="H13" s="88">
        <f>ROUND(F13*G13,2)</f>
        <v/>
      </c>
      <c r="K13" s="120" t="n"/>
    </row>
    <row r="14">
      <c r="A14" s="153" t="n">
        <v>4</v>
      </c>
      <c r="B14" s="99" t="n"/>
      <c r="C14" s="86" t="inlineStr">
        <is>
          <t>1-4-0</t>
        </is>
      </c>
      <c r="D14" s="154" t="inlineStr">
        <is>
          <t>Затраты труда рабочих (ср 4)</t>
        </is>
      </c>
      <c r="E14" s="153" t="inlineStr">
        <is>
          <t>чел.-ч</t>
        </is>
      </c>
      <c r="F14" s="196" t="n">
        <v>11575.73</v>
      </c>
      <c r="G14" s="88" t="n">
        <v>9.619999999999999</v>
      </c>
      <c r="H14" s="88">
        <f>ROUND(F14*G14,2)</f>
        <v/>
      </c>
      <c r="K14" s="120" t="n"/>
    </row>
    <row r="15">
      <c r="A15" s="153" t="n">
        <v>5</v>
      </c>
      <c r="B15" s="99" t="n"/>
      <c r="C15" s="86" t="inlineStr">
        <is>
          <t>1-3-8</t>
        </is>
      </c>
      <c r="D15" s="154" t="inlineStr">
        <is>
          <t>Затраты труда рабочих (ср 3,8)</t>
        </is>
      </c>
      <c r="E15" s="153" t="inlineStr">
        <is>
          <t>чел.-ч</t>
        </is>
      </c>
      <c r="F15" s="196" t="n">
        <v>123.34</v>
      </c>
      <c r="G15" s="88" t="n">
        <v>9.4</v>
      </c>
      <c r="H15" s="88">
        <f>ROUND(F15*G15,2)</f>
        <v/>
      </c>
      <c r="K15" s="120" t="n"/>
    </row>
    <row r="16">
      <c r="A16" s="153" t="n">
        <v>6</v>
      </c>
      <c r="B16" s="99" t="n"/>
      <c r="C16" s="86" t="inlineStr">
        <is>
          <t>1-3-6</t>
        </is>
      </c>
      <c r="D16" s="154" t="inlineStr">
        <is>
          <t>Затраты труда рабочих (ср 3,6)</t>
        </is>
      </c>
      <c r="E16" s="153" t="inlineStr">
        <is>
          <t>чел.-ч</t>
        </is>
      </c>
      <c r="F16" s="196" t="n">
        <v>2777.69</v>
      </c>
      <c r="G16" s="88" t="n">
        <v>9.18</v>
      </c>
      <c r="H16" s="88">
        <f>ROUND(F16*G16,2)</f>
        <v/>
      </c>
      <c r="K16" s="120" t="n"/>
    </row>
    <row r="17">
      <c r="A17" s="153" t="n">
        <v>7</v>
      </c>
      <c r="B17" s="99" t="n"/>
      <c r="C17" s="86" t="inlineStr">
        <is>
          <t>1-3-5</t>
        </is>
      </c>
      <c r="D17" s="154" t="inlineStr">
        <is>
          <t>Затраты труда рабочих (ср 3,5)</t>
        </is>
      </c>
      <c r="E17" s="153" t="inlineStr">
        <is>
          <t>чел.-ч</t>
        </is>
      </c>
      <c r="F17" s="196" t="n">
        <v>6462.24</v>
      </c>
      <c r="G17" s="88" t="n">
        <v>9.07</v>
      </c>
      <c r="H17" s="88">
        <f>ROUND(F17*G17,2)</f>
        <v/>
      </c>
      <c r="K17" s="120" t="n"/>
    </row>
    <row r="18">
      <c r="A18" s="153" t="n">
        <v>8</v>
      </c>
      <c r="B18" s="99" t="n"/>
      <c r="C18" s="86" t="inlineStr">
        <is>
          <t>1-3-0</t>
        </is>
      </c>
      <c r="D18" s="154" t="inlineStr">
        <is>
          <t>Затраты труда рабочих (ср 3)</t>
        </is>
      </c>
      <c r="E18" s="153" t="inlineStr">
        <is>
          <t>чел.-ч</t>
        </is>
      </c>
      <c r="F18" s="196" t="n">
        <v>14124.4</v>
      </c>
      <c r="G18" s="88" t="n">
        <v>8.529999999999999</v>
      </c>
      <c r="H18" s="88">
        <f>ROUND(F18*G18,2)</f>
        <v/>
      </c>
      <c r="K18" s="120" t="n"/>
    </row>
    <row r="19">
      <c r="A19" s="153" t="n">
        <v>9</v>
      </c>
      <c r="B19" s="99" t="n"/>
      <c r="C19" s="86" t="inlineStr">
        <is>
          <t>1-2-8</t>
        </is>
      </c>
      <c r="D19" s="154" t="inlineStr">
        <is>
          <t>Затраты труда рабочих (ср 2,8)</t>
        </is>
      </c>
      <c r="E19" s="153" t="inlineStr">
        <is>
          <t>чел.-ч</t>
        </is>
      </c>
      <c r="F19" s="196" t="n">
        <v>8502.950000000001</v>
      </c>
      <c r="G19" s="88" t="n">
        <v>8.380000000000001</v>
      </c>
      <c r="H19" s="88">
        <f>ROUND(F19*G19,2)</f>
        <v/>
      </c>
      <c r="K19" s="120" t="n"/>
      <c r="L19" s="40" t="n"/>
    </row>
    <row r="20">
      <c r="A20" s="153" t="n">
        <v>10</v>
      </c>
      <c r="B20" s="99" t="n"/>
      <c r="C20" s="86" t="inlineStr">
        <is>
          <t>1-2-2</t>
        </is>
      </c>
      <c r="D20" s="154" t="inlineStr">
        <is>
          <t>Затраты труда рабочих (ср 2,2)</t>
        </is>
      </c>
      <c r="E20" s="153" t="inlineStr">
        <is>
          <t>чел.-ч</t>
        </is>
      </c>
      <c r="F20" s="196" t="n">
        <v>555.97</v>
      </c>
      <c r="G20" s="88" t="n">
        <v>7.94</v>
      </c>
      <c r="H20" s="88">
        <f>ROUND(F20*G20,2)</f>
        <v/>
      </c>
      <c r="K20" s="120" t="n"/>
    </row>
    <row r="21">
      <c r="A21" s="152" t="inlineStr">
        <is>
          <t>Затраты труда машинистов</t>
        </is>
      </c>
      <c r="B21" s="198" t="n"/>
      <c r="C21" s="198" t="n"/>
      <c r="D21" s="198" t="n"/>
      <c r="E21" s="199" t="n"/>
      <c r="F21" s="195">
        <f>F22</f>
        <v/>
      </c>
      <c r="G21" s="83" t="n"/>
      <c r="H21" s="83">
        <f>H22</f>
        <v/>
      </c>
      <c r="K21" s="120" t="n"/>
    </row>
    <row r="22">
      <c r="A22" s="153" t="n">
        <v>11</v>
      </c>
      <c r="B22" s="100" t="n"/>
      <c r="C22" s="95" t="n">
        <v>2</v>
      </c>
      <c r="D22" s="154" t="inlineStr">
        <is>
          <t>Затраты труда машинистов</t>
        </is>
      </c>
      <c r="E22" s="153" t="inlineStr">
        <is>
          <t>чел.-ч</t>
        </is>
      </c>
      <c r="F22" s="173" t="n">
        <v>19994.377777778</v>
      </c>
      <c r="G22" s="88" t="n"/>
      <c r="H22" s="88" t="n">
        <v>518948.96</v>
      </c>
      <c r="K22" s="120" t="n"/>
    </row>
    <row r="23">
      <c r="A23" s="152" t="inlineStr">
        <is>
          <t>Машины и механизмы</t>
        </is>
      </c>
      <c r="B23" s="198" t="n"/>
      <c r="C23" s="198" t="n"/>
      <c r="D23" s="198" t="n"/>
      <c r="E23" s="199" t="n"/>
      <c r="F23" s="195" t="n"/>
      <c r="G23" s="83" t="n"/>
      <c r="H23" s="83">
        <f>SUM(H24:H54)</f>
        <v/>
      </c>
      <c r="I23" s="122" t="n"/>
      <c r="J23" s="122" t="n"/>
      <c r="K23" s="122" t="n"/>
    </row>
    <row r="24">
      <c r="A24" s="153" t="n">
        <v>12</v>
      </c>
      <c r="B24" s="100" t="n"/>
      <c r="C24" s="154" t="inlineStr">
        <is>
          <t>91.02.03-001</t>
        </is>
      </c>
      <c r="D24" s="154" t="inlineStr">
        <is>
          <t>Гидромолоты на базе экскаватора</t>
        </is>
      </c>
      <c r="E24" s="153" t="inlineStr">
        <is>
          <t>маш.час</t>
        </is>
      </c>
      <c r="F24" s="196" t="n">
        <v>8241.3888888889</v>
      </c>
      <c r="G24" s="88" t="n">
        <v>793.53</v>
      </c>
      <c r="H24" s="88">
        <f>ROUND(F24*G24,2)</f>
        <v/>
      </c>
      <c r="K24" s="120" t="n"/>
    </row>
    <row r="25" ht="31.5" customHeight="1" s="121">
      <c r="A25" s="153" t="n">
        <v>13</v>
      </c>
      <c r="B25" s="100" t="n"/>
      <c r="C25" s="154" t="inlineStr">
        <is>
          <t>91.01.05-085</t>
        </is>
      </c>
      <c r="D25" s="154" t="inlineStr">
        <is>
          <t>Экскаваторы одноковшовые дизельные на гусеничном ходу, емкость ковша 0,5 м3</t>
        </is>
      </c>
      <c r="E25" s="153" t="inlineStr">
        <is>
          <t>маш.час</t>
        </is>
      </c>
      <c r="F25" s="196" t="n">
        <v>3331.9333333333</v>
      </c>
      <c r="G25" s="88" t="n">
        <v>100</v>
      </c>
      <c r="H25" s="88">
        <f>ROUND(F25*G25,2)</f>
        <v/>
      </c>
      <c r="I25" s="122" t="n"/>
      <c r="J25" s="122" t="n"/>
      <c r="K25" s="122" t="n"/>
    </row>
    <row r="26">
      <c r="A26" s="153" t="n">
        <v>14</v>
      </c>
      <c r="B26" s="100" t="n"/>
      <c r="C26" s="154" t="inlineStr">
        <is>
          <t>91.06.06-014</t>
        </is>
      </c>
      <c r="D26" s="154" t="inlineStr">
        <is>
          <t>Автогидроподъемники, высота подъема 28 м</t>
        </is>
      </c>
      <c r="E26" s="153" t="inlineStr">
        <is>
          <t>маш.час</t>
        </is>
      </c>
      <c r="F26" s="196" t="n">
        <v>1044.6777777778</v>
      </c>
      <c r="G26" s="88" t="n">
        <v>243.49</v>
      </c>
      <c r="H26" s="88">
        <f>ROUND(F26*G26,2)</f>
        <v/>
      </c>
      <c r="K26" s="120" t="n"/>
    </row>
    <row r="27" ht="31.5" customHeight="1" s="121">
      <c r="A27" s="153" t="n">
        <v>15</v>
      </c>
      <c r="B27" s="100" t="n"/>
      <c r="C27" s="154" t="inlineStr">
        <is>
          <t>91.05.05-016</t>
        </is>
      </c>
      <c r="D27" s="154" t="inlineStr">
        <is>
          <t>Краны на автомобильном ходу, грузоподъемность 25 т</t>
        </is>
      </c>
      <c r="E27" s="153" t="inlineStr">
        <is>
          <t>маш.час</t>
        </is>
      </c>
      <c r="F27" s="196" t="n">
        <v>463.15555555556</v>
      </c>
      <c r="G27" s="88" t="n">
        <v>476.43</v>
      </c>
      <c r="H27" s="88">
        <f>ROUND(F27*G27,2)</f>
        <v/>
      </c>
      <c r="K27" s="120" t="n"/>
    </row>
    <row r="28" ht="31.5" customHeight="1" s="121">
      <c r="A28" s="153" t="n">
        <v>16</v>
      </c>
      <c r="B28" s="100" t="n"/>
      <c r="C28" s="154" t="inlineStr">
        <is>
          <t>91.05.05-015</t>
        </is>
      </c>
      <c r="D28" s="154" t="inlineStr">
        <is>
          <t>Краны на автомобильном ходу, грузоподъемность 16 т</t>
        </is>
      </c>
      <c r="E28" s="153" t="inlineStr">
        <is>
          <t>маш.час</t>
        </is>
      </c>
      <c r="F28" s="196" t="n">
        <v>1548.4388888889</v>
      </c>
      <c r="G28" s="88" t="n">
        <v>115.4</v>
      </c>
      <c r="H28" s="88">
        <f>ROUND(F28*G28,2)</f>
        <v/>
      </c>
      <c r="K28" s="120" t="n"/>
    </row>
    <row r="29" ht="31.5" customHeight="1" s="121">
      <c r="A29" s="153" t="n">
        <v>17</v>
      </c>
      <c r="B29" s="100" t="n"/>
      <c r="C29" s="154" t="inlineStr">
        <is>
          <t>91.11.02-021</t>
        </is>
      </c>
      <c r="D29" s="154" t="inlineStr">
        <is>
          <t>Комплексы для монтажа проводов методом "под тяжением"</t>
        </is>
      </c>
      <c r="E29" s="153" t="inlineStr">
        <is>
          <t>маш.час</t>
        </is>
      </c>
      <c r="F29" s="196" t="n">
        <v>262.66666666667</v>
      </c>
      <c r="G29" s="88" t="n">
        <v>637.76</v>
      </c>
      <c r="H29" s="88">
        <f>ROUND(F29*G29,2)</f>
        <v/>
      </c>
      <c r="K29" s="120" t="n"/>
    </row>
    <row r="30">
      <c r="A30" s="153" t="n">
        <v>18</v>
      </c>
      <c r="B30" s="100" t="n"/>
      <c r="C30" s="154" t="inlineStr">
        <is>
          <t>91.01.01-038</t>
        </is>
      </c>
      <c r="D30" s="154" t="inlineStr">
        <is>
          <t>Бульдозеры, мощность 121 кВт (165 л.с.)</t>
        </is>
      </c>
      <c r="E30" s="153" t="inlineStr">
        <is>
          <t>маш.час</t>
        </is>
      </c>
      <c r="F30" s="196" t="n">
        <v>1106.75</v>
      </c>
      <c r="G30" s="88" t="n">
        <v>122.4</v>
      </c>
      <c r="H30" s="88">
        <f>ROUND(F30*G30,2)</f>
        <v/>
      </c>
      <c r="K30" s="120" t="n"/>
    </row>
    <row r="31" ht="47.25" customHeight="1" s="121">
      <c r="A31" s="153" t="n">
        <v>19</v>
      </c>
      <c r="B31" s="100" t="n"/>
      <c r="C31" s="154" t="inlineStr">
        <is>
          <t>91.18.01-007</t>
        </is>
      </c>
      <c r="D31" s="15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153" t="inlineStr">
        <is>
          <t>маш.час</t>
        </is>
      </c>
      <c r="F31" s="196" t="n">
        <v>1361.7777777778</v>
      </c>
      <c r="G31" s="88" t="n">
        <v>90</v>
      </c>
      <c r="H31" s="88">
        <f>ROUND(F31*G31,2)</f>
        <v/>
      </c>
      <c r="K31" s="120" t="n"/>
    </row>
    <row r="32" ht="31.5" customHeight="1" s="121">
      <c r="A32" s="153" t="n">
        <v>20</v>
      </c>
      <c r="B32" s="100" t="n"/>
      <c r="C32" s="154" t="inlineStr">
        <is>
          <t>91.15.02-029</t>
        </is>
      </c>
      <c r="D32" s="154" t="inlineStr">
        <is>
          <t>Тракторы на гусеничном ходу с лебедкой 132 кВт (180 л.с.)</t>
        </is>
      </c>
      <c r="E32" s="153" t="inlineStr">
        <is>
          <t>маш.час</t>
        </is>
      </c>
      <c r="F32" s="196" t="n">
        <v>614.85555555556</v>
      </c>
      <c r="G32" s="88" t="n">
        <v>147.43</v>
      </c>
      <c r="H32" s="88">
        <f>ROUND(F32*G32,2)</f>
        <v/>
      </c>
      <c r="K32" s="120" t="n"/>
    </row>
    <row r="33" ht="31.5" customHeight="1" s="121">
      <c r="A33" s="153" t="n">
        <v>21</v>
      </c>
      <c r="B33" s="100" t="n"/>
      <c r="C33" s="154" t="inlineStr">
        <is>
          <t>91.05.08-007</t>
        </is>
      </c>
      <c r="D33" s="154" t="inlineStr">
        <is>
          <t>Краны на пневмоколесном ходу, грузоподъемность 25 т</t>
        </is>
      </c>
      <c r="E33" s="153" t="inlineStr">
        <is>
          <t>маш.час</t>
        </is>
      </c>
      <c r="F33" s="196" t="n">
        <v>555.27222222222</v>
      </c>
      <c r="G33" s="88" t="n">
        <v>102.51</v>
      </c>
      <c r="H33" s="88">
        <f>ROUND(F33*G33,2)</f>
        <v/>
      </c>
      <c r="K33" s="120" t="n"/>
    </row>
    <row r="34" ht="31.5" customHeight="1" s="121">
      <c r="A34" s="153" t="n">
        <v>22</v>
      </c>
      <c r="B34" s="100" t="n"/>
      <c r="C34" s="154" t="inlineStr">
        <is>
          <t>91.13.03-111</t>
        </is>
      </c>
      <c r="D34" s="154" t="inlineStr">
        <is>
          <t>Спецавтомобили-вездеходы, грузоподъемность до 8 т</t>
        </is>
      </c>
      <c r="E34" s="153" t="inlineStr">
        <is>
          <t>маш.час</t>
        </is>
      </c>
      <c r="F34" s="196" t="n">
        <v>282.56666666667</v>
      </c>
      <c r="G34" s="88" t="n">
        <v>189.95</v>
      </c>
      <c r="H34" s="88">
        <f>ROUND(F34*G34,2)</f>
        <v/>
      </c>
      <c r="K34" s="120" t="n"/>
    </row>
    <row r="35">
      <c r="A35" s="153" t="n">
        <v>23</v>
      </c>
      <c r="B35" s="100" t="n"/>
      <c r="C35" s="154" t="inlineStr">
        <is>
          <t>91.08.04-021</t>
        </is>
      </c>
      <c r="D35" s="154" t="inlineStr">
        <is>
          <t>Котлы битумные передвижные 400 л</t>
        </is>
      </c>
      <c r="E35" s="153" t="inlineStr">
        <is>
          <t>маш.час</t>
        </is>
      </c>
      <c r="F35" s="196" t="n">
        <v>1241.4444444444</v>
      </c>
      <c r="G35" s="88" t="n">
        <v>30</v>
      </c>
      <c r="H35" s="88">
        <f>ROUND(F35*G35,2)</f>
        <v/>
      </c>
      <c r="K35" s="120" t="n"/>
    </row>
    <row r="36">
      <c r="A36" s="153" t="n">
        <v>24</v>
      </c>
      <c r="B36" s="100" t="n"/>
      <c r="C36" s="154" t="inlineStr">
        <is>
          <t>91.14.02-002</t>
        </is>
      </c>
      <c r="D36" s="154" t="inlineStr">
        <is>
          <t>Автомобили бортовые, грузоподъемность до 8 т</t>
        </is>
      </c>
      <c r="E36" s="153" t="inlineStr">
        <is>
          <t>маш.час</t>
        </is>
      </c>
      <c r="F36" s="196" t="n">
        <v>243.45</v>
      </c>
      <c r="G36" s="88" t="n">
        <v>85.84</v>
      </c>
      <c r="H36" s="88">
        <f>ROUND(F36*G36,2)</f>
        <v/>
      </c>
      <c r="K36" s="120" t="n"/>
    </row>
    <row r="37">
      <c r="A37" s="153" t="n">
        <v>25</v>
      </c>
      <c r="B37" s="100" t="n"/>
      <c r="C37" s="154" t="inlineStr">
        <is>
          <t>91.14.04-002</t>
        </is>
      </c>
      <c r="D37" s="154" t="inlineStr">
        <is>
          <t>Тягачи седельные, грузоподъемность 15 т</t>
        </is>
      </c>
      <c r="E37" s="153" t="inlineStr">
        <is>
          <t>маш.час</t>
        </is>
      </c>
      <c r="F37" s="196" t="n">
        <v>219.65</v>
      </c>
      <c r="G37" s="88" t="n">
        <v>94.38</v>
      </c>
      <c r="H37" s="88">
        <f>ROUND(F37*G37,2)</f>
        <v/>
      </c>
      <c r="K37" s="120" t="n"/>
    </row>
    <row r="38" ht="31.5" customHeight="1" s="121">
      <c r="A38" s="153" t="n">
        <v>26</v>
      </c>
      <c r="B38" s="100" t="n"/>
      <c r="C38" s="154" t="inlineStr">
        <is>
          <t>91.01.04-003</t>
        </is>
      </c>
      <c r="D38" s="154" t="inlineStr">
        <is>
          <t>Установки однобаровые на тракторе, мощность 79 кВт (108 л.с.), ширина щели 14 см</t>
        </is>
      </c>
      <c r="E38" s="153" t="inlineStr">
        <is>
          <t>маш.час</t>
        </is>
      </c>
      <c r="F38" s="196" t="n">
        <v>141.86666666667</v>
      </c>
      <c r="G38" s="88" t="n">
        <v>127.95</v>
      </c>
      <c r="H38" s="88">
        <f>ROUND(F38*G38,2)</f>
        <v/>
      </c>
      <c r="K38" s="120" t="n"/>
    </row>
    <row r="39" ht="47.25" customHeight="1" s="121">
      <c r="A39" s="153" t="n">
        <v>27</v>
      </c>
      <c r="B39" s="100" t="n"/>
      <c r="C39" s="154" t="inlineStr">
        <is>
          <t>91.05.14-516</t>
        </is>
      </c>
      <c r="D39" s="154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39" s="153" t="inlineStr">
        <is>
          <t>маш.час</t>
        </is>
      </c>
      <c r="F39" s="196" t="n">
        <v>176.53888888889</v>
      </c>
      <c r="G39" s="88" t="n">
        <v>77.64</v>
      </c>
      <c r="H39" s="88">
        <f>ROUND(F39*G39,2)</f>
        <v/>
      </c>
      <c r="K39" s="120" t="n"/>
    </row>
    <row r="40" ht="31.5" customHeight="1" s="121">
      <c r="A40" s="153" t="n">
        <v>28</v>
      </c>
      <c r="B40" s="100" t="n"/>
      <c r="C40" s="154" t="inlineStr">
        <is>
          <t>91.05.14-023</t>
        </is>
      </c>
      <c r="D40" s="154" t="inlineStr">
        <is>
          <t>Краны на тракторе, мощность 121 кВт (165 л.с.), грузоподъемность 5 т</t>
        </is>
      </c>
      <c r="E40" s="153" t="inlineStr">
        <is>
          <t>маш.час</t>
        </is>
      </c>
      <c r="F40" s="196" t="n">
        <v>68.994444444444</v>
      </c>
      <c r="G40" s="88" t="n">
        <v>182.8</v>
      </c>
      <c r="H40" s="88">
        <f>ROUND(F40*G40,2)</f>
        <v/>
      </c>
      <c r="K40" s="120" t="n"/>
    </row>
    <row r="41" ht="31.5" customHeight="1" s="121">
      <c r="A41" s="153" t="n">
        <v>29</v>
      </c>
      <c r="B41" s="100" t="n"/>
      <c r="C41" s="154" t="inlineStr">
        <is>
          <t>91.14.05-012</t>
        </is>
      </c>
      <c r="D41" s="154" t="inlineStr">
        <is>
          <t>Полуприцепы общего назначения, грузоподъемность 15 т</t>
        </is>
      </c>
      <c r="E41" s="153" t="inlineStr">
        <is>
          <t>маш.час</t>
        </is>
      </c>
      <c r="F41" s="196" t="n">
        <v>219.65</v>
      </c>
      <c r="G41" s="88" t="n">
        <v>19.76</v>
      </c>
      <c r="H41" s="88">
        <f>ROUND(F41*G41,2)</f>
        <v/>
      </c>
      <c r="K41" s="120" t="n"/>
    </row>
    <row r="42" ht="31.5" customHeight="1" s="121">
      <c r="A42" s="153" t="n">
        <v>30</v>
      </c>
      <c r="B42" s="100" t="n"/>
      <c r="C42" s="154" t="inlineStr">
        <is>
          <t>91.17.04-036</t>
        </is>
      </c>
      <c r="D42" s="154" t="inlineStr">
        <is>
          <t>Агрегаты сварочные передвижные с дизельным двигателем, номинальный сварочный ток 250-400 А</t>
        </is>
      </c>
      <c r="E42" s="153" t="inlineStr">
        <is>
          <t>маш.час</t>
        </is>
      </c>
      <c r="F42" s="196" t="n">
        <v>232.17222222222</v>
      </c>
      <c r="G42" s="88" t="n">
        <v>14</v>
      </c>
      <c r="H42" s="88">
        <f>ROUND(F42*G42,2)</f>
        <v/>
      </c>
      <c r="K42" s="120" t="n"/>
    </row>
    <row r="43" ht="31.5" customHeight="1" s="121">
      <c r="A43" s="153" t="n">
        <v>31</v>
      </c>
      <c r="B43" s="100" t="n"/>
      <c r="C43" s="154" t="inlineStr">
        <is>
          <t>91.08.09-023</t>
        </is>
      </c>
      <c r="D43" s="154" t="inlineStr">
        <is>
          <t>Трамбовки пневматические при работе от передвижных компрессорных станций</t>
        </is>
      </c>
      <c r="E43" s="153" t="inlineStr">
        <is>
          <t>маш.час</t>
        </is>
      </c>
      <c r="F43" s="196" t="n">
        <v>5444.1388888889</v>
      </c>
      <c r="G43" s="88" t="n">
        <v>0.55</v>
      </c>
      <c r="H43" s="88">
        <f>ROUND(F43*G43,2)</f>
        <v/>
      </c>
      <c r="K43" s="120" t="n"/>
    </row>
    <row r="44" ht="31.5" customHeight="1" s="121">
      <c r="A44" s="153" t="n">
        <v>32</v>
      </c>
      <c r="B44" s="100" t="n"/>
      <c r="C44" s="154" t="inlineStr">
        <is>
          <t>91.06.05-057</t>
        </is>
      </c>
      <c r="D44" s="154" t="inlineStr">
        <is>
          <t>Погрузчики одноковшовые универсальные фронтальные пневмоколесные, грузоподъемность 3 т</t>
        </is>
      </c>
      <c r="E44" s="153" t="inlineStr">
        <is>
          <t>маш.час</t>
        </is>
      </c>
      <c r="F44" s="196" t="n">
        <v>25.438888888889</v>
      </c>
      <c r="G44" s="88" t="n">
        <v>90.40000000000001</v>
      </c>
      <c r="H44" s="88">
        <f>ROUND(F44*G44,2)</f>
        <v/>
      </c>
      <c r="K44" s="120" t="n"/>
    </row>
    <row r="45" ht="31.5" customHeight="1" s="121">
      <c r="A45" s="153" t="n">
        <v>33</v>
      </c>
      <c r="B45" s="100" t="n"/>
      <c r="C45" s="154" t="inlineStr">
        <is>
          <t>91.04.01-032</t>
        </is>
      </c>
      <c r="D45" s="154" t="inlineStr">
        <is>
          <t>Машины бурильно-крановые глубина бурения 1,5-3 м, мощность 66 кВт (90 л.с.)</t>
        </is>
      </c>
      <c r="E45" s="153" t="inlineStr">
        <is>
          <t>маш.час</t>
        </is>
      </c>
      <c r="F45" s="196" t="n">
        <v>11.505555555556</v>
      </c>
      <c r="G45" s="88" t="n">
        <v>140.95</v>
      </c>
      <c r="H45" s="88">
        <f>ROUND(F45*G45,2)</f>
        <v/>
      </c>
      <c r="K45" s="120" t="n"/>
    </row>
    <row r="46">
      <c r="A46" s="153" t="n">
        <v>34</v>
      </c>
      <c r="B46" s="100" t="n"/>
      <c r="C46" s="154" t="inlineStr">
        <is>
          <t>91.01.01-036</t>
        </is>
      </c>
      <c r="D46" s="154" t="inlineStr">
        <is>
          <t>Бульдозеры, мощность 96 кВт (130 л.с.)</t>
        </is>
      </c>
      <c r="E46" s="153" t="inlineStr">
        <is>
          <t>маш.час</t>
        </is>
      </c>
      <c r="F46" s="196" t="n">
        <v>9.8166666666667</v>
      </c>
      <c r="G46" s="88" t="n">
        <v>94.05</v>
      </c>
      <c r="H46" s="88">
        <f>ROUND(F46*G46,2)</f>
        <v/>
      </c>
      <c r="K46" s="120" t="n"/>
    </row>
    <row r="47">
      <c r="A47" s="153" t="n">
        <v>35</v>
      </c>
      <c r="B47" s="100" t="n"/>
      <c r="C47" s="154" t="inlineStr">
        <is>
          <t>ФСЭМ-91.14.03-002</t>
        </is>
      </c>
      <c r="D47" s="154" t="inlineStr">
        <is>
          <t>Автомобили-самосвалы, грузоподъемность до 10 т</t>
        </is>
      </c>
      <c r="E47" s="153" t="inlineStr">
        <is>
          <t>маш.-ч</t>
        </is>
      </c>
      <c r="F47" s="196" t="n">
        <v>9.966666666666701</v>
      </c>
      <c r="G47" s="88" t="n">
        <v>87.48999999999999</v>
      </c>
      <c r="H47" s="88">
        <f>ROUND(F47*G47,2)</f>
        <v/>
      </c>
      <c r="K47" s="120" t="n"/>
    </row>
    <row r="48" ht="31.5" customHeight="1" s="121">
      <c r="A48" s="153" t="n">
        <v>36</v>
      </c>
      <c r="B48" s="100" t="n"/>
      <c r="C48" s="154" t="inlineStr">
        <is>
          <t>91.08.09-024</t>
        </is>
      </c>
      <c r="D48" s="154" t="inlineStr">
        <is>
          <t>Трамбовки пневматические при работе от стационарного компрессора</t>
        </is>
      </c>
      <c r="E48" s="153" t="inlineStr">
        <is>
          <t>маш.час</t>
        </is>
      </c>
      <c r="F48" s="196" t="n">
        <v>145.35</v>
      </c>
      <c r="G48" s="88" t="n">
        <v>4.91</v>
      </c>
      <c r="H48" s="88">
        <f>ROUND(F48*G48,2)</f>
        <v/>
      </c>
      <c r="K48" s="120" t="n"/>
    </row>
    <row r="49">
      <c r="A49" s="153" t="n">
        <v>37</v>
      </c>
      <c r="B49" s="100" t="n"/>
      <c r="C49" s="154" t="inlineStr">
        <is>
          <t>91.06.05-011</t>
        </is>
      </c>
      <c r="D49" s="154" t="inlineStr">
        <is>
          <t>Погрузчики, грузоподъемность 5 т</t>
        </is>
      </c>
      <c r="E49" s="153" t="inlineStr">
        <is>
          <t>маш.час</t>
        </is>
      </c>
      <c r="F49" s="196" t="n">
        <v>6.4722222222222</v>
      </c>
      <c r="G49" s="88" t="n">
        <v>89.98999999999999</v>
      </c>
      <c r="H49" s="88">
        <f>ROUND(F49*G49,2)</f>
        <v/>
      </c>
      <c r="K49" s="120" t="n"/>
    </row>
    <row r="50">
      <c r="A50" s="153" t="n">
        <v>38</v>
      </c>
      <c r="B50" s="100" t="n"/>
      <c r="C50" s="154" t="inlineStr">
        <is>
          <t>91.21.16-012</t>
        </is>
      </c>
      <c r="D50" s="154" t="inlineStr">
        <is>
          <t>Прессы гидравлические с электроприводом</t>
        </is>
      </c>
      <c r="E50" s="153" t="inlineStr">
        <is>
          <t>маш.час</t>
        </is>
      </c>
      <c r="F50" s="196" t="n">
        <v>456.08888888889</v>
      </c>
      <c r="G50" s="88" t="n">
        <v>1.11</v>
      </c>
      <c r="H50" s="88">
        <f>ROUND(F50*G50,2)</f>
        <v/>
      </c>
      <c r="K50" s="120" t="n"/>
    </row>
    <row r="51">
      <c r="A51" s="153" t="n">
        <v>39</v>
      </c>
      <c r="B51" s="100" t="n"/>
      <c r="C51" s="154" t="inlineStr">
        <is>
          <t>91.14.02-001</t>
        </is>
      </c>
      <c r="D51" s="154" t="inlineStr">
        <is>
          <t>Автомобили бортовые, грузоподъемность до 5 т</t>
        </is>
      </c>
      <c r="E51" s="153" t="inlineStr">
        <is>
          <t>маш.час</t>
        </is>
      </c>
      <c r="F51" s="196" t="n">
        <v>6.4722222222222</v>
      </c>
      <c r="G51" s="88" t="n">
        <v>65.70999999999999</v>
      </c>
      <c r="H51" s="88">
        <f>ROUND(F51*G51,2)</f>
        <v/>
      </c>
      <c r="K51" s="120" t="n"/>
    </row>
    <row r="52">
      <c r="A52" s="153" t="n">
        <v>40</v>
      </c>
      <c r="B52" s="100" t="n"/>
      <c r="C52" s="154" t="inlineStr">
        <is>
          <t>91.01.01-039</t>
        </is>
      </c>
      <c r="D52" s="154" t="inlineStr">
        <is>
          <t>Бульдозеры, мощность 132 кВт (180 л.с.)</t>
        </is>
      </c>
      <c r="E52" s="153" t="inlineStr">
        <is>
          <t>маш.час</t>
        </is>
      </c>
      <c r="F52" s="196" t="n">
        <v>1.5777777777778</v>
      </c>
      <c r="G52" s="88" t="n">
        <v>132.79</v>
      </c>
      <c r="H52" s="88">
        <f>ROUND(F52*G52,2)</f>
        <v/>
      </c>
      <c r="K52" s="120" t="n"/>
    </row>
    <row r="53" ht="31.5" customHeight="1" s="121">
      <c r="A53" s="153" t="n">
        <v>41</v>
      </c>
      <c r="B53" s="100" t="n"/>
      <c r="C53" s="154" t="inlineStr">
        <is>
          <t>91.07.08-024</t>
        </is>
      </c>
      <c r="D53" s="154" t="inlineStr">
        <is>
          <t>Растворосмесители передвижные, объем барабана 65 л</t>
        </is>
      </c>
      <c r="E53" s="153" t="inlineStr">
        <is>
          <t>маш.час</t>
        </is>
      </c>
      <c r="F53" s="196" t="n">
        <v>6.4722222222222</v>
      </c>
      <c r="G53" s="88" t="n">
        <v>12.39</v>
      </c>
      <c r="H53" s="88">
        <f>ROUND(F53*G53,2)</f>
        <v/>
      </c>
      <c r="K53" s="120" t="n"/>
    </row>
    <row r="54" ht="31.5" customHeight="1" s="121">
      <c r="A54" s="153" t="n">
        <v>42</v>
      </c>
      <c r="B54" s="100" t="n"/>
      <c r="C54" s="154" t="inlineStr">
        <is>
          <t>91.06.03-060</t>
        </is>
      </c>
      <c r="D54" s="154" t="inlineStr">
        <is>
          <t>Лебедки электрические тяговым усилием до 5,79 кН (0,59 т)</t>
        </is>
      </c>
      <c r="E54" s="153" t="inlineStr">
        <is>
          <t>маш.час</t>
        </is>
      </c>
      <c r="F54" s="196" t="n">
        <v>6.4722222222222</v>
      </c>
      <c r="G54" s="88" t="n">
        <v>1.7</v>
      </c>
      <c r="H54" s="88">
        <f>ROUND(F54*G54,2)</f>
        <v/>
      </c>
      <c r="K54" s="120" t="n"/>
    </row>
    <row r="55">
      <c r="A55" s="152" t="inlineStr">
        <is>
          <t>Оборудование</t>
        </is>
      </c>
      <c r="B55" s="198" t="n"/>
      <c r="C55" s="198" t="n"/>
      <c r="D55" s="198" t="n"/>
      <c r="E55" s="199" t="n"/>
      <c r="F55" s="195" t="n"/>
      <c r="G55" s="83" t="n"/>
      <c r="H55" s="83" t="n">
        <v>0</v>
      </c>
      <c r="J55" s="97" t="n"/>
    </row>
    <row r="56">
      <c r="A56" s="152" t="inlineStr">
        <is>
          <t>Материалы</t>
        </is>
      </c>
      <c r="B56" s="198" t="n"/>
      <c r="C56" s="198" t="n"/>
      <c r="D56" s="198" t="n"/>
      <c r="E56" s="199" t="n"/>
      <c r="F56" s="195" t="n"/>
      <c r="G56" s="83" t="n"/>
      <c r="H56" s="83">
        <f>SUM(H58:H150)</f>
        <v/>
      </c>
      <c r="J56" s="97" t="n"/>
    </row>
    <row r="57">
      <c r="A57" s="154" t="n">
        <v>43</v>
      </c>
      <c r="B57" s="154" t="n"/>
      <c r="C57" s="154" t="inlineStr">
        <is>
          <t>Прайс из СД ОП</t>
        </is>
      </c>
      <c r="D57" s="154" t="inlineStr">
        <is>
          <t>Фундаменты Ф1-А</t>
        </is>
      </c>
      <c r="E57" s="154" t="inlineStr">
        <is>
          <t>м3</t>
        </is>
      </c>
      <c r="F57" s="197" t="n">
        <v>91.573333333333</v>
      </c>
      <c r="G57" s="154" t="n">
        <v>6151.69</v>
      </c>
      <c r="H57" s="88">
        <f>ROUND(F57*G57,2)</f>
        <v/>
      </c>
      <c r="J57" s="97" t="n"/>
    </row>
    <row r="58">
      <c r="A58" s="153" t="n">
        <v>44</v>
      </c>
      <c r="B58" s="101" t="n"/>
      <c r="C58" s="154" t="inlineStr">
        <is>
          <t>22.2.01.03-0002</t>
        </is>
      </c>
      <c r="D58" s="154" t="inlineStr">
        <is>
          <t>Изолятор подвесной стеклянный (ПСВ 210Д)</t>
        </is>
      </c>
      <c r="E58" s="153" t="inlineStr">
        <is>
          <t>шт</t>
        </is>
      </c>
      <c r="F58" s="196" t="n">
        <v>16686.666666667</v>
      </c>
      <c r="G58" s="88" t="n">
        <v>284.68</v>
      </c>
      <c r="H58" s="88">
        <f>ROUND(F58*G58,2)</f>
        <v/>
      </c>
    </row>
    <row r="59">
      <c r="A59" s="154" t="n">
        <v>45</v>
      </c>
      <c r="B59" s="101" t="n"/>
      <c r="C59" s="154" t="inlineStr">
        <is>
          <t>22.2.01.03-0003</t>
        </is>
      </c>
      <c r="D59" s="154" t="inlineStr">
        <is>
          <t>Изолятор подвесной стеклянный ПСД-70Е</t>
        </is>
      </c>
      <c r="E59" s="153" t="inlineStr">
        <is>
          <t>шт</t>
        </is>
      </c>
      <c r="F59" s="196" t="n">
        <v>8840.5555555556</v>
      </c>
      <c r="G59" s="88" t="n">
        <v>169.25</v>
      </c>
      <c r="H59" s="88">
        <f>ROUND(F59*G59,2)</f>
        <v/>
      </c>
    </row>
    <row r="60" ht="63" customHeight="1" s="121">
      <c r="A60" s="153" t="n">
        <v>46</v>
      </c>
      <c r="B60" s="101" t="n"/>
      <c r="C60" s="154" t="inlineStr">
        <is>
          <t>Прайс из СД ОП</t>
        </is>
      </c>
      <c r="D60" s="154" t="inlineStr">
        <is>
          <t>Фундаменты под опоры ВЛ: Ф6-А (№94.95.65.66.70.71.72.73.74.75.86.90.96.54.59.60.61.68.77.78.67.51.53/52.57.58.62.69.82.88.100.101-31 шт.)</t>
        </is>
      </c>
      <c r="E60" s="153" t="inlineStr">
        <is>
          <t>м3</t>
        </is>
      </c>
      <c r="F60" s="196" t="n">
        <v>378</v>
      </c>
      <c r="G60" s="88" t="n">
        <v>6151.69</v>
      </c>
      <c r="H60" s="88">
        <f>ROUND(F60*G60,2)</f>
        <v/>
      </c>
    </row>
    <row r="61">
      <c r="A61" s="154" t="n">
        <v>47</v>
      </c>
      <c r="B61" s="101" t="n"/>
      <c r="C61" s="154" t="inlineStr">
        <is>
          <t>22.2.02.04-0040</t>
        </is>
      </c>
      <c r="D61" s="154" t="inlineStr">
        <is>
          <t>Звено промежуточное регулируемое ПРР-21-1</t>
        </is>
      </c>
      <c r="E61" s="153" t="inlineStr">
        <is>
          <t>шт</t>
        </is>
      </c>
      <c r="F61" s="196" t="n">
        <v>2356.1111111111</v>
      </c>
      <c r="G61" s="88" t="n">
        <v>492.77</v>
      </c>
      <c r="H61" s="88">
        <f>ROUND(F61*G61,2)</f>
        <v/>
      </c>
    </row>
    <row r="62" ht="31.5" customHeight="1" s="121">
      <c r="A62" s="153" t="n">
        <v>48</v>
      </c>
      <c r="B62" s="101" t="n"/>
      <c r="C62" s="154" t="inlineStr">
        <is>
          <t>05.1.01.13-0031</t>
        </is>
      </c>
      <c r="D62" s="154" t="inlineStr">
        <is>
          <t>Плита железобетонная навесная ПН2-А, бетон B22,5 (М300), расход арматуры 158 кг</t>
        </is>
      </c>
      <c r="E62" s="153" t="inlineStr">
        <is>
          <t>м3</t>
        </is>
      </c>
      <c r="F62" s="196" t="n">
        <v>271.6</v>
      </c>
      <c r="G62" s="88" t="n">
        <v>3492.41</v>
      </c>
      <c r="H62" s="88">
        <f>ROUND(F62*G62,2)</f>
        <v/>
      </c>
    </row>
    <row r="63" ht="47.25" customHeight="1" s="121">
      <c r="A63" s="154" t="n">
        <v>49</v>
      </c>
      <c r="B63" s="101" t="n"/>
      <c r="C63" s="154" t="inlineStr">
        <is>
          <t>Прайс из СД ОП</t>
        </is>
      </c>
      <c r="D63" s="154" t="inlineStr">
        <is>
          <t>Фундаменты под опоры ВЛ: ФП5-А-350 ( №№89.52.56.63.64.79.81.85.92.93.98.50.55.76.80.84.91.99.103.53.83.87.97.102-24 *4шт.=96шт.)</t>
        </is>
      </c>
      <c r="E63" s="153" t="inlineStr">
        <is>
          <t>м3</t>
        </is>
      </c>
      <c r="F63" s="196" t="n">
        <v>194.44444444444</v>
      </c>
      <c r="G63" s="88" t="n">
        <v>6151.69</v>
      </c>
      <c r="H63" s="88">
        <f>ROUND(F63*G63,2)</f>
        <v/>
      </c>
    </row>
    <row r="64">
      <c r="A64" s="153" t="n">
        <v>50</v>
      </c>
      <c r="B64" s="101" t="n"/>
      <c r="C64" s="154" t="inlineStr">
        <is>
          <t>20.1.01.12-0002</t>
        </is>
      </c>
      <c r="D64" s="154" t="inlineStr">
        <is>
          <t>Зажим поддерживающий глухой 2ПГН-5-7(А-К)</t>
        </is>
      </c>
      <c r="E64" s="153" t="inlineStr">
        <is>
          <t>шт</t>
        </is>
      </c>
      <c r="F64" s="196" t="n">
        <v>551.1111111111099</v>
      </c>
      <c r="G64" s="88" t="n">
        <v>736.17</v>
      </c>
      <c r="H64" s="88">
        <f>ROUND(F64*G64,2)</f>
        <v/>
      </c>
    </row>
    <row r="65">
      <c r="A65" s="154" t="n">
        <v>51</v>
      </c>
      <c r="B65" s="101" t="n"/>
      <c r="C65" s="154" t="inlineStr">
        <is>
          <t>22.2.01.03-0002</t>
        </is>
      </c>
      <c r="D65" s="154" t="inlineStr">
        <is>
          <t>Изолятор подвесной стеклянный (ПСВ 300A)</t>
        </is>
      </c>
      <c r="E65" s="153" t="inlineStr">
        <is>
          <t>шт</t>
        </is>
      </c>
      <c r="F65" s="196" t="n">
        <v>1058.3333333333</v>
      </c>
      <c r="G65" s="88" t="n">
        <v>284.68</v>
      </c>
      <c r="H65" s="88">
        <f>ROUND(F65*G65,2)</f>
        <v/>
      </c>
    </row>
    <row r="66" ht="31.5" customHeight="1" s="121">
      <c r="A66" s="153" t="n">
        <v>52</v>
      </c>
      <c r="B66" s="101" t="n"/>
      <c r="C66" s="154" t="inlineStr">
        <is>
          <t>20.1.02.21-0037</t>
        </is>
      </c>
      <c r="D66" s="154" t="inlineStr">
        <is>
          <t>Узел крепления КГН-16-5 (Узел крепления КГН-21-5)</t>
        </is>
      </c>
      <c r="E66" s="153" t="inlineStr">
        <is>
          <t>шт</t>
        </is>
      </c>
      <c r="F66" s="196" t="n">
        <v>1183.8888888889</v>
      </c>
      <c r="G66" s="88" t="n">
        <v>326.1</v>
      </c>
      <c r="H66" s="88">
        <f>ROUND(F66*G66,2)</f>
        <v/>
      </c>
    </row>
    <row r="67">
      <c r="A67" s="154" t="n">
        <v>53</v>
      </c>
      <c r="B67" s="101" t="n"/>
      <c r="C67" s="154" t="inlineStr">
        <is>
          <t>20.1.02.05-0007</t>
        </is>
      </c>
      <c r="D67" s="154" t="inlineStr">
        <is>
          <t>Коромысло: 3К2-21-3 (2КЛ-21-1)</t>
        </is>
      </c>
      <c r="E67" s="153" t="inlineStr">
        <is>
          <t>шт</t>
        </is>
      </c>
      <c r="F67" s="196" t="n">
        <v>592.22222222222</v>
      </c>
      <c r="G67" s="88" t="n">
        <v>2845.09</v>
      </c>
      <c r="H67" s="88">
        <f>ROUND(F67*G67,2)</f>
        <v/>
      </c>
    </row>
    <row r="68" ht="31.5" customHeight="1" s="121">
      <c r="A68" s="153" t="n">
        <v>54</v>
      </c>
      <c r="B68" s="101" t="n"/>
      <c r="C68" s="154" t="inlineStr">
        <is>
          <t>20.2.11.01-0030</t>
        </is>
      </c>
      <c r="D68" s="154" t="inlineStr">
        <is>
          <t>Распорка дистанционная трехлучевая гаситель 3РГС-25,2-400-30 (2РД-600В-31У)</t>
        </is>
      </c>
      <c r="E68" s="153" t="inlineStr">
        <is>
          <t>шт</t>
        </is>
      </c>
      <c r="F68" s="196" t="n">
        <v>921.66666666667</v>
      </c>
      <c r="G68" s="88" t="n">
        <v>2116.3</v>
      </c>
      <c r="H68" s="88">
        <f>ROUND(F68*G68,2)</f>
        <v/>
      </c>
    </row>
    <row r="69">
      <c r="A69" s="154" t="n">
        <v>55</v>
      </c>
      <c r="B69" s="101" t="n"/>
      <c r="C69" s="154" t="inlineStr">
        <is>
          <t>07.2.07.13-0242</t>
        </is>
      </c>
      <c r="D69" s="154" t="inlineStr">
        <is>
          <t>Элементы соединительные стальные оцинкованные</t>
        </is>
      </c>
      <c r="E69" s="153" t="inlineStr">
        <is>
          <t>т</t>
        </is>
      </c>
      <c r="F69" s="196" t="n">
        <v>24.774933333333</v>
      </c>
      <c r="G69" s="88" t="n">
        <v>22562.97</v>
      </c>
      <c r="H69" s="88">
        <f>ROUND(F69*G69,2)</f>
        <v/>
      </c>
    </row>
    <row r="70">
      <c r="A70" s="153" t="n">
        <v>56</v>
      </c>
      <c r="B70" s="101" t="n"/>
      <c r="C70" s="154" t="inlineStr">
        <is>
          <t>20.5.04.04-0054</t>
        </is>
      </c>
      <c r="D70" s="154" t="inlineStr">
        <is>
          <t>Зажим натяжной спиральный НС-24,5-01</t>
        </is>
      </c>
      <c r="E70" s="153" t="inlineStr">
        <is>
          <t>шт</t>
        </is>
      </c>
      <c r="F70" s="196" t="n">
        <v>1190.5555555556</v>
      </c>
      <c r="G70" s="88" t="n">
        <v>457.82</v>
      </c>
      <c r="H70" s="88">
        <f>ROUND(F70*G70,2)</f>
        <v/>
      </c>
    </row>
    <row r="71" ht="31.5" customHeight="1" s="121">
      <c r="A71" s="154" t="n">
        <v>57</v>
      </c>
      <c r="B71" s="101" t="n"/>
      <c r="C71" s="154" t="inlineStr">
        <is>
          <t>20.2.11.01-0030</t>
        </is>
      </c>
      <c r="D71" s="154" t="inlineStr">
        <is>
          <t>Распорка дистанционная трехлучевая гаситель 3РГС-25,2-400-30  (2РД-400В-31У)</t>
        </is>
      </c>
      <c r="E71" s="153" t="inlineStr">
        <is>
          <t>шт</t>
        </is>
      </c>
      <c r="F71" s="196" t="n">
        <v>976.1111111111099</v>
      </c>
      <c r="G71" s="88" t="n">
        <v>2116.3</v>
      </c>
      <c r="H71" s="88">
        <f>ROUND(F71*G71,2)</f>
        <v/>
      </c>
    </row>
    <row r="72">
      <c r="A72" s="153" t="n">
        <v>58</v>
      </c>
      <c r="B72" s="101" t="n"/>
      <c r="C72" s="154" t="inlineStr">
        <is>
          <t>22.2.02.04-0015</t>
        </is>
      </c>
      <c r="D72" s="154" t="inlineStr">
        <is>
          <t>Звено промежуточное монтажное ПТМ-21-3</t>
        </is>
      </c>
      <c r="E72" s="153" t="inlineStr">
        <is>
          <t>шт</t>
        </is>
      </c>
      <c r="F72" s="196" t="n">
        <v>1041.1111111111</v>
      </c>
      <c r="G72" s="88" t="n">
        <v>423.41</v>
      </c>
      <c r="H72" s="88">
        <f>ROUND(F72*G72,2)</f>
        <v/>
      </c>
    </row>
    <row r="73" ht="31.5" customHeight="1" s="121">
      <c r="A73" s="154" t="n">
        <v>59</v>
      </c>
      <c r="B73" s="101" t="n"/>
      <c r="C73" s="154" t="inlineStr">
        <is>
          <t>01.2.03.03-0063</t>
        </is>
      </c>
      <c r="D73" s="154" t="inlineStr">
        <is>
          <t>Мастика битумно-резиновая: МБР-65 изоляционная (ГОСТ 15836-79)</t>
        </is>
      </c>
      <c r="E73" s="153" t="inlineStr">
        <is>
          <t>т</t>
        </is>
      </c>
      <c r="F73" s="196" t="n">
        <v>47.05</v>
      </c>
      <c r="G73" s="88" t="n">
        <v>7998.54</v>
      </c>
      <c r="H73" s="88">
        <f>ROUND(F73*G73,2)</f>
        <v/>
      </c>
    </row>
    <row r="74">
      <c r="A74" s="153" t="n">
        <v>60</v>
      </c>
      <c r="B74" s="101" t="n"/>
      <c r="C74" s="154" t="inlineStr">
        <is>
          <t>22.2.02.04-0020</t>
        </is>
      </c>
      <c r="D74" s="154" t="inlineStr">
        <is>
          <t>Звено промежуточное прямое двойное 2ПР-21-1</t>
        </is>
      </c>
      <c r="E74" s="153" t="inlineStr">
        <is>
          <t>шт</t>
        </is>
      </c>
      <c r="F74" s="196" t="n">
        <v>1102.2222222222</v>
      </c>
      <c r="G74" s="88" t="n">
        <v>314.56</v>
      </c>
      <c r="H74" s="88">
        <f>ROUND(F74*G74,2)</f>
        <v/>
      </c>
    </row>
    <row r="75">
      <c r="A75" s="154" t="n">
        <v>61</v>
      </c>
      <c r="B75" s="101" t="n"/>
      <c r="C75" s="154" t="inlineStr">
        <is>
          <t>22.2.02.01-0010</t>
        </is>
      </c>
      <c r="D75" s="154" t="inlineStr">
        <is>
          <t>Гаситель вибрации ГВ-6645-02</t>
        </is>
      </c>
      <c r="E75" s="153" t="inlineStr">
        <is>
          <t>шт</t>
        </is>
      </c>
      <c r="F75" s="196" t="n">
        <v>1285</v>
      </c>
      <c r="G75" s="88" t="n">
        <v>253.83</v>
      </c>
      <c r="H75" s="88">
        <f>ROUND(F75*G75,2)</f>
        <v/>
      </c>
    </row>
    <row r="76">
      <c r="A76" s="153" t="n">
        <v>62</v>
      </c>
      <c r="B76" s="101" t="n"/>
      <c r="C76" s="154" t="inlineStr">
        <is>
          <t>20.1.02.22-0019</t>
        </is>
      </c>
      <c r="D76" s="154" t="inlineStr">
        <is>
          <t>Ушко: У1-21-20</t>
        </is>
      </c>
      <c r="E76" s="153" t="inlineStr">
        <is>
          <t>шт</t>
        </is>
      </c>
      <c r="F76" s="196" t="n">
        <v>1102.2222222222</v>
      </c>
      <c r="G76" s="88" t="n">
        <v>289.31</v>
      </c>
      <c r="H76" s="88">
        <f>ROUND(F76*G76,2)</f>
        <v/>
      </c>
    </row>
    <row r="77" ht="31.5" customHeight="1" s="121">
      <c r="A77" s="154" t="n">
        <v>63</v>
      </c>
      <c r="B77" s="101" t="n"/>
      <c r="C77" s="154" t="inlineStr">
        <is>
          <t>20.5.04.08-0007</t>
        </is>
      </c>
      <c r="D77" s="154" t="inlineStr">
        <is>
          <t>Зажим соединительный: шлейфовый спиральный ШС-24,0-01</t>
        </is>
      </c>
      <c r="E77" s="153" t="inlineStr">
        <is>
          <t>шт</t>
        </is>
      </c>
      <c r="F77" s="196" t="n">
        <v>592.22222222222</v>
      </c>
      <c r="G77" s="88" t="n">
        <v>535.9299999999999</v>
      </c>
      <c r="H77" s="88">
        <f>ROUND(F77*G77,2)</f>
        <v/>
      </c>
      <c r="I77" s="122" t="n"/>
      <c r="J77" s="122" t="n"/>
    </row>
    <row r="78">
      <c r="A78" s="153" t="n">
        <v>64</v>
      </c>
      <c r="B78" s="101" t="n"/>
      <c r="C78" s="154" t="n"/>
      <c r="D78" s="154" t="inlineStr">
        <is>
          <t>Итого основные материалы</t>
        </is>
      </c>
      <c r="E78" s="153" t="n"/>
      <c r="F78" s="196" t="n">
        <v>0</v>
      </c>
      <c r="G78" s="88" t="n"/>
      <c r="H78" s="88">
        <f>ROUND(F78*G78,2)</f>
        <v/>
      </c>
      <c r="I78" s="122" t="n"/>
      <c r="J78" s="122" t="n"/>
    </row>
    <row r="79">
      <c r="A79" s="154" t="n">
        <v>65</v>
      </c>
      <c r="B79" s="101" t="n"/>
      <c r="C79" s="154" t="inlineStr">
        <is>
          <t>22.2.02.04-0038</t>
        </is>
      </c>
      <c r="D79" s="154" t="inlineStr">
        <is>
          <t>Звено промежуточное регулируемое ПРР-16-1</t>
        </is>
      </c>
      <c r="E79" s="153" t="inlineStr">
        <is>
          <t>шт</t>
        </is>
      </c>
      <c r="F79" s="196" t="n">
        <v>1379.4444444444</v>
      </c>
      <c r="G79" s="88" t="n">
        <v>228.79</v>
      </c>
      <c r="H79" s="88">
        <f>ROUND(F79*G79,2)</f>
        <v/>
      </c>
      <c r="I79" s="122" t="n"/>
      <c r="J79" s="122" t="n"/>
    </row>
    <row r="80">
      <c r="A80" s="153" t="n">
        <v>66</v>
      </c>
      <c r="B80" s="101" t="n"/>
      <c r="C80" s="154" t="inlineStr">
        <is>
          <t>01.7.15.10-0035</t>
        </is>
      </c>
      <c r="D80" s="154" t="inlineStr">
        <is>
          <t>Скобы СК-21-1А</t>
        </is>
      </c>
      <c r="E80" s="153" t="inlineStr">
        <is>
          <t>шт</t>
        </is>
      </c>
      <c r="F80" s="196" t="n">
        <v>2223.8888888889</v>
      </c>
      <c r="G80" s="88" t="n">
        <v>116.92</v>
      </c>
      <c r="H80" s="88">
        <f>ROUND(F80*G80,2)</f>
        <v/>
      </c>
      <c r="I80" s="122" t="n"/>
      <c r="J80" s="122" t="n"/>
    </row>
    <row r="81">
      <c r="A81" s="154" t="n">
        <v>67</v>
      </c>
      <c r="B81" s="101" t="n"/>
      <c r="C81" s="154" t="inlineStr">
        <is>
          <t>22.2.01.03-0001</t>
        </is>
      </c>
      <c r="D81" s="154" t="inlineStr">
        <is>
          <t>Изолятор подвесной стеклянный ПСВ-120Б</t>
        </is>
      </c>
      <c r="E81" s="153" t="inlineStr">
        <is>
          <t>шт</t>
        </is>
      </c>
      <c r="F81" s="196" t="n">
        <v>1016.1111111111</v>
      </c>
      <c r="G81" s="88" t="n">
        <v>202.55</v>
      </c>
      <c r="H81" s="88">
        <f>ROUND(F81*G81,2)</f>
        <v/>
      </c>
      <c r="I81" s="122" t="n"/>
      <c r="J81" s="122" t="n"/>
    </row>
    <row r="82">
      <c r="A82" s="153" t="n">
        <v>68</v>
      </c>
      <c r="B82" s="101" t="n"/>
      <c r="C82" s="154" t="inlineStr">
        <is>
          <t>22.2.02.04-0012</t>
        </is>
      </c>
      <c r="D82" s="154" t="inlineStr">
        <is>
          <t>Звено промежуточное монтажное ПТМ-16-3</t>
        </is>
      </c>
      <c r="E82" s="153" t="inlineStr">
        <is>
          <t>шт</t>
        </is>
      </c>
      <c r="F82" s="196" t="n">
        <v>1349.4444444444</v>
      </c>
      <c r="G82" s="88" t="n">
        <v>148.2</v>
      </c>
      <c r="H82" s="88">
        <f>ROUND(F82*G82,2)</f>
        <v/>
      </c>
      <c r="I82" s="122" t="n"/>
      <c r="J82" s="122" t="n"/>
    </row>
    <row r="83">
      <c r="A83" s="154" t="n">
        <v>69</v>
      </c>
      <c r="B83" s="101" t="n"/>
      <c r="C83" s="154" t="inlineStr">
        <is>
          <t>22.2.02.04-0019</t>
        </is>
      </c>
      <c r="D83" s="154" t="inlineStr">
        <is>
          <t>Звено промежуточное прямое двойное 2ПР-16-1</t>
        </is>
      </c>
      <c r="E83" s="153" t="inlineStr">
        <is>
          <t>шт</t>
        </is>
      </c>
      <c r="F83" s="196" t="n">
        <v>1326.6666666667</v>
      </c>
      <c r="G83" s="88" t="n">
        <v>114.15</v>
      </c>
      <c r="H83" s="88">
        <f>ROUND(F83*G83,2)</f>
        <v/>
      </c>
      <c r="I83" s="122" t="n"/>
      <c r="J83" s="122" t="n"/>
    </row>
    <row r="84">
      <c r="A84" s="153" t="n">
        <v>70</v>
      </c>
      <c r="B84" s="101" t="n"/>
      <c r="C84" s="154" t="inlineStr">
        <is>
          <t>22.2.02.04-0024</t>
        </is>
      </c>
      <c r="D84" s="154" t="inlineStr">
        <is>
          <t>Звено промежуточное прямое ПР-21-6</t>
        </is>
      </c>
      <c r="E84" s="153" t="inlineStr">
        <is>
          <t>шт</t>
        </is>
      </c>
      <c r="F84" s="196" t="n">
        <v>1041.1111111111</v>
      </c>
      <c r="G84" s="88" t="n">
        <v>142.98</v>
      </c>
      <c r="H84" s="88">
        <f>ROUND(F84*G84,2)</f>
        <v/>
      </c>
      <c r="I84" s="122" t="n"/>
      <c r="J84" s="122" t="n"/>
    </row>
    <row r="85">
      <c r="A85" s="154" t="n">
        <v>71</v>
      </c>
      <c r="B85" s="101" t="n"/>
      <c r="C85" s="154" t="inlineStr">
        <is>
          <t>05.1.05.16-0221</t>
        </is>
      </c>
      <c r="D85" s="154" t="inlineStr">
        <is>
          <t>Фундаменты сборные железобетонные ВЛ и ОРУ</t>
        </is>
      </c>
      <c r="E85" s="153" t="inlineStr">
        <is>
          <t>м3</t>
        </is>
      </c>
      <c r="F85" s="196" t="n">
        <v>91.573333333333</v>
      </c>
      <c r="G85" s="88" t="n">
        <v>1597.37</v>
      </c>
      <c r="H85" s="88">
        <f>ROUND(F85*G85,2)</f>
        <v/>
      </c>
      <c r="I85" s="122" t="n"/>
      <c r="J85" s="122" t="n"/>
    </row>
    <row r="86">
      <c r="A86" s="153" t="n">
        <v>72</v>
      </c>
      <c r="B86" s="101" t="n"/>
      <c r="C86" s="154" t="inlineStr">
        <is>
          <t>20.2.02.06-0002</t>
        </is>
      </c>
      <c r="D86" s="154" t="inlineStr">
        <is>
          <t>Экран защитный: ЭЗ-500-5</t>
        </is>
      </c>
      <c r="E86" s="153" t="inlineStr">
        <is>
          <t>шт</t>
        </is>
      </c>
      <c r="F86" s="196" t="n">
        <v>1190.5555555556</v>
      </c>
      <c r="G86" s="88" t="n">
        <v>122.11</v>
      </c>
      <c r="H86" s="88">
        <f>ROUND(F86*G86,2)</f>
        <v/>
      </c>
      <c r="I86" s="122" t="n"/>
      <c r="J86" s="122" t="n"/>
    </row>
    <row r="87" ht="31.5" customHeight="1" s="121">
      <c r="A87" s="154" t="n">
        <v>73</v>
      </c>
      <c r="B87" s="101" t="n"/>
      <c r="C87" s="154" t="inlineStr">
        <is>
          <t>01.2.03.02-0001</t>
        </is>
      </c>
      <c r="D87" s="154" t="inlineStr">
        <is>
          <t>Грунтовка битумная под полимерное или резиновое покрытие</t>
        </is>
      </c>
      <c r="E87" s="153" t="inlineStr">
        <is>
          <t>т</t>
        </is>
      </c>
      <c r="F87" s="196" t="n">
        <v>3.6594444444444</v>
      </c>
      <c r="G87" s="88" t="n">
        <v>31060</v>
      </c>
      <c r="H87" s="88">
        <f>ROUND(F87*G87,2)</f>
        <v/>
      </c>
      <c r="I87" s="122" t="n"/>
      <c r="J87" s="122" t="n"/>
    </row>
    <row r="88" ht="31.5" customHeight="1" s="121">
      <c r="A88" s="153" t="n">
        <v>74</v>
      </c>
      <c r="B88" s="101" t="n"/>
      <c r="C88" s="154" t="inlineStr">
        <is>
          <t>22.2.01.03-0001</t>
        </is>
      </c>
      <c r="D88" s="154" t="inlineStr">
        <is>
          <t>Изолятор подвесной стеклянный ПСВ-120Б (U 120 AD)</t>
        </is>
      </c>
      <c r="E88" s="153" t="inlineStr">
        <is>
          <t>шт</t>
        </is>
      </c>
      <c r="F88" s="196" t="n">
        <v>556.66666666667</v>
      </c>
      <c r="G88" s="88" t="n">
        <v>202.55</v>
      </c>
      <c r="H88" s="88">
        <f>ROUND(F88*G88,2)</f>
        <v/>
      </c>
      <c r="I88" s="122" t="n"/>
      <c r="J88" s="122" t="n"/>
    </row>
    <row r="89">
      <c r="A89" s="154" t="n">
        <v>75</v>
      </c>
      <c r="B89" s="101" t="n"/>
      <c r="C89" s="154" t="inlineStr">
        <is>
          <t>01.7.11.02-0006</t>
        </is>
      </c>
      <c r="D89" s="154" t="inlineStr">
        <is>
          <t>Патрон термитный ПАС-300</t>
        </is>
      </c>
      <c r="E89" s="153" t="inlineStr">
        <is>
          <t>шт</t>
        </is>
      </c>
      <c r="F89" s="196" t="n">
        <v>592.22222222222</v>
      </c>
      <c r="G89" s="88" t="n">
        <v>173.41</v>
      </c>
      <c r="H89" s="88">
        <f>ROUND(F89*G89,2)</f>
        <v/>
      </c>
      <c r="I89" s="122" t="n"/>
      <c r="J89" s="122" t="n"/>
    </row>
    <row r="90">
      <c r="A90" s="153" t="n">
        <v>76</v>
      </c>
      <c r="B90" s="101" t="n"/>
      <c r="C90" s="154" t="inlineStr">
        <is>
          <t>05.1.03.13-0184</t>
        </is>
      </c>
      <c r="D90" s="154" t="inlineStr">
        <is>
          <t>Ригели сборные железобетонные Р1-А</t>
        </is>
      </c>
      <c r="E90" s="153" t="inlineStr">
        <is>
          <t>м3</t>
        </is>
      </c>
      <c r="F90" s="196" t="n">
        <v>19.212444444444</v>
      </c>
      <c r="G90" s="88" t="n">
        <v>4950.75</v>
      </c>
      <c r="H90" s="88">
        <f>ROUND(F90*G90,2)</f>
        <v/>
      </c>
      <c r="I90" s="122" t="n"/>
      <c r="J90" s="122" t="n"/>
    </row>
    <row r="91" ht="63" customHeight="1" s="121">
      <c r="A91" s="154" t="n">
        <v>77</v>
      </c>
      <c r="B91" s="101" t="n"/>
      <c r="C91" s="154" t="inlineStr">
        <is>
          <t>14.4.03.10-0003</t>
        </is>
      </c>
      <c r="D91" s="154" t="inlineStr">
        <is>
          <t>Раствор хлорсульфированного полиэтилена в ксилоле (сольвенте), предназначен для защиты от коррозии трещинообразующих или деформируемых строительных конструкций</t>
        </is>
      </c>
      <c r="E91" s="153" t="inlineStr">
        <is>
          <t>т</t>
        </is>
      </c>
      <c r="F91" s="196" t="n">
        <v>4.1822222222222</v>
      </c>
      <c r="G91" s="88" t="n">
        <v>22600</v>
      </c>
      <c r="H91" s="88">
        <f>ROUND(F91*G91,2)</f>
        <v/>
      </c>
      <c r="I91" s="122" t="n"/>
      <c r="J91" s="122" t="n"/>
    </row>
    <row r="92">
      <c r="A92" s="153" t="n">
        <v>78</v>
      </c>
      <c r="B92" s="101" t="n"/>
      <c r="C92" s="154" t="inlineStr">
        <is>
          <t>20.5.04.07-0041</t>
        </is>
      </c>
      <c r="D92" s="154" t="inlineStr">
        <is>
          <t>Зажим соединительный спиральный СС-24,5-11</t>
        </is>
      </c>
      <c r="E92" s="153" t="inlineStr">
        <is>
          <t>шт</t>
        </is>
      </c>
      <c r="F92" s="196" t="n">
        <v>77.222222222222</v>
      </c>
      <c r="G92" s="88" t="n">
        <v>1221.05</v>
      </c>
      <c r="H92" s="88">
        <f>ROUND(F92*G92,2)</f>
        <v/>
      </c>
      <c r="I92" s="122" t="n"/>
      <c r="J92" s="122" t="n"/>
    </row>
    <row r="93">
      <c r="A93" s="154" t="n">
        <v>79</v>
      </c>
      <c r="B93" s="101" t="n"/>
      <c r="C93" s="154" t="inlineStr">
        <is>
          <t>22.2.02.04-0051</t>
        </is>
      </c>
      <c r="D93" s="154" t="inlineStr">
        <is>
          <t>Звено промежуточное трехлапчатое ПРТ-16/21-2</t>
        </is>
      </c>
      <c r="E93" s="153" t="inlineStr">
        <is>
          <t>шт</t>
        </is>
      </c>
      <c r="F93" s="196" t="n">
        <v>1183.8888888889</v>
      </c>
      <c r="G93" s="88" t="n">
        <v>75.52</v>
      </c>
      <c r="H93" s="88">
        <f>ROUND(F93*G93,2)</f>
        <v/>
      </c>
      <c r="I93" s="122" t="n"/>
      <c r="J93" s="122" t="n"/>
    </row>
    <row r="94">
      <c r="A94" s="153" t="n">
        <v>80</v>
      </c>
      <c r="B94" s="101" t="n"/>
      <c r="C94" s="154" t="inlineStr">
        <is>
          <t>22.2.02.04-0004</t>
        </is>
      </c>
      <c r="D94" s="154" t="inlineStr">
        <is>
          <t>Звено промежуточное вывернутое ПРВ-21-1</t>
        </is>
      </c>
      <c r="E94" s="153" t="inlineStr">
        <is>
          <t>шт</t>
        </is>
      </c>
      <c r="F94" s="196" t="n">
        <v>1041.1111111111</v>
      </c>
      <c r="G94" s="88" t="n">
        <v>83.93000000000001</v>
      </c>
      <c r="H94" s="88">
        <f>ROUND(F94*G94,2)</f>
        <v/>
      </c>
      <c r="I94" s="122" t="n"/>
      <c r="J94" s="122" t="n"/>
    </row>
    <row r="95">
      <c r="A95" s="154" t="n">
        <v>81</v>
      </c>
      <c r="B95" s="101" t="n"/>
      <c r="C95" s="154" t="inlineStr">
        <is>
          <t>22.2.02.04-0003</t>
        </is>
      </c>
      <c r="D95" s="154" t="inlineStr">
        <is>
          <t>Звено промежуточное вывернутое ПРВ-16-1</t>
        </is>
      </c>
      <c r="E95" s="153" t="inlineStr">
        <is>
          <t>шт</t>
        </is>
      </c>
      <c r="F95" s="196" t="n">
        <v>1326.6666666667</v>
      </c>
      <c r="G95" s="88" t="n">
        <v>63.58</v>
      </c>
      <c r="H95" s="88">
        <f>ROUND(F95*G95,2)</f>
        <v/>
      </c>
      <c r="I95" s="122" t="n"/>
      <c r="J95" s="122" t="n"/>
    </row>
    <row r="96">
      <c r="A96" s="153" t="n">
        <v>82</v>
      </c>
      <c r="B96" s="101" t="n"/>
      <c r="C96" s="154" t="inlineStr">
        <is>
          <t>22.2.02.04-0023</t>
        </is>
      </c>
      <c r="D96" s="154" t="inlineStr">
        <is>
          <t>Звено промежуточное прямое ПР-16-6</t>
        </is>
      </c>
      <c r="E96" s="153" t="inlineStr">
        <is>
          <t>шт</t>
        </is>
      </c>
      <c r="F96" s="196" t="n">
        <v>1356.1111111111</v>
      </c>
      <c r="G96" s="88" t="n">
        <v>60.08</v>
      </c>
      <c r="H96" s="88">
        <f>ROUND(F96*G96,2)</f>
        <v/>
      </c>
      <c r="I96" s="122" t="n"/>
      <c r="J96" s="122" t="n"/>
    </row>
    <row r="97" ht="31.5" customHeight="1" s="121">
      <c r="A97" s="154" t="n">
        <v>83</v>
      </c>
      <c r="B97" s="101" t="n"/>
      <c r="C97" s="154" t="inlineStr">
        <is>
          <t>22.2.02.11-0032</t>
        </is>
      </c>
      <c r="D97" s="154" t="inlineStr">
        <is>
          <t>Болты сборочные с гайками и шайбами по классу прочности 5.8</t>
        </is>
      </c>
      <c r="E97" s="153" t="inlineStr">
        <is>
          <t>т</t>
        </is>
      </c>
      <c r="F97" s="196" t="n">
        <v>5.32</v>
      </c>
      <c r="G97" s="88" t="n">
        <v>14969.51</v>
      </c>
      <c r="H97" s="88">
        <f>ROUND(F97*G97,2)</f>
        <v/>
      </c>
      <c r="I97" s="122" t="n"/>
      <c r="J97" s="122" t="n"/>
    </row>
    <row r="98">
      <c r="A98" s="153" t="n">
        <v>84</v>
      </c>
      <c r="B98" s="101" t="n"/>
      <c r="C98" s="154" t="inlineStr">
        <is>
          <t>20.1.02.14-1008</t>
        </is>
      </c>
      <c r="D98" s="154" t="inlineStr">
        <is>
          <t>Серьга СР-21-20</t>
        </is>
      </c>
      <c r="E98" s="153" t="inlineStr">
        <is>
          <t>шт</t>
        </is>
      </c>
      <c r="F98" s="196" t="n">
        <v>1102.2222222222</v>
      </c>
      <c r="G98" s="88" t="n">
        <v>68.73</v>
      </c>
      <c r="H98" s="88">
        <f>ROUND(F98*G98,2)</f>
        <v/>
      </c>
      <c r="I98" s="122" t="n"/>
      <c r="J98" s="122" t="n"/>
    </row>
    <row r="99" ht="31.5" customHeight="1" s="121">
      <c r="A99" s="154" t="n">
        <v>85</v>
      </c>
      <c r="B99" s="101" t="n"/>
      <c r="C99" s="154" t="inlineStr">
        <is>
          <t>08.4.03.02-0006</t>
        </is>
      </c>
      <c r="D99" s="154" t="inlineStr">
        <is>
          <t>Сталь арматурная, горячекатаная, гладкая, класс А-I, диаметр 16-18 мм</t>
        </is>
      </c>
      <c r="E99" s="153" t="inlineStr">
        <is>
          <t>т</t>
        </is>
      </c>
      <c r="F99" s="196" t="n">
        <v>11.403866666667</v>
      </c>
      <c r="G99" s="88" t="n">
        <v>5650</v>
      </c>
      <c r="H99" s="88">
        <f>ROUND(F99*G99,2)</f>
        <v/>
      </c>
      <c r="I99" s="122" t="n"/>
      <c r="J99" s="122" t="n"/>
    </row>
    <row r="100">
      <c r="A100" s="153" t="n">
        <v>86</v>
      </c>
      <c r="B100" s="101" t="n"/>
      <c r="C100" s="154" t="inlineStr">
        <is>
          <t>22.2.02.01-0013</t>
        </is>
      </c>
      <c r="D100" s="154" t="inlineStr">
        <is>
          <t>Гаситель вибрации ГВН-3-12</t>
        </is>
      </c>
      <c r="E100" s="153" t="inlineStr">
        <is>
          <t>шт</t>
        </is>
      </c>
      <c r="F100" s="196" t="n">
        <v>1054.4444444444</v>
      </c>
      <c r="G100" s="88" t="n">
        <v>75.29000000000001</v>
      </c>
      <c r="H100" s="88">
        <f>ROUND(F100*G100,2)</f>
        <v/>
      </c>
      <c r="I100" s="122" t="n"/>
      <c r="J100" s="122" t="n"/>
    </row>
    <row r="101">
      <c r="A101" s="154" t="n">
        <v>87</v>
      </c>
      <c r="B101" s="101" t="n"/>
      <c r="C101" s="154" t="inlineStr">
        <is>
          <t>22.2.01.03-0002</t>
        </is>
      </c>
      <c r="D101" s="154" t="inlineStr">
        <is>
          <t>Изолятор подвесной стеклянный ПСВ-160А</t>
        </is>
      </c>
      <c r="E101" s="153" t="inlineStr">
        <is>
          <t>шт</t>
        </is>
      </c>
      <c r="F101" s="196" t="n">
        <v>201.66666666667</v>
      </c>
      <c r="G101" s="88" t="n">
        <v>284.68</v>
      </c>
      <c r="H101" s="88">
        <f>ROUND(F101*G101,2)</f>
        <v/>
      </c>
      <c r="I101" s="122" t="n"/>
      <c r="J101" s="122" t="n"/>
    </row>
    <row r="102">
      <c r="A102" s="153" t="n">
        <v>88</v>
      </c>
      <c r="B102" s="101" t="n"/>
      <c r="C102" s="154" t="inlineStr">
        <is>
          <t>20.2.11.02-0001</t>
        </is>
      </c>
      <c r="D102" s="154" t="inlineStr">
        <is>
          <t>Распорка дистанционная утяжеленная РУ-2-400</t>
        </is>
      </c>
      <c r="E102" s="153" t="inlineStr">
        <is>
          <t>шт</t>
        </is>
      </c>
      <c r="F102" s="196" t="n">
        <v>789.44444444444</v>
      </c>
      <c r="G102" s="88" t="n">
        <v>72.63</v>
      </c>
      <c r="H102" s="88">
        <f>ROUND(F102*G102,2)</f>
        <v/>
      </c>
      <c r="I102" s="122" t="n"/>
      <c r="J102" s="122" t="n"/>
    </row>
    <row r="103">
      <c r="A103" s="154" t="n">
        <v>89</v>
      </c>
      <c r="B103" s="101" t="n"/>
      <c r="C103" s="154" t="inlineStr">
        <is>
          <t>20.1.02.22-0020</t>
        </is>
      </c>
      <c r="D103" s="154" t="inlineStr">
        <is>
          <t>Ушко: У1-30-24</t>
        </is>
      </c>
      <c r="E103" s="153" t="inlineStr">
        <is>
          <t>шт</t>
        </is>
      </c>
      <c r="F103" s="196" t="n">
        <v>75</v>
      </c>
      <c r="G103" s="88" t="n">
        <v>683.1</v>
      </c>
      <c r="H103" s="88">
        <f>ROUND(F103*G103,2)</f>
        <v/>
      </c>
      <c r="I103" s="122" t="n"/>
      <c r="J103" s="122" t="n"/>
    </row>
    <row r="104">
      <c r="A104" s="153" t="n">
        <v>90</v>
      </c>
      <c r="B104" s="101" t="n"/>
      <c r="C104" s="154" t="inlineStr">
        <is>
          <t>02.2.05.04-1777</t>
        </is>
      </c>
      <c r="D104" s="154" t="inlineStr">
        <is>
          <t>Щебень М 800, фракция 20-40 мм, группа 2</t>
        </is>
      </c>
      <c r="E104" s="153" t="inlineStr">
        <is>
          <t>м3</t>
        </is>
      </c>
      <c r="F104" s="196" t="n">
        <v>472.39111111111</v>
      </c>
      <c r="G104" s="88" t="n">
        <v>108.4</v>
      </c>
      <c r="H104" s="88">
        <f>ROUND(F104*G104,2)</f>
        <v/>
      </c>
      <c r="I104" s="122" t="n"/>
      <c r="J104" s="122" t="n"/>
    </row>
    <row r="105">
      <c r="A105" s="154" t="n">
        <v>91</v>
      </c>
      <c r="B105" s="101" t="n"/>
      <c r="C105" s="154" t="inlineStr">
        <is>
          <t>20.1.02.11-0006</t>
        </is>
      </c>
      <c r="D105" s="154" t="inlineStr">
        <is>
          <t>Протектор защитный спиральный ПЗС-17,1-11</t>
        </is>
      </c>
      <c r="E105" s="153" t="inlineStr">
        <is>
          <t>шт</t>
        </is>
      </c>
      <c r="F105" s="196" t="n">
        <v>116.11111111111</v>
      </c>
      <c r="G105" s="88" t="n">
        <v>111.95</v>
      </c>
      <c r="H105" s="88">
        <f>ROUND(F105*G105,2)</f>
        <v/>
      </c>
      <c r="I105" s="122" t="n"/>
      <c r="J105" s="122" t="n"/>
    </row>
    <row r="106">
      <c r="A106" s="153" t="n">
        <v>92</v>
      </c>
      <c r="B106" s="101" t="n"/>
      <c r="C106" s="154" t="inlineStr">
        <is>
          <t>20.1.02.22-0007</t>
        </is>
      </c>
      <c r="D106" s="154" t="inlineStr">
        <is>
          <t>Ушко: специальное укороченное УСК-7-16</t>
        </is>
      </c>
      <c r="E106" s="153" t="inlineStr">
        <is>
          <t>шт</t>
        </is>
      </c>
      <c r="F106" s="196" t="n">
        <v>493.33333333333</v>
      </c>
      <c r="G106" s="88" t="n">
        <v>85.05</v>
      </c>
      <c r="H106" s="88">
        <f>ROUND(F106*G106,2)</f>
        <v/>
      </c>
      <c r="I106" s="122" t="n"/>
      <c r="J106" s="122" t="n"/>
    </row>
    <row r="107" ht="31.5" customHeight="1" s="121">
      <c r="A107" s="154" t="n">
        <v>93</v>
      </c>
      <c r="B107" s="101" t="n"/>
      <c r="C107" s="154" t="inlineStr">
        <is>
          <t>20.2.11.01-0030</t>
        </is>
      </c>
      <c r="D107" s="154" t="inlineStr">
        <is>
          <t>Распорка дистанционная трехлучевая гаситель 3РГС-25,2-400-30 (2РД-500В-31У)</t>
        </is>
      </c>
      <c r="E107" s="153" t="inlineStr">
        <is>
          <t>шт</t>
        </is>
      </c>
      <c r="F107" s="196" t="n">
        <v>65</v>
      </c>
      <c r="G107" s="88" t="n">
        <v>2116.3</v>
      </c>
      <c r="H107" s="88">
        <f>ROUND(F107*G107,2)</f>
        <v/>
      </c>
    </row>
    <row r="108">
      <c r="A108" s="153" t="n">
        <v>94</v>
      </c>
      <c r="B108" s="101" t="n"/>
      <c r="C108" s="154" t="inlineStr">
        <is>
          <t>20.1.02.22-0026</t>
        </is>
      </c>
      <c r="D108" s="154" t="inlineStr">
        <is>
          <t>Ушко: У-16-20</t>
        </is>
      </c>
      <c r="E108" s="153" t="inlineStr">
        <is>
          <t>шт</t>
        </is>
      </c>
      <c r="F108" s="196" t="n">
        <v>166.11111111111</v>
      </c>
      <c r="G108" s="88" t="n">
        <v>220.79</v>
      </c>
      <c r="H108" s="88">
        <f>ROUND(F108*G108,2)</f>
        <v/>
      </c>
    </row>
    <row r="109">
      <c r="A109" s="154" t="n">
        <v>95</v>
      </c>
      <c r="B109" s="101" t="n"/>
      <c r="C109" s="154" t="inlineStr">
        <is>
          <t>20.1.02.21-0050</t>
        </is>
      </c>
      <c r="D109" s="154" t="inlineStr">
        <is>
          <t>Узел крепления КГП-16-3</t>
        </is>
      </c>
      <c r="E109" s="153" t="inlineStr">
        <is>
          <t>шт</t>
        </is>
      </c>
      <c r="F109" s="196" t="n">
        <v>551.1111111111099</v>
      </c>
      <c r="G109" s="88" t="n">
        <v>43.67</v>
      </c>
      <c r="H109" s="88">
        <f>ROUND(F109*G109,2)</f>
        <v/>
      </c>
    </row>
    <row r="110" ht="31.5" customHeight="1" s="121">
      <c r="A110" s="153" t="n">
        <v>96</v>
      </c>
      <c r="B110" s="101" t="n"/>
      <c r="C110" s="154" t="inlineStr">
        <is>
          <t>22.2.02.04-0020</t>
        </is>
      </c>
      <c r="D110" s="154" t="inlineStr">
        <is>
          <t>Звено промежуточное прямое двойное 2ПР-21-1 (2ПР-30-1)</t>
        </is>
      </c>
      <c r="E110" s="153" t="inlineStr">
        <is>
          <t>шт</t>
        </is>
      </c>
      <c r="F110" s="196" t="n">
        <v>75</v>
      </c>
      <c r="G110" s="88" t="n">
        <v>314.56</v>
      </c>
      <c r="H110" s="88">
        <f>ROUND(F110*G110,2)</f>
        <v/>
      </c>
    </row>
    <row r="111">
      <c r="A111" s="154" t="n">
        <v>97</v>
      </c>
      <c r="B111" s="101" t="n"/>
      <c r="C111" s="154" t="inlineStr">
        <is>
          <t>08.1.02.11-0006</t>
        </is>
      </c>
      <c r="D111" s="154" t="inlineStr">
        <is>
          <t>Поковки из квадратных заготовок, масса 90 кг</t>
        </is>
      </c>
      <c r="E111" s="153" t="inlineStr">
        <is>
          <t>т</t>
        </is>
      </c>
      <c r="F111" s="196" t="n">
        <v>2.6133333333333</v>
      </c>
      <c r="G111" s="88" t="n">
        <v>6347.04</v>
      </c>
      <c r="H111" s="88">
        <f>ROUND(F111*G111,2)</f>
        <v/>
      </c>
    </row>
    <row r="112" ht="31.5" customHeight="1" s="121">
      <c r="A112" s="153" t="n">
        <v>98</v>
      </c>
      <c r="B112" s="101" t="n"/>
      <c r="C112" s="154" t="inlineStr">
        <is>
          <t>22.2.02.04-0052</t>
        </is>
      </c>
      <c r="D112" s="154" t="inlineStr">
        <is>
          <t>Звено промежуточное трехлапчатое ПРТ-21-1 (ПРТ-21/30-2)</t>
        </is>
      </c>
      <c r="E112" s="153" t="inlineStr">
        <is>
          <t>шт</t>
        </is>
      </c>
      <c r="F112" s="196" t="n">
        <v>75</v>
      </c>
      <c r="G112" s="88" t="n">
        <v>137.02</v>
      </c>
      <c r="H112" s="88">
        <f>ROUND(F112*G112,2)</f>
        <v/>
      </c>
    </row>
    <row r="113">
      <c r="A113" s="154" t="n">
        <v>99</v>
      </c>
      <c r="B113" s="101" t="n"/>
      <c r="C113" s="154" t="inlineStr">
        <is>
          <t>12.2.03.11-0023</t>
        </is>
      </c>
      <c r="D113" s="154" t="inlineStr">
        <is>
          <t>Ткань стеклянная конструкционная Т-11</t>
        </is>
      </c>
      <c r="E113" s="153" t="inlineStr">
        <is>
          <t>м2</t>
        </is>
      </c>
      <c r="F113" s="196" t="n">
        <v>711.82222222222</v>
      </c>
      <c r="G113" s="88" t="n">
        <v>20.9</v>
      </c>
      <c r="H113" s="88">
        <f>ROUND(F113*G113,2)</f>
        <v/>
      </c>
    </row>
    <row r="114">
      <c r="A114" s="153" t="n">
        <v>100</v>
      </c>
      <c r="B114" s="101" t="n"/>
      <c r="C114" s="154" t="inlineStr">
        <is>
          <t>01.7.15.10-0034</t>
        </is>
      </c>
      <c r="D114" s="154" t="inlineStr">
        <is>
          <t>Скобы СК-16-1А</t>
        </is>
      </c>
      <c r="E114" s="153" t="inlineStr">
        <is>
          <t>шт</t>
        </is>
      </c>
      <c r="F114" s="196" t="n">
        <v>194.44444444444</v>
      </c>
      <c r="G114" s="88" t="n">
        <v>70.76000000000001</v>
      </c>
      <c r="H114" s="88">
        <f>ROUND(F114*G114,2)</f>
        <v/>
      </c>
    </row>
    <row r="115" ht="31.5" customHeight="1" s="121">
      <c r="A115" s="154" t="n">
        <v>101</v>
      </c>
      <c r="B115" s="101" t="n"/>
      <c r="C115" s="154" t="inlineStr">
        <is>
          <t>22.2.02.04-0052</t>
        </is>
      </c>
      <c r="D115" s="154" t="inlineStr">
        <is>
          <t>Звено промежуточное трехлапчатое ПРТ-21-1 (ПРТ-30/21-2)</t>
        </is>
      </c>
      <c r="E115" s="153" t="inlineStr">
        <is>
          <t>шт</t>
        </is>
      </c>
      <c r="F115" s="196" t="n">
        <v>75</v>
      </c>
      <c r="G115" s="88" t="n">
        <v>137.02</v>
      </c>
      <c r="H115" s="88">
        <f>ROUND(F115*G115,2)</f>
        <v/>
      </c>
    </row>
    <row r="116">
      <c r="A116" s="153" t="n">
        <v>102</v>
      </c>
      <c r="B116" s="101" t="n"/>
      <c r="C116" s="154" t="inlineStr">
        <is>
          <t>22.2.02.04-0054</t>
        </is>
      </c>
      <c r="D116" s="154" t="inlineStr">
        <is>
          <t>Звено промежуточное трехлапчатое ПРТ-21/16-2</t>
        </is>
      </c>
      <c r="E116" s="153" t="inlineStr">
        <is>
          <t>шт</t>
        </is>
      </c>
      <c r="F116" s="196" t="n">
        <v>143.33333333333</v>
      </c>
      <c r="G116" s="88" t="n">
        <v>80.09999999999999</v>
      </c>
      <c r="H116" s="88">
        <f>ROUND(F116*G116,2)</f>
        <v/>
      </c>
    </row>
    <row r="117" ht="31.5" customHeight="1" s="121">
      <c r="A117" s="154" t="n">
        <v>103</v>
      </c>
      <c r="B117" s="101" t="n"/>
      <c r="C117" s="154" t="inlineStr">
        <is>
          <t>20.5.04.04-0052</t>
        </is>
      </c>
      <c r="D117" s="154" t="inlineStr">
        <is>
          <t>Зажим натяжной спиральный НС-15,2-02 НС-11.3П-02 (КС-160)-ГТ</t>
        </is>
      </c>
      <c r="E117" s="153" t="inlineStr">
        <is>
          <t>шт</t>
        </is>
      </c>
      <c r="F117" s="196" t="n">
        <v>22.777777777778</v>
      </c>
      <c r="G117" s="88" t="n">
        <v>484.94</v>
      </c>
      <c r="H117" s="88">
        <f>ROUND(F117*G117,2)</f>
        <v/>
      </c>
    </row>
    <row r="118">
      <c r="A118" s="153" t="n">
        <v>104</v>
      </c>
      <c r="B118" s="101" t="n"/>
      <c r="C118" s="154" t="inlineStr">
        <is>
          <t>20.1.02.14-1008</t>
        </is>
      </c>
      <c r="D118" s="154" t="inlineStr">
        <is>
          <t>Серьга СР-21-20 (СР-30-24)</t>
        </is>
      </c>
      <c r="E118" s="153" t="inlineStr">
        <is>
          <t>шт</t>
        </is>
      </c>
      <c r="F118" s="196" t="n">
        <v>75</v>
      </c>
      <c r="G118" s="88" t="n">
        <v>68.73</v>
      </c>
      <c r="H118" s="88">
        <f>ROUND(F118*G118,2)</f>
        <v/>
      </c>
    </row>
    <row r="119">
      <c r="A119" s="154" t="n">
        <v>105</v>
      </c>
      <c r="B119" s="101" t="n"/>
      <c r="C119" s="154" t="inlineStr">
        <is>
          <t>20.1.02.22-0008</t>
        </is>
      </c>
      <c r="D119" s="154" t="inlineStr">
        <is>
          <t>Ушко: специальное укороченное УСК-12-16</t>
        </is>
      </c>
      <c r="E119" s="153" t="inlineStr">
        <is>
          <t>шт</t>
        </is>
      </c>
      <c r="F119" s="196" t="n">
        <v>58.333333333333</v>
      </c>
      <c r="G119" s="88" t="n">
        <v>120.95</v>
      </c>
      <c r="H119" s="88">
        <f>ROUND(F119*G119,2)</f>
        <v/>
      </c>
    </row>
    <row r="120">
      <c r="A120" s="153" t="n">
        <v>106</v>
      </c>
      <c r="B120" s="101" t="n"/>
      <c r="C120" s="154" t="inlineStr">
        <is>
          <t>22.2.02.04-0009</t>
        </is>
      </c>
      <c r="D120" s="154" t="inlineStr">
        <is>
          <t>Звено промежуточное монтажное ПТМ-12-3</t>
        </is>
      </c>
      <c r="E120" s="153" t="inlineStr">
        <is>
          <t>шт</t>
        </is>
      </c>
      <c r="F120" s="196" t="n">
        <v>64.444444444444</v>
      </c>
      <c r="G120" s="88" t="n">
        <v>103.63</v>
      </c>
      <c r="H120" s="88">
        <f>ROUND(F120*G120,2)</f>
        <v/>
      </c>
    </row>
    <row r="121">
      <c r="A121" s="154" t="n">
        <v>107</v>
      </c>
      <c r="B121" s="101" t="n"/>
      <c r="C121" s="154" t="inlineStr">
        <is>
          <t>01.7.15.10-0031</t>
        </is>
      </c>
      <c r="D121" s="154" t="inlineStr">
        <is>
          <t>Скобы СК-7-1А</t>
        </is>
      </c>
      <c r="E121" s="153" t="inlineStr">
        <is>
          <t>шт</t>
        </is>
      </c>
      <c r="F121" s="196" t="n">
        <v>181.11111111111</v>
      </c>
      <c r="G121" s="88" t="n">
        <v>28.07</v>
      </c>
      <c r="H121" s="88">
        <f>ROUND(F121*G121,2)</f>
        <v/>
      </c>
    </row>
    <row r="122">
      <c r="A122" s="153" t="n">
        <v>108</v>
      </c>
      <c r="B122" s="101" t="n"/>
      <c r="C122" s="154" t="inlineStr">
        <is>
          <t>20.1.02.14-1022</t>
        </is>
      </c>
      <c r="D122" s="154" t="inlineStr">
        <is>
          <t>Серьга СРС-7-16</t>
        </is>
      </c>
      <c r="E122" s="153" t="inlineStr">
        <is>
          <t>шт</t>
        </is>
      </c>
      <c r="F122" s="196" t="n">
        <v>493.33333333333</v>
      </c>
      <c r="G122" s="88" t="n">
        <v>10.03</v>
      </c>
      <c r="H122" s="88">
        <f>ROUND(F122*G122,2)</f>
        <v/>
      </c>
    </row>
    <row r="123">
      <c r="A123" s="154" t="n">
        <v>109</v>
      </c>
      <c r="B123" s="101" t="n"/>
      <c r="C123" s="154" t="inlineStr">
        <is>
          <t>01.2.01.02-0052</t>
        </is>
      </c>
      <c r="D123" s="154" t="inlineStr">
        <is>
          <t>Битумы нефтяные строительные БН-70/30</t>
        </is>
      </c>
      <c r="E123" s="153" t="inlineStr">
        <is>
          <t>т</t>
        </is>
      </c>
      <c r="F123" s="196" t="n">
        <v>3.2355555555556</v>
      </c>
      <c r="G123" s="88" t="n">
        <v>1525.5</v>
      </c>
      <c r="H123" s="88">
        <f>ROUND(F123*G123,2)</f>
        <v/>
      </c>
    </row>
    <row r="124" ht="31.5" customHeight="1" s="121">
      <c r="A124" s="153" t="n">
        <v>110</v>
      </c>
      <c r="B124" s="101" t="n"/>
      <c r="C124" s="154" t="inlineStr">
        <is>
          <t>20.2.11.01-0030</t>
        </is>
      </c>
      <c r="D124" s="154" t="inlineStr">
        <is>
          <t>Распорка дистанционная трехлучевая гаситель 3РГС-25,2-400-30 (2РД-600В-31СУ)</t>
        </is>
      </c>
      <c r="E124" s="153" t="inlineStr">
        <is>
          <t>шт</t>
        </is>
      </c>
      <c r="F124" s="196" t="n">
        <v>7.2222222222222</v>
      </c>
      <c r="G124" s="88" t="n">
        <v>2116.3</v>
      </c>
      <c r="H124" s="88">
        <f>ROUND(F124*G124,2)</f>
        <v/>
      </c>
    </row>
    <row r="125">
      <c r="A125" s="154" t="n">
        <v>111</v>
      </c>
      <c r="B125" s="101" t="n"/>
      <c r="C125" s="154" t="inlineStr">
        <is>
          <t>22.2.02.01-0005</t>
        </is>
      </c>
      <c r="D125" s="154" t="inlineStr">
        <is>
          <t>Гаситель вибрации ГВ-4433-02</t>
        </is>
      </c>
      <c r="E125" s="153" t="inlineStr">
        <is>
          <t>шт</t>
        </is>
      </c>
      <c r="F125" s="196" t="n">
        <v>25</v>
      </c>
      <c r="G125" s="88" t="n">
        <v>160.79</v>
      </c>
      <c r="H125" s="88">
        <f>ROUND(F125*G125,2)</f>
        <v/>
      </c>
    </row>
    <row r="126">
      <c r="A126" s="153" t="n">
        <v>112</v>
      </c>
      <c r="B126" s="101" t="n"/>
      <c r="C126" s="154" t="inlineStr">
        <is>
          <t>01.7.11.07-0032</t>
        </is>
      </c>
      <c r="D126" s="154" t="inlineStr">
        <is>
          <t>Электроды сварочные Э42, диаметр 4 мм</t>
        </is>
      </c>
      <c r="E126" s="153" t="inlineStr">
        <is>
          <t>т</t>
        </is>
      </c>
      <c r="F126" s="196" t="n">
        <v>0.35273111111111</v>
      </c>
      <c r="G126" s="88" t="n">
        <v>10315.01</v>
      </c>
      <c r="H126" s="88">
        <f>ROUND(F126*G126,2)</f>
        <v/>
      </c>
    </row>
    <row r="127">
      <c r="A127" s="154" t="n">
        <v>113</v>
      </c>
      <c r="B127" s="101" t="n"/>
      <c r="C127" s="154" t="inlineStr">
        <is>
          <t>20.1.02.14-0005</t>
        </is>
      </c>
      <c r="D127" s="154" t="inlineStr">
        <is>
          <t>Серьга СР-16-20</t>
        </is>
      </c>
      <c r="E127" s="153" t="inlineStr">
        <is>
          <t>шт</t>
        </is>
      </c>
      <c r="F127" s="196" t="n">
        <v>166.11111111111</v>
      </c>
      <c r="G127" s="88" t="n">
        <v>21.5</v>
      </c>
      <c r="H127" s="88">
        <f>ROUND(F127*G127,2)</f>
        <v/>
      </c>
    </row>
    <row r="128" ht="31.5" customHeight="1" s="121">
      <c r="A128" s="153" t="n">
        <v>114</v>
      </c>
      <c r="B128" s="101" t="n"/>
      <c r="C128" s="154" t="inlineStr">
        <is>
          <t>08.4.03.02-0004</t>
        </is>
      </c>
      <c r="D128" s="154" t="inlineStr">
        <is>
          <t>Сталь арматурная, горячекатаная, гладкая, класс А-I, диаметр 12 мм</t>
        </is>
      </c>
      <c r="E128" s="153" t="inlineStr">
        <is>
          <t>т</t>
        </is>
      </c>
      <c r="F128" s="196" t="n">
        <v>0.54862222222222</v>
      </c>
      <c r="G128" s="88" t="n">
        <v>6508.75</v>
      </c>
      <c r="H128" s="88">
        <f>ROUND(F128*G128,2)</f>
        <v/>
      </c>
    </row>
    <row r="129">
      <c r="A129" s="154" t="n">
        <v>115</v>
      </c>
      <c r="B129" s="101" t="n"/>
      <c r="C129" s="154" t="inlineStr">
        <is>
          <t>01.7.15.10-0032</t>
        </is>
      </c>
      <c r="D129" s="154" t="inlineStr">
        <is>
          <t>Скобы СК-12-1А</t>
        </is>
      </c>
      <c r="E129" s="153" t="inlineStr">
        <is>
          <t>шт</t>
        </is>
      </c>
      <c r="F129" s="196" t="n">
        <v>64.444444444444</v>
      </c>
      <c r="G129" s="88" t="n">
        <v>54.7</v>
      </c>
      <c r="H129" s="88">
        <f>ROUND(F129*G129,2)</f>
        <v/>
      </c>
    </row>
    <row r="130" ht="47.25" customHeight="1" s="121">
      <c r="A130" s="153" t="n">
        <v>116</v>
      </c>
      <c r="B130" s="101" t="n"/>
      <c r="C130" s="154" t="inlineStr">
        <is>
          <t>11.1.02.01-0031</t>
        </is>
      </c>
      <c r="D130" s="154" t="inlineStr">
        <is>
          <t>Лесоматериалы лиственных пород для строительства, круглые, длина 3-6,5 м, диаметр 12-24 см</t>
        </is>
      </c>
      <c r="E130" s="153" t="inlineStr">
        <is>
          <t>м3</t>
        </is>
      </c>
      <c r="F130" s="196" t="n">
        <v>7.84</v>
      </c>
      <c r="G130" s="88" t="n">
        <v>365</v>
      </c>
      <c r="H130" s="88">
        <f>ROUND(F130*G130,2)</f>
        <v/>
      </c>
    </row>
    <row r="131" ht="31.5" customHeight="1" s="121">
      <c r="A131" s="154" t="n">
        <v>117</v>
      </c>
      <c r="B131" s="101" t="n"/>
      <c r="C131" s="154" t="inlineStr">
        <is>
          <t>20.5.04.04-0052</t>
        </is>
      </c>
      <c r="D131" s="154" t="inlineStr">
        <is>
          <t>Зажим натяжной спиральный НС-15,2-02 (НС-11.3П-02 (КС-120)-ГТ)</t>
        </is>
      </c>
      <c r="E131" s="153" t="inlineStr">
        <is>
          <t>шт</t>
        </is>
      </c>
      <c r="F131" s="196" t="n">
        <v>6.1111111111111</v>
      </c>
      <c r="G131" s="88" t="n">
        <v>484.94</v>
      </c>
      <c r="H131" s="88">
        <f>ROUND(F131*G131,2)</f>
        <v/>
      </c>
    </row>
    <row r="132">
      <c r="A132" s="153" t="n">
        <v>118</v>
      </c>
      <c r="B132" s="101" t="n"/>
      <c r="C132" s="154" t="inlineStr">
        <is>
          <t>22.2.02.04-0022</t>
        </is>
      </c>
      <c r="D132" s="154" t="inlineStr">
        <is>
          <t>Звено промежуточное прямое ПР-12-6</t>
        </is>
      </c>
      <c r="E132" s="153" t="inlineStr">
        <is>
          <t>шт</t>
        </is>
      </c>
      <c r="F132" s="196" t="n">
        <v>64.444444444444</v>
      </c>
      <c r="G132" s="88" t="n">
        <v>42.05</v>
      </c>
      <c r="H132" s="88">
        <f>ROUND(F132*G132,2)</f>
        <v/>
      </c>
    </row>
    <row r="133">
      <c r="A133" s="154" t="n">
        <v>119</v>
      </c>
      <c r="B133" s="101" t="n"/>
      <c r="C133" s="154" t="inlineStr">
        <is>
          <t>22.2.02.04-0001</t>
        </is>
      </c>
      <c r="D133" s="154" t="inlineStr">
        <is>
          <t>Звено промежуточное вывернутое ПРВ-7-1</t>
        </is>
      </c>
      <c r="E133" s="153" t="inlineStr">
        <is>
          <t>шт</t>
        </is>
      </c>
      <c r="F133" s="196" t="n">
        <v>83.333333333333</v>
      </c>
      <c r="G133" s="88" t="n">
        <v>31.44</v>
      </c>
      <c r="H133" s="88">
        <f>ROUND(F133*G133,2)</f>
        <v/>
      </c>
    </row>
    <row r="134">
      <c r="A134" s="153" t="n">
        <v>120</v>
      </c>
      <c r="B134" s="101" t="n"/>
      <c r="C134" s="154" t="inlineStr">
        <is>
          <t>22.2.02.04-0049</t>
        </is>
      </c>
      <c r="D134" s="154" t="inlineStr">
        <is>
          <t>Звено промежуточное трехлапчатое ПРТ-16-1</t>
        </is>
      </c>
      <c r="E134" s="153" t="inlineStr">
        <is>
          <t>шт</t>
        </is>
      </c>
      <c r="F134" s="196" t="n">
        <v>22.777777777778</v>
      </c>
      <c r="G134" s="88" t="n">
        <v>80.59999999999999</v>
      </c>
      <c r="H134" s="88">
        <f>ROUND(F134*G134,2)</f>
        <v/>
      </c>
    </row>
    <row r="135">
      <c r="A135" s="154" t="n">
        <v>121</v>
      </c>
      <c r="B135" s="101" t="n"/>
      <c r="C135" s="154" t="inlineStr">
        <is>
          <t>20.1.02.13-0003</t>
        </is>
      </c>
      <c r="D135" s="154" t="inlineStr">
        <is>
          <t>Рог разрядный: верхний РРВ-135</t>
        </is>
      </c>
      <c r="E135" s="153" t="inlineStr">
        <is>
          <t>шт</t>
        </is>
      </c>
      <c r="F135" s="196" t="n">
        <v>28.333333333333</v>
      </c>
      <c r="G135" s="88" t="n">
        <v>54.24</v>
      </c>
      <c r="H135" s="88">
        <f>ROUND(F135*G135,2)</f>
        <v/>
      </c>
    </row>
    <row r="136" ht="31.5" customHeight="1" s="121">
      <c r="A136" s="153" t="n">
        <v>122</v>
      </c>
      <c r="B136" s="101" t="n"/>
      <c r="C136" s="154" t="inlineStr">
        <is>
          <t>20.5.04.08-0001</t>
        </is>
      </c>
      <c r="D136" s="154" t="inlineStr">
        <is>
          <t>Зажим соединительный шлейфовый спиральный ШС-11,4-01</t>
        </is>
      </c>
      <c r="E136" s="153" t="inlineStr">
        <is>
          <t>шт</t>
        </is>
      </c>
      <c r="F136" s="196" t="n">
        <v>15</v>
      </c>
      <c r="G136" s="88" t="n">
        <v>94.58</v>
      </c>
      <c r="H136" s="88">
        <f>ROUND(F136*G136,2)</f>
        <v/>
      </c>
    </row>
    <row r="137">
      <c r="A137" s="154" t="n">
        <v>123</v>
      </c>
      <c r="B137" s="101" t="n"/>
      <c r="C137" s="154" t="inlineStr">
        <is>
          <t>20.1.02.13-0031</t>
        </is>
      </c>
      <c r="D137" s="154" t="inlineStr">
        <is>
          <t>Рог разрядный: РР-357</t>
        </is>
      </c>
      <c r="E137" s="153" t="inlineStr">
        <is>
          <t>шт</t>
        </is>
      </c>
      <c r="F137" s="196" t="n">
        <v>28.333333333333</v>
      </c>
      <c r="G137" s="88" t="n">
        <v>46.41</v>
      </c>
      <c r="H137" s="88">
        <f>ROUND(F137*G137,2)</f>
        <v/>
      </c>
    </row>
    <row r="138">
      <c r="A138" s="153" t="n">
        <v>124</v>
      </c>
      <c r="B138" s="101" t="n"/>
      <c r="C138" s="154" t="inlineStr">
        <is>
          <t>22.2.02.04-0036</t>
        </is>
      </c>
      <c r="D138" s="154" t="inlineStr">
        <is>
          <t>Звено промежуточное регулируемое ПРР-12-1</t>
        </is>
      </c>
      <c r="E138" s="153" t="inlineStr">
        <is>
          <t>шт</t>
        </is>
      </c>
      <c r="F138" s="196" t="n">
        <v>6.1111111111111</v>
      </c>
      <c r="G138" s="88" t="n">
        <v>193.24</v>
      </c>
      <c r="H138" s="88">
        <f>ROUND(F138*G138,2)</f>
        <v/>
      </c>
    </row>
    <row r="139">
      <c r="A139" s="154" t="n">
        <v>125</v>
      </c>
      <c r="B139" s="101" t="n"/>
      <c r="C139" s="154" t="inlineStr">
        <is>
          <t>20.1.02.21-0035</t>
        </is>
      </c>
      <c r="D139" s="154" t="inlineStr">
        <is>
          <t>Узел крепления КГН-7-5</t>
        </is>
      </c>
      <c r="E139" s="153" t="inlineStr">
        <is>
          <t>шт</t>
        </is>
      </c>
      <c r="F139" s="196" t="n">
        <v>7.2222222222222</v>
      </c>
      <c r="G139" s="88" t="n">
        <v>122.68</v>
      </c>
      <c r="H139" s="88">
        <f>ROUND(F139*G139,2)</f>
        <v/>
      </c>
    </row>
    <row r="140">
      <c r="A140" s="153" t="n">
        <v>126</v>
      </c>
      <c r="B140" s="101" t="n"/>
      <c r="C140" s="154" t="inlineStr">
        <is>
          <t>20.1.02.14-1006</t>
        </is>
      </c>
      <c r="D140" s="154" t="inlineStr">
        <is>
          <t>Серьга СР-12-16</t>
        </is>
      </c>
      <c r="E140" s="153" t="inlineStr">
        <is>
          <t>шт</t>
        </is>
      </c>
      <c r="F140" s="196" t="n">
        <v>64.444444444444</v>
      </c>
      <c r="G140" s="88" t="n">
        <v>13.29</v>
      </c>
      <c r="H140" s="88">
        <f>ROUND(F140*G140,2)</f>
        <v/>
      </c>
    </row>
    <row r="141">
      <c r="A141" s="154" t="n">
        <v>127</v>
      </c>
      <c r="B141" s="101" t="n"/>
      <c r="C141" s="154" t="inlineStr">
        <is>
          <t>20.1.02.22-0006</t>
        </is>
      </c>
      <c r="D141" s="154" t="inlineStr">
        <is>
          <t>Ушко однолапчатое У1-12-16</t>
        </is>
      </c>
      <c r="E141" s="153" t="inlineStr">
        <is>
          <t>шт</t>
        </is>
      </c>
      <c r="F141" s="196" t="n">
        <v>6.1111111111111</v>
      </c>
      <c r="G141" s="88" t="n">
        <v>137.86</v>
      </c>
      <c r="H141" s="88">
        <f>ROUND(F141*G141,2)</f>
        <v/>
      </c>
    </row>
    <row r="142">
      <c r="A142" s="153" t="n">
        <v>128</v>
      </c>
      <c r="B142" s="101" t="n"/>
      <c r="C142" s="154" t="inlineStr">
        <is>
          <t>20.5.04.07-0026</t>
        </is>
      </c>
      <c r="D142" s="154" t="inlineStr">
        <is>
          <t>Зажим соединительный спиральный СС-9,1-01</t>
        </is>
      </c>
      <c r="E142" s="153" t="inlineStr">
        <is>
          <t>шт</t>
        </is>
      </c>
      <c r="F142" s="196" t="n">
        <v>2.2222222222222</v>
      </c>
      <c r="G142" s="88" t="n">
        <v>343.49</v>
      </c>
      <c r="H142" s="88">
        <f>ROUND(F142*G142,2)</f>
        <v/>
      </c>
    </row>
    <row r="143">
      <c r="A143" s="154" t="n">
        <v>129</v>
      </c>
      <c r="B143" s="101" t="n"/>
      <c r="C143" s="154" t="inlineStr">
        <is>
          <t>01.7.15.03-0042</t>
        </is>
      </c>
      <c r="D143" s="154" t="inlineStr">
        <is>
          <t>Болты с гайками и шайбами строительные</t>
        </is>
      </c>
      <c r="E143" s="153" t="inlineStr">
        <is>
          <t>кг</t>
        </is>
      </c>
      <c r="F143" s="196" t="n">
        <v>78.666666666667</v>
      </c>
      <c r="G143" s="88" t="n">
        <v>9.039999999999999</v>
      </c>
      <c r="H143" s="88">
        <f>ROUND(F143*G143,2)</f>
        <v/>
      </c>
    </row>
    <row r="144">
      <c r="A144" s="153" t="n">
        <v>130</v>
      </c>
      <c r="B144" s="101" t="n"/>
      <c r="C144" s="154" t="inlineStr">
        <is>
          <t>08.3.03.04-0012</t>
        </is>
      </c>
      <c r="D144" s="154" t="inlineStr">
        <is>
          <t>Проволока светлая, диаметр 1,1 мм</t>
        </is>
      </c>
      <c r="E144" s="153" t="inlineStr">
        <is>
          <t>т</t>
        </is>
      </c>
      <c r="F144" s="196" t="n">
        <v>0.043111111111111</v>
      </c>
      <c r="G144" s="88" t="n">
        <v>10200</v>
      </c>
      <c r="H144" s="88">
        <f>ROUND(F144*G144,2)</f>
        <v/>
      </c>
    </row>
    <row r="145">
      <c r="A145" s="154" t="n">
        <v>131</v>
      </c>
      <c r="B145" s="101" t="n"/>
      <c r="C145" s="154" t="inlineStr">
        <is>
          <t>22.2.02.04-0045</t>
        </is>
      </c>
      <c r="D145" s="154" t="inlineStr">
        <is>
          <t>Звено промежуточное трехлапчатое ПРТ-12-1</t>
        </is>
      </c>
      <c r="E145" s="153" t="inlineStr">
        <is>
          <t>шт</t>
        </is>
      </c>
      <c r="F145" s="196" t="n">
        <v>6.1111111111111</v>
      </c>
      <c r="G145" s="88" t="n">
        <v>65.58</v>
      </c>
      <c r="H145" s="88">
        <f>ROUND(F145*G145,2)</f>
        <v/>
      </c>
    </row>
    <row r="146">
      <c r="A146" s="153" t="n">
        <v>132</v>
      </c>
      <c r="B146" s="101" t="n"/>
      <c r="C146" s="154" t="inlineStr">
        <is>
          <t>22.2.02.04-0017</t>
        </is>
      </c>
      <c r="D146" s="154" t="inlineStr">
        <is>
          <t>Звено промежуточное прямое двойное 2ПР-7-1</t>
        </is>
      </c>
      <c r="E146" s="153" t="inlineStr">
        <is>
          <t>шт</t>
        </is>
      </c>
      <c r="F146" s="196" t="n">
        <v>7.2222222222222</v>
      </c>
      <c r="G146" s="88" t="n">
        <v>41.1</v>
      </c>
      <c r="H146" s="88">
        <f>ROUND(F146*G146,2)</f>
        <v/>
      </c>
    </row>
    <row r="147">
      <c r="A147" s="154" t="n">
        <v>133</v>
      </c>
      <c r="B147" s="101" t="n"/>
      <c r="C147" s="154" t="inlineStr">
        <is>
          <t>22.2.02.04-0043</t>
        </is>
      </c>
      <c r="D147" s="154" t="inlineStr">
        <is>
          <t>Звено промежуточное трехлапчатое ПРТ-7/16-2</t>
        </is>
      </c>
      <c r="E147" s="153" t="inlineStr">
        <is>
          <t>шт</t>
        </is>
      </c>
      <c r="F147" s="196" t="n">
        <v>7.2222222222222</v>
      </c>
      <c r="G147" s="88" t="n">
        <v>40.06</v>
      </c>
      <c r="H147" s="88">
        <f>ROUND(F147*G147,2)</f>
        <v/>
      </c>
    </row>
    <row r="148">
      <c r="A148" s="153" t="n">
        <v>134</v>
      </c>
      <c r="B148" s="101" t="n"/>
      <c r="C148" s="154" t="inlineStr">
        <is>
          <t>20.1.02.22-0005</t>
        </is>
      </c>
      <c r="D148" s="154" t="inlineStr">
        <is>
          <t>Ушко: однолапчатое У1-7-16</t>
        </is>
      </c>
      <c r="E148" s="153" t="inlineStr">
        <is>
          <t>шт</t>
        </is>
      </c>
      <c r="F148" s="196" t="n">
        <v>7.2222222222222</v>
      </c>
      <c r="G148" s="88" t="n">
        <v>39.32</v>
      </c>
      <c r="H148" s="88">
        <f>ROUND(F148*G148,2)</f>
        <v/>
      </c>
    </row>
    <row r="149">
      <c r="A149" s="154" t="n">
        <v>135</v>
      </c>
      <c r="B149" s="101" t="n"/>
      <c r="C149" s="154" t="inlineStr">
        <is>
          <t>01.7.03.01-0001</t>
        </is>
      </c>
      <c r="D149" s="154" t="inlineStr">
        <is>
          <t>Вода</t>
        </is>
      </c>
      <c r="E149" s="153" t="inlineStr">
        <is>
          <t>м3</t>
        </is>
      </c>
      <c r="F149" s="196" t="n">
        <v>54.506666666667</v>
      </c>
      <c r="G149" s="88" t="n">
        <v>2.44</v>
      </c>
      <c r="H149" s="88">
        <f>ROUND(F149*G149,2)</f>
        <v/>
      </c>
    </row>
    <row r="150">
      <c r="A150" s="153" t="n">
        <v>136</v>
      </c>
      <c r="B150" s="101" t="n"/>
      <c r="C150" s="154" t="inlineStr">
        <is>
          <t>20.1.02.14-1014</t>
        </is>
      </c>
      <c r="D150" s="154" t="inlineStr">
        <is>
          <t>Серьга СР-7-16</t>
        </is>
      </c>
      <c r="E150" s="153" t="inlineStr">
        <is>
          <t>шт</t>
        </is>
      </c>
      <c r="F150" s="196" t="n">
        <v>7.2222222222222</v>
      </c>
      <c r="G150" s="88" t="n">
        <v>9.359999999999999</v>
      </c>
      <c r="H150" s="88">
        <f>ROUND(F150*G150,2)</f>
        <v/>
      </c>
    </row>
    <row r="151">
      <c r="J151" s="97" t="n"/>
    </row>
    <row r="153">
      <c r="B153" s="120" t="inlineStr">
        <is>
          <t>Составил ______________________     Е. М. Добровольская</t>
        </is>
      </c>
    </row>
    <row r="154">
      <c r="B154" s="71" t="inlineStr">
        <is>
          <t xml:space="preserve">                         (подпись, инициалы, фамилия)</t>
        </is>
      </c>
    </row>
    <row r="156">
      <c r="B156" s="120" t="inlineStr">
        <is>
          <t>Проверил ______________________        А.В. Костянецкая</t>
        </is>
      </c>
    </row>
    <row r="157">
      <c r="B157" s="71" t="inlineStr">
        <is>
          <t xml:space="preserve">                        (подпись, инициалы, фамилия)</t>
        </is>
      </c>
    </row>
  </sheetData>
  <mergeCells count="15">
    <mergeCell ref="A21:E21"/>
    <mergeCell ref="A55:E55"/>
    <mergeCell ref="A3:H3"/>
    <mergeCell ref="G7:H7"/>
    <mergeCell ref="A10:E10"/>
    <mergeCell ref="A2:H2"/>
    <mergeCell ref="C7:C8"/>
    <mergeCell ref="A7:A8"/>
    <mergeCell ref="B7:B8"/>
    <mergeCell ref="D7:D8"/>
    <mergeCell ref="A23:E23"/>
    <mergeCell ref="E7:E8"/>
    <mergeCell ref="F7:F8"/>
    <mergeCell ref="A5:H5"/>
    <mergeCell ref="A56:E56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4.4"/>
  <cols>
    <col width="4.109375" customWidth="1" style="121" min="1" max="1"/>
    <col width="36.33203125" customWidth="1" style="121" min="2" max="2"/>
    <col width="18.88671875" customWidth="1" style="121" min="3" max="3"/>
    <col width="18.33203125" customWidth="1" style="121" min="4" max="4"/>
    <col width="18.88671875" customWidth="1" style="121" min="5" max="5"/>
    <col width="9.109375" customWidth="1" style="121" min="6" max="6"/>
    <col width="12.88671875" customWidth="1" style="121" min="7" max="7"/>
    <col width="9.109375" customWidth="1" style="121" min="8" max="11"/>
    <col width="13.5546875" customWidth="1" style="121" min="12" max="12"/>
    <col width="9.109375" customWidth="1" style="121" min="13" max="13"/>
  </cols>
  <sheetData>
    <row r="1">
      <c r="B1" s="127" t="n"/>
      <c r="C1" s="127" t="n"/>
      <c r="D1" s="127" t="n"/>
      <c r="E1" s="127" t="n"/>
    </row>
    <row r="2">
      <c r="B2" s="127" t="n"/>
      <c r="C2" s="127" t="n"/>
      <c r="D2" s="127" t="n"/>
      <c r="E2" s="185" t="inlineStr">
        <is>
          <t>Приложение № 4</t>
        </is>
      </c>
    </row>
    <row r="3">
      <c r="B3" s="127" t="n"/>
      <c r="C3" s="127" t="n"/>
      <c r="D3" s="127" t="n"/>
      <c r="E3" s="127" t="n"/>
    </row>
    <row r="4">
      <c r="B4" s="127" t="n"/>
      <c r="C4" s="127" t="n"/>
      <c r="D4" s="127" t="n"/>
      <c r="E4" s="127" t="n"/>
    </row>
    <row r="5">
      <c r="B5" s="155" t="inlineStr">
        <is>
          <t>Ресурсная модель</t>
        </is>
      </c>
    </row>
    <row r="6">
      <c r="B6" s="16" t="n"/>
      <c r="C6" s="127" t="n"/>
      <c r="D6" s="127" t="n"/>
      <c r="E6" s="127" t="n"/>
    </row>
    <row r="7" ht="39.75" customHeight="1" s="121">
      <c r="B7" s="156">
        <f>'Прил.1 Сравнит табл'!B7</f>
        <v/>
      </c>
    </row>
    <row r="8">
      <c r="B8" s="157">
        <f>'Прил.1 Сравнит табл'!B9</f>
        <v/>
      </c>
    </row>
    <row r="9">
      <c r="B9" s="16" t="n"/>
      <c r="C9" s="127" t="n"/>
      <c r="D9" s="127" t="n"/>
      <c r="E9" s="127" t="n"/>
    </row>
    <row r="10" ht="51" customHeight="1" s="121">
      <c r="B10" s="159" t="inlineStr">
        <is>
          <t>Наименование</t>
        </is>
      </c>
      <c r="C10" s="159" t="inlineStr">
        <is>
          <t>Сметная стоимость в ценах на 01.01.2023
 (руб.)</t>
        </is>
      </c>
      <c r="D10" s="159" t="inlineStr">
        <is>
          <t>Удельный вес, 
(в СМР)</t>
        </is>
      </c>
      <c r="E10" s="159" t="inlineStr">
        <is>
          <t>Удельный вес, % 
(от всего по РМ)</t>
        </is>
      </c>
    </row>
    <row r="11">
      <c r="B11" s="113" t="inlineStr">
        <is>
          <t>Оплата труда рабочих</t>
        </is>
      </c>
      <c r="C11" s="43">
        <f>'Прил.5 Расчет СМР и ОБ'!J14</f>
        <v/>
      </c>
      <c r="D11" s="42">
        <f>C11/$C$24</f>
        <v/>
      </c>
      <c r="E11" s="42">
        <f>C11/$C$40</f>
        <v/>
      </c>
    </row>
    <row r="12">
      <c r="B12" s="113" t="inlineStr">
        <is>
          <t>Эксплуатация машин основных</t>
        </is>
      </c>
      <c r="C12" s="43">
        <f>'Прил.5 Расчет СМР и ОБ'!J22</f>
        <v/>
      </c>
      <c r="D12" s="42">
        <f>C12/$C$24</f>
        <v/>
      </c>
      <c r="E12" s="42">
        <f>C12/$C$40</f>
        <v/>
      </c>
    </row>
    <row r="13">
      <c r="B13" s="113" t="inlineStr">
        <is>
          <t>Эксплуатация машин прочих</t>
        </is>
      </c>
      <c r="C13" s="43">
        <f>'Прил.5 Расчет СМР и ОБ'!J51</f>
        <v/>
      </c>
      <c r="D13" s="42">
        <f>C13/$C$24</f>
        <v/>
      </c>
      <c r="E13" s="42">
        <f>C13/$C$40</f>
        <v/>
      </c>
    </row>
    <row r="14">
      <c r="B14" s="113" t="inlineStr">
        <is>
          <t>ЭКСПЛУАТАЦИЯ МАШИН, ВСЕГО:</t>
        </is>
      </c>
      <c r="C14" s="43">
        <f>C13+C12</f>
        <v/>
      </c>
      <c r="D14" s="42">
        <f>C14/$C$24</f>
        <v/>
      </c>
      <c r="E14" s="42">
        <f>C14/$C$40</f>
        <v/>
      </c>
    </row>
    <row r="15">
      <c r="B15" s="113" t="inlineStr">
        <is>
          <t>в том числе зарплата машинистов</t>
        </is>
      </c>
      <c r="C15" s="43">
        <f>'Прил.5 Расчет СМР и ОБ'!J16</f>
        <v/>
      </c>
      <c r="D15" s="42">
        <f>C15/$C$24</f>
        <v/>
      </c>
      <c r="E15" s="42">
        <f>C15/$C$40</f>
        <v/>
      </c>
    </row>
    <row r="16">
      <c r="B16" s="113" t="inlineStr">
        <is>
          <t>Материалы основные</t>
        </is>
      </c>
      <c r="C16" s="43">
        <f>'Прил.5 Расчет СМР и ОБ'!J82</f>
        <v/>
      </c>
      <c r="D16" s="42">
        <f>C16/$C$24</f>
        <v/>
      </c>
      <c r="E16" s="42">
        <f>C16/$C$40</f>
        <v/>
      </c>
    </row>
    <row r="17">
      <c r="B17" s="113" t="inlineStr">
        <is>
          <t>Материалы прочие</t>
        </is>
      </c>
      <c r="C17" s="43">
        <f>'Прил.5 Расчет СМР и ОБ'!J155</f>
        <v/>
      </c>
      <c r="D17" s="42">
        <f>C17/$C$24</f>
        <v/>
      </c>
      <c r="E17" s="42">
        <f>C17/$C$40</f>
        <v/>
      </c>
      <c r="G17" s="17" t="n"/>
    </row>
    <row r="18">
      <c r="B18" s="113" t="inlineStr">
        <is>
          <t>МАТЕРИАЛЫ, ВСЕГО:</t>
        </is>
      </c>
      <c r="C18" s="43">
        <f>C17+C16</f>
        <v/>
      </c>
      <c r="D18" s="42">
        <f>C18/$C$24</f>
        <v/>
      </c>
      <c r="E18" s="42">
        <f>C18/$C$40</f>
        <v/>
      </c>
    </row>
    <row r="19">
      <c r="B19" s="113" t="inlineStr">
        <is>
          <t>ИТОГО</t>
        </is>
      </c>
      <c r="C19" s="43">
        <f>C18+C14+C11</f>
        <v/>
      </c>
      <c r="D19" s="42" t="n"/>
      <c r="E19" s="113" t="n"/>
    </row>
    <row r="20">
      <c r="B20" s="113" t="inlineStr">
        <is>
          <t>Сметная прибыль, руб.</t>
        </is>
      </c>
      <c r="C20" s="43">
        <f>ROUND(C21*(C11+C15),2)</f>
        <v/>
      </c>
      <c r="D20" s="42">
        <f>C20/$C$24</f>
        <v/>
      </c>
      <c r="E20" s="42">
        <f>C20/$C$40</f>
        <v/>
      </c>
    </row>
    <row r="21">
      <c r="B21" s="113" t="inlineStr">
        <is>
          <t>Сметная прибыль, %</t>
        </is>
      </c>
      <c r="C21" s="44">
        <f>'Прил.5 Расчет СМР и ОБ'!E159</f>
        <v/>
      </c>
      <c r="D21" s="42" t="n"/>
      <c r="E21" s="113" t="n"/>
    </row>
    <row r="22">
      <c r="B22" s="113" t="inlineStr">
        <is>
          <t>Накладные расходы, руб.</t>
        </is>
      </c>
      <c r="C22" s="43">
        <f>ROUND(C23*(C11+C15),2)</f>
        <v/>
      </c>
      <c r="D22" s="42">
        <f>C22/$C$24</f>
        <v/>
      </c>
      <c r="E22" s="42">
        <f>C22/$C$40</f>
        <v/>
      </c>
    </row>
    <row r="23">
      <c r="B23" s="113" t="inlineStr">
        <is>
          <t>Накладные расходы, %</t>
        </is>
      </c>
      <c r="C23" s="44">
        <f>'Прил.5 Расчет СМР и ОБ'!E158</f>
        <v/>
      </c>
      <c r="D23" s="42" t="n"/>
      <c r="E23" s="113" t="n"/>
    </row>
    <row r="24">
      <c r="B24" s="113" t="inlineStr">
        <is>
          <t>ВСЕГО СМР с НР и СП</t>
        </is>
      </c>
      <c r="C24" s="43">
        <f>C19+C20+C22</f>
        <v/>
      </c>
      <c r="D24" s="42">
        <f>C24/$C$24</f>
        <v/>
      </c>
      <c r="E24" s="42">
        <f>C24/$C$40</f>
        <v/>
      </c>
    </row>
    <row r="25" ht="25.5" customHeight="1" s="121">
      <c r="B25" s="113" t="inlineStr">
        <is>
          <t>ВСЕГО стоимость оборудования, в том числе</t>
        </is>
      </c>
      <c r="C25" s="43">
        <f>'Прил.5 Расчет СМР и ОБ'!J57</f>
        <v/>
      </c>
      <c r="D25" s="42" t="n"/>
      <c r="E25" s="42">
        <f>C25/$C$40</f>
        <v/>
      </c>
    </row>
    <row r="26" ht="25.5" customHeight="1" s="121">
      <c r="B26" s="113" t="inlineStr">
        <is>
          <t>стоимость оборудования технологического</t>
        </is>
      </c>
      <c r="C26" s="43">
        <f>'Прил.5 Расчет СМР и ОБ'!J58</f>
        <v/>
      </c>
      <c r="D26" s="42" t="n"/>
      <c r="E26" s="42">
        <f>C26/$C$40</f>
        <v/>
      </c>
    </row>
    <row r="27">
      <c r="B27" s="113" t="inlineStr">
        <is>
          <t>ИТОГО (СМР + ОБОРУДОВАНИЕ)</t>
        </is>
      </c>
      <c r="C27" s="41">
        <f>C24+C25</f>
        <v/>
      </c>
      <c r="D27" s="42" t="n"/>
      <c r="E27" s="42">
        <f>C27/$C$40</f>
        <v/>
      </c>
    </row>
    <row r="28" ht="33" customHeight="1" s="121">
      <c r="B28" s="113" t="inlineStr">
        <is>
          <t>ПРОЧ. ЗАТР., УЧТЕННЫЕ ПОКАЗАТЕЛЕМ,  в том числе</t>
        </is>
      </c>
      <c r="C28" s="113" t="n"/>
      <c r="D28" s="113" t="n"/>
      <c r="E28" s="113" t="n"/>
    </row>
    <row r="29" ht="25.5" customHeight="1" s="121">
      <c r="B29" s="113" t="inlineStr">
        <is>
          <t>Временные здания и сооружения - 3,3%</t>
        </is>
      </c>
      <c r="C29" s="41">
        <f>ROUND(C24*3.3%,2)</f>
        <v/>
      </c>
      <c r="D29" s="113" t="n"/>
      <c r="E29" s="42">
        <f>C29/$C$40</f>
        <v/>
      </c>
    </row>
    <row r="30" ht="38.25" customHeight="1" s="121">
      <c r="B30" s="113" t="inlineStr">
        <is>
          <t>Дополнительные затраты при производстве строительно-монтажных работ в зимнее время - 1%</t>
        </is>
      </c>
      <c r="C30" s="41">
        <f>ROUND((C24+C29)*1%,2)</f>
        <v/>
      </c>
      <c r="D30" s="113" t="n"/>
      <c r="E30" s="42">
        <f>C30/$C$40</f>
        <v/>
      </c>
    </row>
    <row r="31">
      <c r="B31" s="113" t="inlineStr">
        <is>
          <t xml:space="preserve">Пусконаладочные работы </t>
        </is>
      </c>
      <c r="C31" s="41" t="n">
        <v>0</v>
      </c>
      <c r="D31" s="113" t="n"/>
      <c r="E31" s="42">
        <f>C31/$C$40</f>
        <v/>
      </c>
    </row>
    <row r="32" ht="25.5" customHeight="1" s="121">
      <c r="B32" s="113" t="inlineStr">
        <is>
          <t>Затраты по перевозке работников к месту работы и обратно</t>
        </is>
      </c>
      <c r="C32" s="41" t="n">
        <v>0</v>
      </c>
      <c r="D32" s="113" t="n"/>
      <c r="E32" s="42">
        <f>C32/$C$40</f>
        <v/>
      </c>
      <c r="G32" s="98" t="n"/>
    </row>
    <row r="33" ht="25.5" customHeight="1" s="121">
      <c r="B33" s="113" t="inlineStr">
        <is>
          <t>Затраты, связанные с осуществлением работ вахтовым методом</t>
        </is>
      </c>
      <c r="C33" s="41" t="n">
        <v>0</v>
      </c>
      <c r="D33" s="113" t="n"/>
      <c r="E33" s="42">
        <f>C33/$C$40</f>
        <v/>
      </c>
      <c r="G33" s="98" t="n"/>
    </row>
    <row r="34" ht="51" customHeight="1" s="121">
      <c r="B34" s="11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1" t="n">
        <v>0</v>
      </c>
      <c r="D34" s="113" t="n"/>
      <c r="E34" s="42">
        <f>C34/$C$40</f>
        <v/>
      </c>
      <c r="G34" s="98" t="n"/>
    </row>
    <row r="35" ht="86.25" customHeight="1" s="121">
      <c r="B35" s="11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1" t="n">
        <v>0</v>
      </c>
      <c r="D35" s="113" t="n"/>
      <c r="E35" s="42">
        <f>C35/$C$40</f>
        <v/>
      </c>
      <c r="G35" s="98" t="n"/>
    </row>
    <row r="36" ht="25.5" customHeight="1" s="121">
      <c r="B36" s="113" t="inlineStr">
        <is>
          <t>Строительный контроль и содержание службы заказчика - 2,14%</t>
        </is>
      </c>
      <c r="C36" s="41">
        <f>ROUND(SUM(C27:C35)*2.14%,2)</f>
        <v/>
      </c>
      <c r="D36" s="113" t="n"/>
      <c r="E36" s="42">
        <f>C36/$C$40</f>
        <v/>
      </c>
      <c r="G36" s="61" t="n"/>
      <c r="L36" s="18" t="n"/>
    </row>
    <row r="37">
      <c r="B37" s="113" t="inlineStr">
        <is>
          <t>Авторский надзор - 0,2%</t>
        </is>
      </c>
      <c r="C37" s="41">
        <f>ROUND(SUM(C27:C35)*0.2%,2)</f>
        <v/>
      </c>
      <c r="D37" s="113" t="n"/>
      <c r="E37" s="42">
        <f>C37/$C$40</f>
        <v/>
      </c>
      <c r="G37" s="61" t="n"/>
      <c r="L37" s="18" t="n"/>
    </row>
    <row r="38" ht="38.25" customHeight="1" s="121">
      <c r="B38" s="113" t="inlineStr">
        <is>
          <t>ИТОГО (СМР+ОБОРУДОВАНИЕ+ПРОЧ. ЗАТР., УЧТЕННЫЕ ПОКАЗАТЕЛЕМ)</t>
        </is>
      </c>
      <c r="C38" s="43">
        <f>SUM(C27:C37)</f>
        <v/>
      </c>
      <c r="D38" s="113" t="n"/>
      <c r="E38" s="42">
        <f>C38/$C$40</f>
        <v/>
      </c>
    </row>
    <row r="39" ht="13.5" customHeight="1" s="121">
      <c r="B39" s="113" t="inlineStr">
        <is>
          <t>Непредвиденные расходы - 3%</t>
        </is>
      </c>
      <c r="C39" s="43">
        <f>ROUND(C38*3%,2)</f>
        <v/>
      </c>
      <c r="D39" s="113" t="n"/>
      <c r="E39" s="42">
        <f>C39/$C$40</f>
        <v/>
      </c>
    </row>
    <row r="40">
      <c r="B40" s="113" t="inlineStr">
        <is>
          <t>ВСЕГО:</t>
        </is>
      </c>
      <c r="C40" s="43">
        <f>C39+C38</f>
        <v/>
      </c>
      <c r="D40" s="113" t="n"/>
      <c r="E40" s="42">
        <f>C40/$C$40</f>
        <v/>
      </c>
    </row>
    <row r="41">
      <c r="B41" s="113" t="inlineStr">
        <is>
          <t>ИТОГО ПОКАЗАТЕЛЬ НА ЕД. ИЗМ.</t>
        </is>
      </c>
      <c r="C41" s="43">
        <f>C40/'Прил.5 Расчет СМР и ОБ'!E162</f>
        <v/>
      </c>
      <c r="D41" s="113" t="n"/>
      <c r="E41" s="113" t="n"/>
    </row>
    <row r="42">
      <c r="B42" s="19" t="n"/>
      <c r="C42" s="127" t="n"/>
      <c r="D42" s="127" t="n"/>
      <c r="E42" s="127" t="n"/>
    </row>
    <row r="43">
      <c r="B43" s="127" t="inlineStr">
        <is>
          <t>Составил ______________________     Е. М. Добровольская</t>
        </is>
      </c>
      <c r="C43" s="128" t="n"/>
      <c r="D43" s="127" t="n"/>
      <c r="E43" s="127" t="n"/>
    </row>
    <row r="44">
      <c r="B44" s="130" t="inlineStr">
        <is>
          <t xml:space="preserve">                         (подпись, инициалы, фамилия)</t>
        </is>
      </c>
      <c r="C44" s="128" t="n"/>
      <c r="D44" s="127" t="n"/>
      <c r="E44" s="127" t="n"/>
    </row>
    <row r="45">
      <c r="B45" s="127" t="n"/>
      <c r="C45" s="128" t="n"/>
      <c r="D45" s="127" t="n"/>
      <c r="E45" s="127" t="n"/>
    </row>
    <row r="46">
      <c r="B46" s="127" t="inlineStr">
        <is>
          <t>Проверил ______________________        А.В. Костянецкая</t>
        </is>
      </c>
      <c r="C46" s="128" t="n"/>
      <c r="D46" s="127" t="n"/>
      <c r="E46" s="127" t="n"/>
    </row>
    <row r="47">
      <c r="B47" s="130" t="inlineStr">
        <is>
          <t xml:space="preserve">                        (подпись, инициалы, фамилия)</t>
        </is>
      </c>
      <c r="C47" s="128" t="n"/>
      <c r="D47" s="127" t="n"/>
      <c r="E47" s="127" t="n"/>
    </row>
    <row r="49">
      <c r="B49" s="127" t="n"/>
      <c r="C49" s="127" t="n"/>
      <c r="D49" s="127" t="n"/>
      <c r="E49" s="127" t="n"/>
    </row>
    <row r="50">
      <c r="B50" s="127" t="n"/>
      <c r="C50" s="127" t="n"/>
      <c r="D50" s="127" t="n"/>
      <c r="E50" s="12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3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169"/>
  <sheetViews>
    <sheetView view="pageBreakPreview" topLeftCell="A142" zoomScale="85" workbookViewId="0">
      <selection activeCell="C164" sqref="C164"/>
    </sheetView>
  </sheetViews>
  <sheetFormatPr baseColWidth="8" defaultColWidth="9.109375" defaultRowHeight="14.4" outlineLevelRow="1"/>
  <cols>
    <col width="5.6640625" customWidth="1" style="128" min="1" max="1"/>
    <col width="22.5546875" customWidth="1" style="128" min="2" max="2"/>
    <col width="39.109375" customWidth="1" style="128" min="3" max="3"/>
    <col width="10.6640625" customWidth="1" style="128" min="4" max="4"/>
    <col width="12.6640625" customWidth="1" style="128" min="5" max="5"/>
    <col width="14.5546875" customWidth="1" style="128" min="6" max="6"/>
    <col width="13.44140625" customWidth="1" style="128" min="7" max="7"/>
    <col width="12.6640625" customWidth="1" style="128" min="8" max="8"/>
    <col width="14.5546875" customWidth="1" style="128" min="9" max="9"/>
    <col width="15.109375" customWidth="1" style="128" min="10" max="10"/>
    <col width="18" customWidth="1" style="128" min="11" max="11"/>
    <col width="10.6640625" customWidth="1" style="128" min="12" max="12"/>
    <col width="10.88671875" customWidth="1" style="128" min="13" max="13"/>
    <col width="15.109375" customWidth="1" style="128" min="14" max="14"/>
  </cols>
  <sheetData>
    <row r="2" ht="15.75" customHeight="1" s="121">
      <c r="I2" s="120" t="n"/>
      <c r="J2" s="62" t="inlineStr">
        <is>
          <t>Приложение №5</t>
        </is>
      </c>
    </row>
    <row r="4" ht="12.75" customFormat="1" customHeight="1" s="127">
      <c r="A4" s="155" t="inlineStr">
        <is>
          <t>Расчет стоимости СМР и оборудования</t>
        </is>
      </c>
      <c r="I4" s="155" t="n"/>
      <c r="J4" s="155" t="n"/>
    </row>
    <row r="5" ht="12.75" customFormat="1" customHeight="1" s="127">
      <c r="A5" s="155" t="n"/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</row>
    <row r="6" ht="41.25" customFormat="1" customHeight="1" s="127">
      <c r="A6" s="90" t="inlineStr">
        <is>
          <t>Наименование разрабатываемого показателя УНЦ</t>
        </is>
      </c>
      <c r="B6" s="91" t="n"/>
      <c r="C6" s="91" t="n"/>
      <c r="D6" s="169" t="inlineStr">
        <is>
          <t>Строительно-монтажные работы ВЛ 0,4-750 кВ без опор и провода. Двухцепная, все типы опор за исключением многогранных 330 кВ</t>
        </is>
      </c>
    </row>
    <row r="7" ht="12.75" customFormat="1" customHeight="1" s="127">
      <c r="A7" s="169">
        <f>'Прил.1 Сравнит табл'!B9</f>
        <v/>
      </c>
      <c r="I7" s="156" t="n"/>
      <c r="J7" s="156" t="n"/>
    </row>
    <row r="8" ht="12.75" customFormat="1" customHeight="1" s="127"/>
    <row r="9" ht="27" customHeight="1" s="121">
      <c r="A9" s="159" t="inlineStr">
        <is>
          <t>№ пп.</t>
        </is>
      </c>
      <c r="B9" s="159" t="inlineStr">
        <is>
          <t>Код ресурса</t>
        </is>
      </c>
      <c r="C9" s="159" t="inlineStr">
        <is>
          <t>Наименование</t>
        </is>
      </c>
      <c r="D9" s="159" t="inlineStr">
        <is>
          <t>Ед. изм.</t>
        </is>
      </c>
      <c r="E9" s="159" t="inlineStr">
        <is>
          <t>Кол-во единиц по проектным данным</t>
        </is>
      </c>
      <c r="F9" s="159" t="inlineStr">
        <is>
          <t>Сметная стоимость в ценах на 01.01.2000 (руб.)</t>
        </is>
      </c>
      <c r="G9" s="199" t="n"/>
      <c r="H9" s="159" t="inlineStr">
        <is>
          <t>Удельный вес, %</t>
        </is>
      </c>
      <c r="I9" s="159" t="inlineStr">
        <is>
          <t>Сметная стоимость в ценах на 01.01.2023 (руб.)</t>
        </is>
      </c>
      <c r="J9" s="199" t="n"/>
    </row>
    <row r="10" ht="28.5" customHeight="1" s="121">
      <c r="A10" s="201" t="n"/>
      <c r="B10" s="201" t="n"/>
      <c r="C10" s="201" t="n"/>
      <c r="D10" s="201" t="n"/>
      <c r="E10" s="201" t="n"/>
      <c r="F10" s="159" t="inlineStr">
        <is>
          <t>на ед. изм.</t>
        </is>
      </c>
      <c r="G10" s="159" t="inlineStr">
        <is>
          <t>общая</t>
        </is>
      </c>
      <c r="H10" s="201" t="n"/>
      <c r="I10" s="159" t="inlineStr">
        <is>
          <t>на ед. изм.</t>
        </is>
      </c>
      <c r="J10" s="159" t="inlineStr">
        <is>
          <t>общая</t>
        </is>
      </c>
    </row>
    <row r="11">
      <c r="A11" s="159" t="n">
        <v>1</v>
      </c>
      <c r="B11" s="159" t="n">
        <v>2</v>
      </c>
      <c r="C11" s="159" t="n">
        <v>3</v>
      </c>
      <c r="D11" s="159" t="n">
        <v>4</v>
      </c>
      <c r="E11" s="159" t="n">
        <v>5</v>
      </c>
      <c r="F11" s="159" t="n">
        <v>6</v>
      </c>
      <c r="G11" s="159" t="n">
        <v>7</v>
      </c>
      <c r="H11" s="159" t="n">
        <v>8</v>
      </c>
      <c r="I11" s="159" t="n">
        <v>9</v>
      </c>
      <c r="J11" s="159" t="n">
        <v>10</v>
      </c>
    </row>
    <row r="12">
      <c r="A12" s="159" t="n"/>
      <c r="B12" s="177" t="inlineStr">
        <is>
          <t>Затраты труда рабочих-строителей</t>
        </is>
      </c>
      <c r="C12" s="198" t="n"/>
      <c r="D12" s="198" t="n"/>
      <c r="E12" s="198" t="n"/>
      <c r="F12" s="198" t="n"/>
      <c r="G12" s="198" t="n"/>
      <c r="H12" s="199" t="n"/>
      <c r="I12" s="46" t="n"/>
      <c r="J12" s="46" t="n"/>
      <c r="L12" s="65" t="n"/>
    </row>
    <row r="13" ht="25.5" customHeight="1" s="121">
      <c r="A13" s="159" t="n">
        <v>1</v>
      </c>
      <c r="B13" s="131" t="inlineStr">
        <is>
          <t>1-3-4</t>
        </is>
      </c>
      <c r="C13" s="171" t="inlineStr">
        <is>
          <t>Затраты труда рабочих-строителей среднего разряда (3,4)</t>
        </is>
      </c>
      <c r="D13" s="172" t="inlineStr">
        <is>
          <t>чел.-ч.</t>
        </is>
      </c>
      <c r="E13" s="134" t="n">
        <v>26425.322222222</v>
      </c>
      <c r="F13" s="140" t="n">
        <v>8.970000000000001</v>
      </c>
      <c r="G13" s="140">
        <f>ROUND(E13*F13,2)</f>
        <v/>
      </c>
      <c r="H13" s="176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28">
      <c r="A14" s="159" t="n"/>
      <c r="B14" s="172" t="n"/>
      <c r="C14" s="170" t="inlineStr">
        <is>
          <t>Итого по разделу "Затраты труда рабочих-строителей"</t>
        </is>
      </c>
      <c r="D14" s="172" t="inlineStr">
        <is>
          <t>чел.-ч.</t>
        </is>
      </c>
      <c r="E14" s="141">
        <f>SUM(E13:E13)</f>
        <v/>
      </c>
      <c r="F14" s="140" t="n"/>
      <c r="G14" s="140">
        <f>SUM(G13:G13)</f>
        <v/>
      </c>
      <c r="H14" s="176" t="n">
        <v>1</v>
      </c>
      <c r="I14" s="14" t="n"/>
      <c r="J14" s="14">
        <f>SUM(J13:J13)</f>
        <v/>
      </c>
      <c r="L14" s="66" t="n"/>
    </row>
    <row r="15" ht="14.25" customFormat="1" customHeight="1" s="128">
      <c r="A15" s="159" t="n"/>
      <c r="B15" s="171" t="inlineStr">
        <is>
          <t>Затраты труда машинистов</t>
        </is>
      </c>
      <c r="C15" s="198" t="n"/>
      <c r="D15" s="198" t="n"/>
      <c r="E15" s="198" t="n"/>
      <c r="F15" s="198" t="n"/>
      <c r="G15" s="198" t="n"/>
      <c r="H15" s="199" t="n"/>
      <c r="I15" s="46" t="n"/>
      <c r="J15" s="46" t="n"/>
      <c r="L15" s="65" t="n"/>
    </row>
    <row r="16" ht="14.25" customFormat="1" customHeight="1" s="128">
      <c r="A16" s="159" t="n">
        <v>2</v>
      </c>
      <c r="B16" s="172" t="n">
        <v>2</v>
      </c>
      <c r="C16" s="171" t="inlineStr">
        <is>
          <t>Затраты труда машинистов</t>
        </is>
      </c>
      <c r="D16" s="172" t="inlineStr">
        <is>
          <t>чел.-ч.</t>
        </is>
      </c>
      <c r="E16" s="134" t="n">
        <v>19994.377777778</v>
      </c>
      <c r="F16" s="140" t="n">
        <v>14.419302314984</v>
      </c>
      <c r="G16" s="140">
        <f>ROUND(E16*F16,2)</f>
        <v/>
      </c>
      <c r="H16" s="176" t="n">
        <v>1</v>
      </c>
      <c r="I16" s="14">
        <f>ROUND(F16*Прил.10!D10,2)</f>
        <v/>
      </c>
      <c r="J16" s="14">
        <f>ROUND(I16*E16,2)</f>
        <v/>
      </c>
    </row>
    <row r="17" ht="14.25" customFormat="1" customHeight="1" s="128">
      <c r="A17" s="159" t="n"/>
      <c r="B17" s="170" t="inlineStr">
        <is>
          <t>Машины и механизмы</t>
        </is>
      </c>
      <c r="C17" s="198" t="n"/>
      <c r="D17" s="198" t="n"/>
      <c r="E17" s="198" t="n"/>
      <c r="F17" s="198" t="n"/>
      <c r="G17" s="198" t="n"/>
      <c r="H17" s="199" t="n"/>
      <c r="I17" s="178" t="n"/>
      <c r="J17" s="178" t="n"/>
    </row>
    <row r="18" ht="14.25" customFormat="1" customHeight="1" s="128">
      <c r="A18" s="159" t="n"/>
      <c r="B18" s="171" t="inlineStr">
        <is>
          <t>Основные машины и механизмы</t>
        </is>
      </c>
      <c r="C18" s="198" t="n"/>
      <c r="D18" s="198" t="n"/>
      <c r="E18" s="198" t="n"/>
      <c r="F18" s="198" t="n"/>
      <c r="G18" s="198" t="n"/>
      <c r="H18" s="199" t="n"/>
      <c r="I18" s="46" t="n"/>
      <c r="J18" s="46" t="n"/>
    </row>
    <row r="19" ht="14.25" customFormat="1" customHeight="1" s="128">
      <c r="A19" s="159" t="n">
        <v>3</v>
      </c>
      <c r="B19" s="131" t="inlineStr">
        <is>
          <t>91.02.03-001</t>
        </is>
      </c>
      <c r="C19" s="171" t="inlineStr">
        <is>
          <t>Гидромолоты на базе экскаватора</t>
        </is>
      </c>
      <c r="D19" s="172" t="inlineStr">
        <is>
          <t>маш.час</t>
        </is>
      </c>
      <c r="E19" s="134" t="n">
        <v>8241.3888888889</v>
      </c>
      <c r="F19" s="139" t="n">
        <v>793.53</v>
      </c>
      <c r="G19" s="140">
        <f>ROUND(E19*F19,2)</f>
        <v/>
      </c>
      <c r="H19" s="176">
        <f>G19/$G$52</f>
        <v/>
      </c>
      <c r="I19" s="14">
        <f>ROUND(F19*Прил.10!$D$11,2)</f>
        <v/>
      </c>
      <c r="J19" s="14">
        <f>ROUND(I19*E19,2)</f>
        <v/>
      </c>
    </row>
    <row r="20" ht="30.75" customFormat="1" customHeight="1" s="128">
      <c r="A20" s="159" t="n">
        <v>4</v>
      </c>
      <c r="B20" s="131" t="inlineStr">
        <is>
          <t>91.01.05-085</t>
        </is>
      </c>
      <c r="C20" s="171" t="inlineStr">
        <is>
          <t>Экскаваторы одноковшовые дизельные на гусеничном ходу, емкость ковша 0,5 м3</t>
        </is>
      </c>
      <c r="D20" s="172" t="inlineStr">
        <is>
          <t>маш.час</t>
        </is>
      </c>
      <c r="E20" s="134" t="n">
        <v>3331.9333333333</v>
      </c>
      <c r="F20" s="139" t="n">
        <v>100</v>
      </c>
      <c r="G20" s="140">
        <f>ROUND(E20*F20,2)</f>
        <v/>
      </c>
      <c r="H20" s="176">
        <f>G20/$G$52</f>
        <v/>
      </c>
      <c r="I20" s="14">
        <f>ROUND(F20*Прил.10!$D$11,2)</f>
        <v/>
      </c>
      <c r="J20" s="14">
        <f>ROUND(I20*E20,2)</f>
        <v/>
      </c>
    </row>
    <row r="21" ht="27" customFormat="1" customHeight="1" s="128">
      <c r="A21" s="159" t="n">
        <v>5</v>
      </c>
      <c r="B21" s="131" t="inlineStr">
        <is>
          <t>91.06.06-014</t>
        </is>
      </c>
      <c r="C21" s="171" t="inlineStr">
        <is>
          <t>Автогидроподъемники, высота подъема 28 м</t>
        </is>
      </c>
      <c r="D21" s="172" t="inlineStr">
        <is>
          <t>маш.час</t>
        </is>
      </c>
      <c r="E21" s="134" t="n">
        <v>1044.6777777778</v>
      </c>
      <c r="F21" s="139" t="n">
        <v>243.49</v>
      </c>
      <c r="G21" s="140">
        <f>ROUND(E21*F21,2)</f>
        <v/>
      </c>
      <c r="H21" s="176">
        <f>G21/$G$52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28">
      <c r="B22" s="159" t="n"/>
      <c r="C22" s="158" t="inlineStr">
        <is>
          <t>Итого основные машины и механизмы</t>
        </is>
      </c>
      <c r="D22" s="159" t="n"/>
      <c r="E22" s="51" t="n"/>
      <c r="F22" s="14" t="n"/>
      <c r="G22" s="14">
        <f>SUM(G19:G21)</f>
        <v/>
      </c>
      <c r="H22" s="178">
        <f>G22/G52</f>
        <v/>
      </c>
      <c r="I22" s="14" t="n"/>
      <c r="J22" s="14">
        <f>SUM(J19:J21)</f>
        <v/>
      </c>
      <c r="L22" s="65" t="n"/>
    </row>
    <row r="23" outlineLevel="1" ht="25.5" customFormat="1" customHeight="1" s="128">
      <c r="A23" s="159" t="n">
        <v>6</v>
      </c>
      <c r="B23" s="50" t="inlineStr">
        <is>
          <t>91.05.05-016</t>
        </is>
      </c>
      <c r="C23" s="158" t="inlineStr">
        <is>
          <t>Краны на автомобильном ходу, грузоподъемность 25 т</t>
        </is>
      </c>
      <c r="D23" s="159" t="inlineStr">
        <is>
          <t>маш.час</t>
        </is>
      </c>
      <c r="E23" s="141" t="n">
        <v>463.15555555556</v>
      </c>
      <c r="F23" s="184" t="n">
        <v>476.43</v>
      </c>
      <c r="G23" s="14">
        <f>ROUND(E23*F23,2)</f>
        <v/>
      </c>
      <c r="H23" s="178">
        <f>G23/$G$52</f>
        <v/>
      </c>
      <c r="I23" s="14">
        <f>ROUND(F23*Прил.10!$D$11,2)</f>
        <v/>
      </c>
      <c r="J23" s="14">
        <f>ROUND(I23*E23,2)</f>
        <v/>
      </c>
      <c r="L23" s="65" t="n"/>
    </row>
    <row r="24" outlineLevel="1" ht="25.5" customFormat="1" customHeight="1" s="128">
      <c r="A24" s="159" t="n">
        <v>7</v>
      </c>
      <c r="B24" s="50" t="inlineStr">
        <is>
          <t>91.05.05-015</t>
        </is>
      </c>
      <c r="C24" s="158" t="inlineStr">
        <is>
          <t>Краны на автомобильном ходу, грузоподъемность 16 т</t>
        </is>
      </c>
      <c r="D24" s="159" t="inlineStr">
        <is>
          <t>маш.час</t>
        </is>
      </c>
      <c r="E24" s="141" t="n">
        <v>1548.4388888889</v>
      </c>
      <c r="F24" s="184" t="n">
        <v>115.4</v>
      </c>
      <c r="G24" s="14">
        <f>ROUND(E24*F24,2)</f>
        <v/>
      </c>
      <c r="H24" s="178">
        <f>G24/$G$52</f>
        <v/>
      </c>
      <c r="I24" s="14">
        <f>ROUND(F24*Прил.10!$D$11,2)</f>
        <v/>
      </c>
      <c r="J24" s="14">
        <f>ROUND(I24*E24,2)</f>
        <v/>
      </c>
      <c r="L24" s="65" t="n"/>
    </row>
    <row r="25" outlineLevel="1" ht="25.5" customFormat="1" customHeight="1" s="128">
      <c r="A25" s="159" t="n">
        <v>8</v>
      </c>
      <c r="B25" s="50" t="inlineStr">
        <is>
          <t>91.11.02-021</t>
        </is>
      </c>
      <c r="C25" s="158" t="inlineStr">
        <is>
          <t>Комплексы для монтажа проводов методом "под тяжением"</t>
        </is>
      </c>
      <c r="D25" s="159" t="inlineStr">
        <is>
          <t>маш.час</t>
        </is>
      </c>
      <c r="E25" s="141" t="n">
        <v>262.66666666667</v>
      </c>
      <c r="F25" s="184" t="n">
        <v>637.76</v>
      </c>
      <c r="G25" s="14">
        <f>ROUND(E25*F25,2)</f>
        <v/>
      </c>
      <c r="H25" s="178">
        <f>G25/$G$52</f>
        <v/>
      </c>
      <c r="I25" s="14">
        <f>ROUND(F25*Прил.10!$D$11,2)</f>
        <v/>
      </c>
      <c r="J25" s="14">
        <f>ROUND(I25*E25,2)</f>
        <v/>
      </c>
      <c r="L25" s="65" t="n"/>
    </row>
    <row r="26" outlineLevel="1" ht="25.5" customFormat="1" customHeight="1" s="128">
      <c r="A26" s="159" t="n">
        <v>9</v>
      </c>
      <c r="B26" s="50" t="inlineStr">
        <is>
          <t>91.01.01-038</t>
        </is>
      </c>
      <c r="C26" s="158" t="inlineStr">
        <is>
          <t>Бульдозеры, мощность 121 кВт (165 л.с.)</t>
        </is>
      </c>
      <c r="D26" s="159" t="inlineStr">
        <is>
          <t>маш.час</t>
        </is>
      </c>
      <c r="E26" s="141" t="n">
        <v>1106.75</v>
      </c>
      <c r="F26" s="184" t="n">
        <v>122.4</v>
      </c>
      <c r="G26" s="14">
        <f>ROUND(E26*F26,2)</f>
        <v/>
      </c>
      <c r="H26" s="178">
        <f>G26/$G$52</f>
        <v/>
      </c>
      <c r="I26" s="14">
        <f>ROUND(F26*Прил.10!$D$11,2)</f>
        <v/>
      </c>
      <c r="J26" s="14">
        <f>ROUND(I26*E26,2)</f>
        <v/>
      </c>
      <c r="L26" s="65" t="n"/>
    </row>
    <row r="27" outlineLevel="1" ht="38.25" customFormat="1" customHeight="1" s="128">
      <c r="A27" s="159" t="n">
        <v>10</v>
      </c>
      <c r="B27" s="50" t="inlineStr">
        <is>
          <t>91.18.01-007</t>
        </is>
      </c>
      <c r="C27" s="15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159" t="inlineStr">
        <is>
          <t>маш.час</t>
        </is>
      </c>
      <c r="E27" s="141" t="n">
        <v>1361.7777777778</v>
      </c>
      <c r="F27" s="184" t="n">
        <v>90</v>
      </c>
      <c r="G27" s="14">
        <f>ROUND(E27*F27,2)</f>
        <v/>
      </c>
      <c r="H27" s="178">
        <f>G27/$G$52</f>
        <v/>
      </c>
      <c r="I27" s="14">
        <f>ROUND(F27*Прил.10!$D$11,2)</f>
        <v/>
      </c>
      <c r="J27" s="14">
        <f>ROUND(I27*E27,2)</f>
        <v/>
      </c>
      <c r="L27" s="65" t="n"/>
    </row>
    <row r="28" outlineLevel="1" ht="25.5" customFormat="1" customHeight="1" s="128">
      <c r="A28" s="159" t="n">
        <v>11</v>
      </c>
      <c r="B28" s="50" t="inlineStr">
        <is>
          <t>91.15.02-029</t>
        </is>
      </c>
      <c r="C28" s="158" t="inlineStr">
        <is>
          <t>Тракторы на гусеничном ходу с лебедкой 132 кВт (180 л.с.)</t>
        </is>
      </c>
      <c r="D28" s="159" t="inlineStr">
        <is>
          <t>маш.час</t>
        </is>
      </c>
      <c r="E28" s="141" t="n">
        <v>614.85555555556</v>
      </c>
      <c r="F28" s="184" t="n">
        <v>147.43</v>
      </c>
      <c r="G28" s="14">
        <f>ROUND(E28*F28,2)</f>
        <v/>
      </c>
      <c r="H28" s="178">
        <f>G28/$G$52</f>
        <v/>
      </c>
      <c r="I28" s="14">
        <f>ROUND(F28*Прил.10!$D$11,2)</f>
        <v/>
      </c>
      <c r="J28" s="14">
        <f>ROUND(I28*E28,2)</f>
        <v/>
      </c>
      <c r="L28" s="65" t="n"/>
    </row>
    <row r="29" outlineLevel="1" ht="51" customFormat="1" customHeight="1" s="128">
      <c r="A29" s="159" t="n">
        <v>12</v>
      </c>
      <c r="B29" s="50" t="inlineStr">
        <is>
          <t>91.05.08-007</t>
        </is>
      </c>
      <c r="C29" s="158" t="inlineStr">
        <is>
          <t>Краны на пневмоколесном ходу, грузоподъемность 25 т</t>
        </is>
      </c>
      <c r="D29" s="159" t="inlineStr">
        <is>
          <t>маш.час</t>
        </is>
      </c>
      <c r="E29" s="141" t="n">
        <v>555.27222222222</v>
      </c>
      <c r="F29" s="184" t="n">
        <v>102.51</v>
      </c>
      <c r="G29" s="14">
        <f>ROUND(E29*F29,2)</f>
        <v/>
      </c>
      <c r="H29" s="178">
        <f>G29/$G$52</f>
        <v/>
      </c>
      <c r="I29" s="14">
        <f>ROUND(F29*Прил.10!$D$11,2)</f>
        <v/>
      </c>
      <c r="J29" s="14">
        <f>ROUND(I29*E29,2)</f>
        <v/>
      </c>
      <c r="L29" s="65" t="n"/>
    </row>
    <row r="30" outlineLevel="1" ht="25.5" customFormat="1" customHeight="1" s="128">
      <c r="A30" s="159" t="n">
        <v>13</v>
      </c>
      <c r="B30" s="50" t="inlineStr">
        <is>
          <t>91.13.03-111</t>
        </is>
      </c>
      <c r="C30" s="158" t="inlineStr">
        <is>
          <t>Спецавтомобили-вездеходы, грузоподъемность до 8 т</t>
        </is>
      </c>
      <c r="D30" s="159" t="inlineStr">
        <is>
          <t>маш.час</t>
        </is>
      </c>
      <c r="E30" s="141" t="n">
        <v>282.56666666667</v>
      </c>
      <c r="F30" s="184" t="n">
        <v>189.95</v>
      </c>
      <c r="G30" s="14">
        <f>ROUND(E30*F30,2)</f>
        <v/>
      </c>
      <c r="H30" s="178">
        <f>G30/$G$52</f>
        <v/>
      </c>
      <c r="I30" s="14">
        <f>ROUND(F30*Прил.10!$D$11,2)</f>
        <v/>
      </c>
      <c r="J30" s="14">
        <f>ROUND(I30*E30,2)</f>
        <v/>
      </c>
      <c r="L30" s="65" t="n"/>
    </row>
    <row r="31" outlineLevel="1" ht="25.5" customFormat="1" customHeight="1" s="128">
      <c r="A31" s="159" t="n">
        <v>14</v>
      </c>
      <c r="B31" s="50" t="inlineStr">
        <is>
          <t>91.08.04-021</t>
        </is>
      </c>
      <c r="C31" s="158" t="inlineStr">
        <is>
          <t>Котлы битумные передвижные 400 л</t>
        </is>
      </c>
      <c r="D31" s="159" t="inlineStr">
        <is>
          <t>маш.час</t>
        </is>
      </c>
      <c r="E31" s="141" t="n">
        <v>1241.4444444444</v>
      </c>
      <c r="F31" s="184" t="n">
        <v>30</v>
      </c>
      <c r="G31" s="14">
        <f>ROUND(E31*F31,2)</f>
        <v/>
      </c>
      <c r="H31" s="178">
        <f>G31/$G$52</f>
        <v/>
      </c>
      <c r="I31" s="14">
        <f>ROUND(F31*Прил.10!$D$11,2)</f>
        <v/>
      </c>
      <c r="J31" s="14">
        <f>ROUND(I31*E31,2)</f>
        <v/>
      </c>
      <c r="L31" s="65" t="n"/>
    </row>
    <row r="32" outlineLevel="1" ht="25.5" customFormat="1" customHeight="1" s="128">
      <c r="A32" s="159" t="n">
        <v>15</v>
      </c>
      <c r="B32" s="50" t="inlineStr">
        <is>
          <t>91.14.02-002</t>
        </is>
      </c>
      <c r="C32" s="158" t="inlineStr">
        <is>
          <t>Автомобили бортовые, грузоподъемность до 8 т</t>
        </is>
      </c>
      <c r="D32" s="159" t="inlineStr">
        <is>
          <t>маш.час</t>
        </is>
      </c>
      <c r="E32" s="141" t="n">
        <v>243.45</v>
      </c>
      <c r="F32" s="184" t="n">
        <v>85.84</v>
      </c>
      <c r="G32" s="14">
        <f>ROUND(E32*F32,2)</f>
        <v/>
      </c>
      <c r="H32" s="178">
        <f>G32/$G$52</f>
        <v/>
      </c>
      <c r="I32" s="14">
        <f>ROUND(F32*Прил.10!$D$11,2)</f>
        <v/>
      </c>
      <c r="J32" s="14">
        <f>ROUND(I32*E32,2)</f>
        <v/>
      </c>
      <c r="L32" s="65" t="n"/>
    </row>
    <row r="33" outlineLevel="1" ht="14.25" customFormat="1" customHeight="1" s="128">
      <c r="A33" s="159" t="n">
        <v>16</v>
      </c>
      <c r="B33" s="50" t="inlineStr">
        <is>
          <t>91.14.04-002</t>
        </is>
      </c>
      <c r="C33" s="158" t="inlineStr">
        <is>
          <t>Тягачи седельные, грузоподъемность 15 т</t>
        </is>
      </c>
      <c r="D33" s="159" t="inlineStr">
        <is>
          <t>маш.час</t>
        </is>
      </c>
      <c r="E33" s="141" t="n">
        <v>219.65</v>
      </c>
      <c r="F33" s="184" t="n">
        <v>94.38</v>
      </c>
      <c r="G33" s="14">
        <f>ROUND(E33*F33,2)</f>
        <v/>
      </c>
      <c r="H33" s="178">
        <f>G33/$G$52</f>
        <v/>
      </c>
      <c r="I33" s="14">
        <f>ROUND(F33*Прил.10!$D$11,2)</f>
        <v/>
      </c>
      <c r="J33" s="14">
        <f>ROUND(I33*E33,2)</f>
        <v/>
      </c>
      <c r="L33" s="65" t="n"/>
    </row>
    <row r="34" outlineLevel="1" ht="25.5" customFormat="1" customHeight="1" s="128">
      <c r="A34" s="159" t="n">
        <v>17</v>
      </c>
      <c r="B34" s="50" t="inlineStr">
        <is>
          <t>91.01.04-003</t>
        </is>
      </c>
      <c r="C34" s="158" t="inlineStr">
        <is>
          <t>Установки однобаровые на тракторе, мощность 79 кВт (108 л.с.), ширина щели 14 см</t>
        </is>
      </c>
      <c r="D34" s="159" t="inlineStr">
        <is>
          <t>маш.час</t>
        </is>
      </c>
      <c r="E34" s="141" t="n">
        <v>141.86666666667</v>
      </c>
      <c r="F34" s="184" t="n">
        <v>127.95</v>
      </c>
      <c r="G34" s="14">
        <f>ROUND(E34*F34,2)</f>
        <v/>
      </c>
      <c r="H34" s="178">
        <f>G34/$G$52</f>
        <v/>
      </c>
      <c r="I34" s="14">
        <f>ROUND(F34*Прил.10!$D$11,2)</f>
        <v/>
      </c>
      <c r="J34" s="14">
        <f>ROUND(I34*E34,2)</f>
        <v/>
      </c>
      <c r="L34" s="65" t="n"/>
    </row>
    <row r="35" outlineLevel="1" ht="38.25" customFormat="1" customHeight="1" s="128">
      <c r="A35" s="159" t="n">
        <v>18</v>
      </c>
      <c r="B35" s="50" t="inlineStr">
        <is>
          <t>91.05.14-516</t>
        </is>
      </c>
      <c r="C35" s="15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5" s="159" t="inlineStr">
        <is>
          <t>маш.час</t>
        </is>
      </c>
      <c r="E35" s="141" t="n">
        <v>176.53888888889</v>
      </c>
      <c r="F35" s="184" t="n">
        <v>77.64</v>
      </c>
      <c r="G35" s="14">
        <f>ROUND(E35*F35,2)</f>
        <v/>
      </c>
      <c r="H35" s="178">
        <f>G35/$G$52</f>
        <v/>
      </c>
      <c r="I35" s="14">
        <f>ROUND(F35*Прил.10!$D$11,2)</f>
        <v/>
      </c>
      <c r="J35" s="14">
        <f>ROUND(I35*E35,2)</f>
        <v/>
      </c>
      <c r="L35" s="65" t="n"/>
    </row>
    <row r="36" outlineLevel="1" ht="25.5" customFormat="1" customHeight="1" s="128">
      <c r="A36" s="159" t="n">
        <v>19</v>
      </c>
      <c r="B36" s="50" t="inlineStr">
        <is>
          <t>91.05.14-023</t>
        </is>
      </c>
      <c r="C36" s="158" t="inlineStr">
        <is>
          <t>Краны на тракторе, мощность 121 кВт (165 л.с.), грузоподъемность 5 т</t>
        </is>
      </c>
      <c r="D36" s="159" t="inlineStr">
        <is>
          <t>маш.час</t>
        </is>
      </c>
      <c r="E36" s="141" t="n">
        <v>68.994444444444</v>
      </c>
      <c r="F36" s="184" t="n">
        <v>182.8</v>
      </c>
      <c r="G36" s="14">
        <f>ROUND(E36*F36,2)</f>
        <v/>
      </c>
      <c r="H36" s="178">
        <f>G36/$G$52</f>
        <v/>
      </c>
      <c r="I36" s="14">
        <f>ROUND(F36*Прил.10!$D$11,2)</f>
        <v/>
      </c>
      <c r="J36" s="14">
        <f>ROUND(I36*E36,2)</f>
        <v/>
      </c>
      <c r="L36" s="65" t="n"/>
    </row>
    <row r="37" outlineLevel="1" ht="25.5" customFormat="1" customHeight="1" s="128">
      <c r="A37" s="159" t="n">
        <v>20</v>
      </c>
      <c r="B37" s="50" t="inlineStr">
        <is>
          <t>91.14.05-012</t>
        </is>
      </c>
      <c r="C37" s="158" t="inlineStr">
        <is>
          <t>Полуприцепы общего назначения, грузоподъемность 15 т</t>
        </is>
      </c>
      <c r="D37" s="159" t="inlineStr">
        <is>
          <t>маш.час</t>
        </is>
      </c>
      <c r="E37" s="141" t="n">
        <v>219.65</v>
      </c>
      <c r="F37" s="184" t="n">
        <v>19.76</v>
      </c>
      <c r="G37" s="14">
        <f>ROUND(E37*F37,2)</f>
        <v/>
      </c>
      <c r="H37" s="178">
        <f>G37/$G$52</f>
        <v/>
      </c>
      <c r="I37" s="14">
        <f>ROUND(F37*Прил.10!$D$11,2)</f>
        <v/>
      </c>
      <c r="J37" s="14">
        <f>ROUND(I37*E37,2)</f>
        <v/>
      </c>
      <c r="L37" s="65" t="n"/>
    </row>
    <row r="38" outlineLevel="1" ht="38.25" customFormat="1" customHeight="1" s="128">
      <c r="A38" s="159" t="n">
        <v>21</v>
      </c>
      <c r="B38" s="50" t="inlineStr">
        <is>
          <t>91.17.04-036</t>
        </is>
      </c>
      <c r="C38" s="158" t="inlineStr">
        <is>
          <t>Агрегаты сварочные передвижные с дизельным двигателем, номинальный сварочный ток 250-400 А</t>
        </is>
      </c>
      <c r="D38" s="159" t="inlineStr">
        <is>
          <t>маш.час</t>
        </is>
      </c>
      <c r="E38" s="141" t="n">
        <v>232.17222222222</v>
      </c>
      <c r="F38" s="184" t="n">
        <v>14</v>
      </c>
      <c r="G38" s="14">
        <f>ROUND(E38*F38,2)</f>
        <v/>
      </c>
      <c r="H38" s="178">
        <f>G38/$G$52</f>
        <v/>
      </c>
      <c r="I38" s="14">
        <f>ROUND(F38*Прил.10!$D$11,2)</f>
        <v/>
      </c>
      <c r="J38" s="14">
        <f>ROUND(I38*E38,2)</f>
        <v/>
      </c>
      <c r="L38" s="65" t="n"/>
    </row>
    <row r="39" outlineLevel="1" ht="38.25" customFormat="1" customHeight="1" s="128">
      <c r="A39" s="159" t="n">
        <v>22</v>
      </c>
      <c r="B39" s="50" t="inlineStr">
        <is>
          <t>91.08.09-023</t>
        </is>
      </c>
      <c r="C39" s="158" t="inlineStr">
        <is>
          <t>Трамбовки пневматические при работе от передвижных компрессорных станций</t>
        </is>
      </c>
      <c r="D39" s="159" t="inlineStr">
        <is>
          <t>маш.час</t>
        </is>
      </c>
      <c r="E39" s="141" t="n">
        <v>5444.1388888889</v>
      </c>
      <c r="F39" s="184" t="n">
        <v>0.55</v>
      </c>
      <c r="G39" s="14">
        <f>ROUND(E39*F39,2)</f>
        <v/>
      </c>
      <c r="H39" s="178">
        <f>G39/$G$52</f>
        <v/>
      </c>
      <c r="I39" s="14">
        <f>ROUND(F39*Прил.10!$D$11,2)</f>
        <v/>
      </c>
      <c r="J39" s="14">
        <f>ROUND(I39*E39,2)</f>
        <v/>
      </c>
      <c r="L39" s="65" t="n"/>
    </row>
    <row r="40" outlineLevel="1" ht="25.5" customFormat="1" customHeight="1" s="128">
      <c r="A40" s="159" t="n">
        <v>23</v>
      </c>
      <c r="B40" s="50" t="inlineStr">
        <is>
          <t>91.06.05-057</t>
        </is>
      </c>
      <c r="C40" s="158" t="inlineStr">
        <is>
          <t>Погрузчики одноковшовые универсальные фронтальные пневмоколесные, грузоподъемность 3 т</t>
        </is>
      </c>
      <c r="D40" s="159" t="inlineStr">
        <is>
          <t>маш.час</t>
        </is>
      </c>
      <c r="E40" s="141" t="n">
        <v>25.438888888889</v>
      </c>
      <c r="F40" s="184" t="n">
        <v>90.40000000000001</v>
      </c>
      <c r="G40" s="14">
        <f>ROUND(E40*F40,2)</f>
        <v/>
      </c>
      <c r="H40" s="178">
        <f>G40/$G$52</f>
        <v/>
      </c>
      <c r="I40" s="14">
        <f>ROUND(F40*Прил.10!$D$11,2)</f>
        <v/>
      </c>
      <c r="J40" s="14">
        <f>ROUND(I40*E40,2)</f>
        <v/>
      </c>
      <c r="L40" s="65" t="n"/>
    </row>
    <row r="41" outlineLevel="1" ht="25.5" customFormat="1" customHeight="1" s="128">
      <c r="A41" s="159" t="n">
        <v>24</v>
      </c>
      <c r="B41" s="50" t="inlineStr">
        <is>
          <t>91.04.01-032</t>
        </is>
      </c>
      <c r="C41" s="158" t="inlineStr">
        <is>
          <t>Машины бурильно-крановые глубина бурения 1,5-3 м, мощность 66 кВт (90 л.с.)</t>
        </is>
      </c>
      <c r="D41" s="159" t="inlineStr">
        <is>
          <t>маш.час</t>
        </is>
      </c>
      <c r="E41" s="141" t="n">
        <v>11.505555555556</v>
      </c>
      <c r="F41" s="184" t="n">
        <v>140.95</v>
      </c>
      <c r="G41" s="14">
        <f>ROUND(E41*F41,2)</f>
        <v/>
      </c>
      <c r="H41" s="178">
        <f>G41/$G$52</f>
        <v/>
      </c>
      <c r="I41" s="14">
        <f>ROUND(F41*Прил.10!$D$11,2)</f>
        <v/>
      </c>
      <c r="J41" s="14">
        <f>ROUND(I41*E41,2)</f>
        <v/>
      </c>
      <c r="L41" s="65" t="n"/>
    </row>
    <row r="42" outlineLevel="1" ht="25.5" customFormat="1" customHeight="1" s="128">
      <c r="A42" s="159" t="n">
        <v>25</v>
      </c>
      <c r="B42" s="50" t="inlineStr">
        <is>
          <t>91.01.01-036</t>
        </is>
      </c>
      <c r="C42" s="158" t="inlineStr">
        <is>
          <t>Бульдозеры, мощность 96 кВт (130 л.с.)</t>
        </is>
      </c>
      <c r="D42" s="159" t="inlineStr">
        <is>
          <t>маш.час</t>
        </is>
      </c>
      <c r="E42" s="141" t="n">
        <v>9.8166666666667</v>
      </c>
      <c r="F42" s="184" t="n">
        <v>94.05</v>
      </c>
      <c r="G42" s="14">
        <f>ROUND(E42*F42,2)</f>
        <v/>
      </c>
      <c r="H42" s="178">
        <f>G42/$G$52</f>
        <v/>
      </c>
      <c r="I42" s="14">
        <f>ROUND(F42*Прил.10!$D$11,2)</f>
        <v/>
      </c>
      <c r="J42" s="14">
        <f>ROUND(I42*E42,2)</f>
        <v/>
      </c>
      <c r="L42" s="65" t="n"/>
    </row>
    <row r="43" outlineLevel="1" ht="25.5" customFormat="1" customHeight="1" s="128">
      <c r="A43" s="159" t="n">
        <v>26</v>
      </c>
      <c r="B43" s="50" t="inlineStr">
        <is>
          <t>ФСЭМ-91.14.03-002</t>
        </is>
      </c>
      <c r="C43" s="158" t="inlineStr">
        <is>
          <t>Автомобили-самосвалы, грузоподъемность до 10 т</t>
        </is>
      </c>
      <c r="D43" s="159" t="inlineStr">
        <is>
          <t>маш.-ч</t>
        </is>
      </c>
      <c r="E43" s="141" t="n">
        <v>9.966666666666701</v>
      </c>
      <c r="F43" s="184" t="n">
        <v>87.48999999999999</v>
      </c>
      <c r="G43" s="14">
        <f>ROUND(E43*F43,2)</f>
        <v/>
      </c>
      <c r="H43" s="178">
        <f>G43/$G$52</f>
        <v/>
      </c>
      <c r="I43" s="14">
        <f>ROUND(F43*Прил.10!$D$11,2)</f>
        <v/>
      </c>
      <c r="J43" s="14">
        <f>ROUND(I43*E43,2)</f>
        <v/>
      </c>
      <c r="L43" s="65" t="n"/>
    </row>
    <row r="44" outlineLevel="1" ht="38.25" customFormat="1" customHeight="1" s="128">
      <c r="A44" s="159" t="n">
        <v>27</v>
      </c>
      <c r="B44" s="50" t="inlineStr">
        <is>
          <t>91.08.09-024</t>
        </is>
      </c>
      <c r="C44" s="158" t="inlineStr">
        <is>
          <t>Трамбовки пневматические при работе от стационарного компрессора</t>
        </is>
      </c>
      <c r="D44" s="159" t="inlineStr">
        <is>
          <t>маш.час</t>
        </is>
      </c>
      <c r="E44" s="141" t="n">
        <v>145.35</v>
      </c>
      <c r="F44" s="184" t="n">
        <v>4.91</v>
      </c>
      <c r="G44" s="14">
        <f>ROUND(E44*F44,2)</f>
        <v/>
      </c>
      <c r="H44" s="178">
        <f>G44/$G$52</f>
        <v/>
      </c>
      <c r="I44" s="14">
        <f>ROUND(F44*Прил.10!$D$11,2)</f>
        <v/>
      </c>
      <c r="J44" s="14">
        <f>ROUND(I44*E44,2)</f>
        <v/>
      </c>
      <c r="L44" s="65" t="n"/>
    </row>
    <row r="45" outlineLevel="1" ht="38.25" customFormat="1" customHeight="1" s="128">
      <c r="A45" s="159" t="n">
        <v>28</v>
      </c>
      <c r="B45" s="50" t="inlineStr">
        <is>
          <t>91.06.05-011</t>
        </is>
      </c>
      <c r="C45" s="158" t="inlineStr">
        <is>
          <t>Погрузчики, грузоподъемность 5 т</t>
        </is>
      </c>
      <c r="D45" s="159" t="inlineStr">
        <is>
          <t>маш.час</t>
        </is>
      </c>
      <c r="E45" s="141" t="n">
        <v>6.4722222222222</v>
      </c>
      <c r="F45" s="184" t="n">
        <v>89.98999999999999</v>
      </c>
      <c r="G45" s="14">
        <f>ROUND(E45*F45,2)</f>
        <v/>
      </c>
      <c r="H45" s="178">
        <f>G45/$G$52</f>
        <v/>
      </c>
      <c r="I45" s="14">
        <f>ROUND(F45*Прил.10!$D$11,2)</f>
        <v/>
      </c>
      <c r="J45" s="14">
        <f>ROUND(I45*E45,2)</f>
        <v/>
      </c>
      <c r="L45" s="65" t="n"/>
    </row>
    <row r="46" outlineLevel="1" ht="25.5" customFormat="1" customHeight="1" s="128">
      <c r="A46" s="159" t="n">
        <v>29</v>
      </c>
      <c r="B46" s="50" t="inlineStr">
        <is>
          <t>91.21.16-012</t>
        </is>
      </c>
      <c r="C46" s="158" t="inlineStr">
        <is>
          <t>Прессы гидравлические с электроприводом</t>
        </is>
      </c>
      <c r="D46" s="159" t="inlineStr">
        <is>
          <t>маш.час</t>
        </is>
      </c>
      <c r="E46" s="141" t="n">
        <v>456.08888888889</v>
      </c>
      <c r="F46" s="184" t="n">
        <v>1.11</v>
      </c>
      <c r="G46" s="14">
        <f>ROUND(E46*F46,2)</f>
        <v/>
      </c>
      <c r="H46" s="178">
        <f>G46/$G$52</f>
        <v/>
      </c>
      <c r="I46" s="14">
        <f>ROUND(F46*Прил.10!$D$11,2)</f>
        <v/>
      </c>
      <c r="J46" s="14">
        <f>ROUND(I46*E46,2)</f>
        <v/>
      </c>
      <c r="L46" s="65" t="n"/>
    </row>
    <row r="47" outlineLevel="1" ht="25.5" customFormat="1" customHeight="1" s="128">
      <c r="A47" s="159" t="n">
        <v>30</v>
      </c>
      <c r="B47" s="50" t="inlineStr">
        <is>
          <t>91.14.02-001</t>
        </is>
      </c>
      <c r="C47" s="158" t="inlineStr">
        <is>
          <t>Автомобили бортовые, грузоподъемность до 5 т</t>
        </is>
      </c>
      <c r="D47" s="159" t="inlineStr">
        <is>
          <t>маш.час</t>
        </is>
      </c>
      <c r="E47" s="141" t="n">
        <v>6.4722222222222</v>
      </c>
      <c r="F47" s="184" t="n">
        <v>65.70999999999999</v>
      </c>
      <c r="G47" s="14">
        <f>ROUND(E47*F47,2)</f>
        <v/>
      </c>
      <c r="H47" s="178">
        <f>G47/$G$52</f>
        <v/>
      </c>
      <c r="I47" s="14">
        <f>ROUND(F47*Прил.10!$D$11,2)</f>
        <v/>
      </c>
      <c r="J47" s="14">
        <f>ROUND(I47*E47,2)</f>
        <v/>
      </c>
      <c r="L47" s="65" t="n"/>
    </row>
    <row r="48" outlineLevel="1" ht="14.25" customFormat="1" customHeight="1" s="128">
      <c r="A48" s="159" t="n">
        <v>31</v>
      </c>
      <c r="B48" s="50" t="inlineStr">
        <is>
          <t>91.01.01-039</t>
        </is>
      </c>
      <c r="C48" s="158" t="inlineStr">
        <is>
          <t>Бульдозеры, мощность 132 кВт (180 л.с.)</t>
        </is>
      </c>
      <c r="D48" s="159" t="inlineStr">
        <is>
          <t>маш.час</t>
        </is>
      </c>
      <c r="E48" s="141" t="n">
        <v>1.5777777777778</v>
      </c>
      <c r="F48" s="184" t="n">
        <v>132.79</v>
      </c>
      <c r="G48" s="14">
        <f>ROUND(E48*F48,2)</f>
        <v/>
      </c>
      <c r="H48" s="178">
        <f>G48/$G$52</f>
        <v/>
      </c>
      <c r="I48" s="14">
        <f>ROUND(F48*Прил.10!$D$11,2)</f>
        <v/>
      </c>
      <c r="J48" s="14">
        <f>ROUND(I48*E48,2)</f>
        <v/>
      </c>
      <c r="L48" s="65" t="n"/>
    </row>
    <row r="49" outlineLevel="1" ht="25.5" customFormat="1" customHeight="1" s="128">
      <c r="A49" s="159" t="n">
        <v>32</v>
      </c>
      <c r="B49" s="50" t="inlineStr">
        <is>
          <t>91.07.08-024</t>
        </is>
      </c>
      <c r="C49" s="158" t="inlineStr">
        <is>
          <t>Растворосмесители передвижные, объем барабана 65 л</t>
        </is>
      </c>
      <c r="D49" s="159" t="inlineStr">
        <is>
          <t>маш.час</t>
        </is>
      </c>
      <c r="E49" s="141" t="n">
        <v>6.4722222222222</v>
      </c>
      <c r="F49" s="184" t="n">
        <v>12.39</v>
      </c>
      <c r="G49" s="14">
        <f>ROUND(E49*F49,2)</f>
        <v/>
      </c>
      <c r="H49" s="178">
        <f>G49/$G$52</f>
        <v/>
      </c>
      <c r="I49" s="14">
        <f>ROUND(F49*Прил.10!$D$11,2)</f>
        <v/>
      </c>
      <c r="J49" s="14">
        <f>ROUND(I49*E49,2)</f>
        <v/>
      </c>
      <c r="L49" s="65" t="n"/>
    </row>
    <row r="50" outlineLevel="1" ht="25.5" customFormat="1" customHeight="1" s="128">
      <c r="A50" s="159" t="n">
        <v>33</v>
      </c>
      <c r="B50" s="50" t="inlineStr">
        <is>
          <t>91.06.03-060</t>
        </is>
      </c>
      <c r="C50" s="158" t="inlineStr">
        <is>
          <t>Лебедки электрические тяговым усилием до 5,79 кН (0,59 т)</t>
        </is>
      </c>
      <c r="D50" s="159" t="inlineStr">
        <is>
          <t>маш.час</t>
        </is>
      </c>
      <c r="E50" s="141" t="n">
        <v>6.4722222222222</v>
      </c>
      <c r="F50" s="184" t="n">
        <v>1.7</v>
      </c>
      <c r="G50" s="14">
        <f>ROUND(E50*F50,2)</f>
        <v/>
      </c>
      <c r="H50" s="178">
        <f>G50/$G$52</f>
        <v/>
      </c>
      <c r="I50" s="14">
        <f>ROUND(F50*Прил.10!$D$11,2)</f>
        <v/>
      </c>
      <c r="J50" s="14">
        <f>ROUND(I50*E50,2)</f>
        <v/>
      </c>
      <c r="L50" s="65" t="n"/>
    </row>
    <row r="51" ht="14.25" customFormat="1" customHeight="1" s="128">
      <c r="A51" s="159" t="n"/>
      <c r="B51" s="159" t="n"/>
      <c r="C51" s="158" t="inlineStr">
        <is>
          <t>Итого прочие машины и механизмы</t>
        </is>
      </c>
      <c r="D51" s="159" t="n"/>
      <c r="E51" s="160" t="n"/>
      <c r="F51" s="14" t="n"/>
      <c r="G51" s="14">
        <f>SUM(G23:G50)</f>
        <v/>
      </c>
      <c r="H51" s="178">
        <f>G51/G52</f>
        <v/>
      </c>
      <c r="I51" s="14" t="n"/>
      <c r="J51" s="14">
        <f>SUM(J23:J50)</f>
        <v/>
      </c>
      <c r="L51" s="65" t="n"/>
    </row>
    <row r="52" ht="25.5" customFormat="1" customHeight="1" s="128">
      <c r="A52" s="159" t="n"/>
      <c r="B52" s="179" t="n"/>
      <c r="C52" s="163" t="inlineStr">
        <is>
          <t>Итого по разделу «Машины и механизмы»</t>
        </is>
      </c>
      <c r="D52" s="179" t="n"/>
      <c r="E52" s="55" t="n"/>
      <c r="F52" s="56" t="n"/>
      <c r="G52" s="56">
        <f>G22+G51</f>
        <v/>
      </c>
      <c r="H52" s="57" t="n">
        <v>1</v>
      </c>
      <c r="I52" s="56" t="n"/>
      <c r="J52" s="56">
        <f>J22+J51</f>
        <v/>
      </c>
    </row>
    <row r="53">
      <c r="A53" s="68" t="n"/>
      <c r="B53" s="163" t="inlineStr">
        <is>
          <t xml:space="preserve">Оборудование </t>
        </is>
      </c>
      <c r="C53" s="202" t="n"/>
      <c r="D53" s="202" t="n"/>
      <c r="E53" s="202" t="n"/>
      <c r="F53" s="202" t="n"/>
      <c r="G53" s="202" t="n"/>
      <c r="H53" s="202" t="n"/>
      <c r="I53" s="202" t="n"/>
      <c r="J53" s="203" t="n"/>
    </row>
    <row r="54" ht="15" customHeight="1" s="121">
      <c r="A54" s="159" t="n"/>
      <c r="B54" s="158" t="inlineStr">
        <is>
          <t>Основное оборудование</t>
        </is>
      </c>
      <c r="C54" s="198" t="n"/>
      <c r="D54" s="198" t="n"/>
      <c r="E54" s="198" t="n"/>
      <c r="F54" s="198" t="n"/>
      <c r="G54" s="198" t="n"/>
      <c r="H54" s="198" t="n"/>
      <c r="I54" s="198" t="n"/>
      <c r="J54" s="199" t="n"/>
    </row>
    <row r="55">
      <c r="A55" s="69" t="n"/>
      <c r="B55" s="159" t="n"/>
      <c r="C55" s="158" t="inlineStr">
        <is>
          <t>Итого основное оборудование</t>
        </is>
      </c>
      <c r="D55" s="159" t="n"/>
      <c r="E55" s="141" t="n"/>
      <c r="F55" s="161" t="n"/>
      <c r="G55" s="14" t="n">
        <v>0</v>
      </c>
      <c r="H55" s="178" t="n"/>
      <c r="I55" s="14" t="n"/>
      <c r="J55" s="14" t="n">
        <v>0</v>
      </c>
    </row>
    <row r="56">
      <c r="A56" s="69" t="n"/>
      <c r="B56" s="159" t="n"/>
      <c r="C56" s="158" t="inlineStr">
        <is>
          <t>Итого прочее оборудование</t>
        </is>
      </c>
      <c r="D56" s="159" t="n"/>
      <c r="E56" s="160" t="n"/>
      <c r="F56" s="161" t="n"/>
      <c r="G56" s="14" t="n">
        <v>0</v>
      </c>
      <c r="H56" s="178" t="n"/>
      <c r="I56" s="14" t="n"/>
      <c r="J56" s="14" t="n">
        <v>0</v>
      </c>
      <c r="L56" s="96" t="n"/>
    </row>
    <row r="57">
      <c r="A57" s="159" t="n"/>
      <c r="B57" s="159" t="n"/>
      <c r="C57" s="177" t="inlineStr">
        <is>
          <t>Итого по разделу «Оборудование»</t>
        </is>
      </c>
      <c r="D57" s="159" t="n"/>
      <c r="E57" s="160" t="n"/>
      <c r="F57" s="161" t="n"/>
      <c r="G57" s="14">
        <f>G55+G56</f>
        <v/>
      </c>
      <c r="H57" s="178" t="n"/>
      <c r="I57" s="14" t="n"/>
      <c r="J57" s="14">
        <f>J56+J55</f>
        <v/>
      </c>
    </row>
    <row r="58" ht="25.5" customHeight="1" s="121">
      <c r="A58" s="159" t="n"/>
      <c r="B58" s="159" t="n"/>
      <c r="C58" s="158" t="inlineStr">
        <is>
          <t>в том числе технологическое оборудование</t>
        </is>
      </c>
      <c r="D58" s="159" t="n"/>
      <c r="E58" s="160" t="n"/>
      <c r="F58" s="161" t="n"/>
      <c r="G58" s="14">
        <f>'Прил.6 Расчет ОБ'!G14</f>
        <v/>
      </c>
      <c r="H58" s="178" t="n"/>
      <c r="I58" s="14" t="n"/>
      <c r="J58" s="14">
        <f>ROUND(G58*Прил.10!$D$13,2)</f>
        <v/>
      </c>
    </row>
    <row r="59" ht="14.25" customFormat="1" customHeight="1" s="128">
      <c r="A59" s="180" t="n"/>
      <c r="B59" s="204" t="inlineStr">
        <is>
          <t>Материалы</t>
        </is>
      </c>
      <c r="J59" s="205" t="n"/>
    </row>
    <row r="60" ht="14.25" customFormat="1" customHeight="1" s="128">
      <c r="A60" s="159" t="n"/>
      <c r="B60" s="158" t="inlineStr">
        <is>
          <t>Основные материалы</t>
        </is>
      </c>
      <c r="C60" s="198" t="n"/>
      <c r="D60" s="198" t="n"/>
      <c r="E60" s="198" t="n"/>
      <c r="F60" s="198" t="n"/>
      <c r="G60" s="198" t="n"/>
      <c r="H60" s="199" t="n"/>
      <c r="I60" s="178" t="n"/>
      <c r="J60" s="178" t="n"/>
    </row>
    <row r="61" ht="14.25" customFormat="1" customHeight="1" s="128">
      <c r="A61" s="159" t="n">
        <v>34</v>
      </c>
      <c r="B61" s="50" t="inlineStr">
        <is>
          <t>БЦ.113.12</t>
        </is>
      </c>
      <c r="C61" s="158" t="inlineStr">
        <is>
          <t>Фундаменты Ф1-А</t>
        </is>
      </c>
      <c r="D61" s="159" t="inlineStr">
        <is>
          <t>м3</t>
        </is>
      </c>
      <c r="E61" s="141" t="n">
        <v>91.56999999999999</v>
      </c>
      <c r="F61" s="184">
        <f>ROUND(I61/Прил.10!$D$12,2)</f>
        <v/>
      </c>
      <c r="G61" s="14">
        <f>ROUND(E61*F61,2)</f>
        <v/>
      </c>
      <c r="H61" s="178">
        <f>G61/$G$156</f>
        <v/>
      </c>
      <c r="I61" s="14" t="n">
        <v>56226.42</v>
      </c>
      <c r="J61" s="14">
        <f>ROUND(I61*E61,2)</f>
        <v/>
      </c>
    </row>
    <row r="62" ht="25.5" customFormat="1" customHeight="1" s="128">
      <c r="A62" s="159" t="n">
        <v>35</v>
      </c>
      <c r="B62" s="50" t="inlineStr">
        <is>
          <t>22.2.01.03-0002</t>
        </is>
      </c>
      <c r="C62" s="158" t="inlineStr">
        <is>
          <t>Изолятор подвесной стеклянный (ПСВ 210Д)</t>
        </is>
      </c>
      <c r="D62" s="159" t="inlineStr">
        <is>
          <t>шт</t>
        </is>
      </c>
      <c r="E62" s="141" t="n">
        <v>16686.67</v>
      </c>
      <c r="F62" s="184" t="n">
        <v>284.68</v>
      </c>
      <c r="G62" s="14">
        <f>ROUND(E62*F62,2)</f>
        <v/>
      </c>
      <c r="H62" s="178">
        <f>G62/$G$156</f>
        <v/>
      </c>
      <c r="I62" s="14">
        <f>ROUND(F62*Прил.10!$D$12,2)</f>
        <v/>
      </c>
      <c r="J62" s="14">
        <f>ROUND(I62*E62,2)</f>
        <v/>
      </c>
    </row>
    <row r="63" ht="38.25" customFormat="1" customHeight="1" s="128">
      <c r="A63" s="159" t="n">
        <v>36</v>
      </c>
      <c r="B63" s="50" t="inlineStr">
        <is>
          <t>22.2.01.03-0003</t>
        </is>
      </c>
      <c r="C63" s="158" t="inlineStr">
        <is>
          <t>Изолятор подвесной стеклянный ПСД-70Е</t>
        </is>
      </c>
      <c r="D63" s="159" t="inlineStr">
        <is>
          <t>шт</t>
        </is>
      </c>
      <c r="E63" s="141" t="n">
        <v>8840.559999999999</v>
      </c>
      <c r="F63" s="184" t="n">
        <v>169.25</v>
      </c>
      <c r="G63" s="14">
        <f>ROUND(E63*F63,2)</f>
        <v/>
      </c>
      <c r="H63" s="178">
        <f>G63/$G$156</f>
        <v/>
      </c>
      <c r="I63" s="14">
        <f>ROUND(F63*Прил.10!$D$12,2)</f>
        <v/>
      </c>
      <c r="J63" s="14">
        <f>ROUND(I63*E63,2)</f>
        <v/>
      </c>
    </row>
    <row r="64" ht="51" customFormat="1" customHeight="1" s="128">
      <c r="A64" s="159" t="n">
        <v>37</v>
      </c>
      <c r="B64" s="50" t="inlineStr">
        <is>
          <t>БЦ.113.37</t>
        </is>
      </c>
      <c r="C64" s="158" t="inlineStr">
        <is>
          <t>Фундаменты под опоры ВЛ: Ф6-А (№94.95.65.66.70.71.72.73.74.75.86.90.96.54.59.60.61.68.77.78.67.51.53/52.57.58.62.69.82.88.100.101-31 шт.)</t>
        </is>
      </c>
      <c r="D64" s="159" t="inlineStr">
        <is>
          <t>м3</t>
        </is>
      </c>
      <c r="E64" s="141" t="n">
        <v>378</v>
      </c>
      <c r="F64" s="184">
        <f>ROUND(I64/Прил.10!$D$12,2)</f>
        <v/>
      </c>
      <c r="G64" s="14">
        <f>ROUND(E64*F64,2)</f>
        <v/>
      </c>
      <c r="H64" s="178">
        <f>G64/$G$156</f>
        <v/>
      </c>
      <c r="I64" s="14" t="n">
        <v>56226.42</v>
      </c>
      <c r="J64" s="14">
        <f>ROUND(I64*E64,2)</f>
        <v/>
      </c>
    </row>
    <row r="65" ht="63.75" customFormat="1" customHeight="1" s="128">
      <c r="A65" s="159" t="n">
        <v>38</v>
      </c>
      <c r="B65" s="50" t="inlineStr">
        <is>
          <t>22.2.02.04-0040</t>
        </is>
      </c>
      <c r="C65" s="158" t="inlineStr">
        <is>
          <t>Звено промежуточное регулируемое ПРР-21-1</t>
        </is>
      </c>
      <c r="D65" s="159" t="inlineStr">
        <is>
          <t>шт</t>
        </is>
      </c>
      <c r="E65" s="141" t="n">
        <v>2356.11</v>
      </c>
      <c r="F65" s="184" t="n">
        <v>492.77</v>
      </c>
      <c r="G65" s="14">
        <f>ROUND(E65*F65,2)</f>
        <v/>
      </c>
      <c r="H65" s="178">
        <f>G65/$G$156</f>
        <v/>
      </c>
      <c r="I65" s="14">
        <f>ROUND(F65*Прил.10!$D$12,2)</f>
        <v/>
      </c>
      <c r="J65" s="14">
        <f>ROUND(I65*E65,2)</f>
        <v/>
      </c>
    </row>
    <row r="66" ht="38.25" customFormat="1" customHeight="1" s="128">
      <c r="A66" s="159" t="n">
        <v>39</v>
      </c>
      <c r="B66" s="50" t="inlineStr">
        <is>
          <t>05.1.01.13-0031</t>
        </is>
      </c>
      <c r="C66" s="158" t="inlineStr">
        <is>
          <t>Плита железобетонная навесная ПН2-А, бетон B22,5 (М300), расход арматуры 158 кг</t>
        </is>
      </c>
      <c r="D66" s="159" t="inlineStr">
        <is>
          <t>м3</t>
        </is>
      </c>
      <c r="E66" s="141" t="n">
        <v>271.6</v>
      </c>
      <c r="F66" s="184" t="n">
        <v>3492.41</v>
      </c>
      <c r="G66" s="14">
        <f>ROUND(E66*F66,2)</f>
        <v/>
      </c>
      <c r="H66" s="178">
        <f>G66/$G$156</f>
        <v/>
      </c>
      <c r="I66" s="14">
        <f>ROUND(F66*Прил.10!$D$12,2)</f>
        <v/>
      </c>
      <c r="J66" s="14">
        <f>ROUND(I66*E66,2)</f>
        <v/>
      </c>
    </row>
    <row r="67" ht="25.5" customFormat="1" customHeight="1" s="128">
      <c r="A67" s="159" t="n">
        <v>40</v>
      </c>
      <c r="B67" s="50" t="inlineStr">
        <is>
          <t>БЦ.113.39</t>
        </is>
      </c>
      <c r="C67" s="158" t="inlineStr">
        <is>
          <t>Фундаменты под опоры ВЛ: ФП5-А-350 ( №№89.52.56.63.64.79.81.85.92.93.98.50.55.76.80.84.91.99.103.53.83.87.97.102-24 *4шт.=96шт.)</t>
        </is>
      </c>
      <c r="D67" s="159" t="inlineStr">
        <is>
          <t>м3</t>
        </is>
      </c>
      <c r="E67" s="141" t="n">
        <v>194.44</v>
      </c>
      <c r="F67" s="184">
        <f>ROUND(I67/Прил.10!$D$12,2)</f>
        <v/>
      </c>
      <c r="G67" s="14">
        <f>ROUND(E67*F67,2)</f>
        <v/>
      </c>
      <c r="H67" s="178">
        <f>G67/$G$156</f>
        <v/>
      </c>
      <c r="I67" s="14" t="n">
        <v>56226.42</v>
      </c>
      <c r="J67" s="14">
        <f>ROUND(I67*E67,2)</f>
        <v/>
      </c>
    </row>
    <row r="68" ht="25.5" customFormat="1" customHeight="1" s="128">
      <c r="A68" s="159" t="n">
        <v>41</v>
      </c>
      <c r="B68" s="50" t="inlineStr">
        <is>
          <t>20.1.01.12-0002</t>
        </is>
      </c>
      <c r="C68" s="158" t="inlineStr">
        <is>
          <t>Зажим поддерживающий глухой 2ПГН-5-7(А-К)</t>
        </is>
      </c>
      <c r="D68" s="159" t="inlineStr">
        <is>
          <t>шт</t>
        </is>
      </c>
      <c r="E68" s="141" t="n">
        <v>551.11</v>
      </c>
      <c r="F68" s="184" t="n">
        <v>736.17</v>
      </c>
      <c r="G68" s="14">
        <f>ROUND(E68*F68,2)</f>
        <v/>
      </c>
      <c r="H68" s="178">
        <f>G68/$G$156</f>
        <v/>
      </c>
      <c r="I68" s="14">
        <f>ROUND(F68*Прил.10!$D$12,2)</f>
        <v/>
      </c>
      <c r="J68" s="14">
        <f>ROUND(I68*E68,2)</f>
        <v/>
      </c>
    </row>
    <row r="69" ht="25.5" customFormat="1" customHeight="1" s="128">
      <c r="A69" s="159" t="n">
        <v>42</v>
      </c>
      <c r="B69" s="50" t="inlineStr">
        <is>
          <t>22.2.01.03-0002</t>
        </is>
      </c>
      <c r="C69" s="158" t="inlineStr">
        <is>
          <t>Изолятор подвесной стеклянный (ПСВ 300A)</t>
        </is>
      </c>
      <c r="D69" s="159" t="inlineStr">
        <is>
          <t>шт</t>
        </is>
      </c>
      <c r="E69" s="141" t="n">
        <v>1058.33</v>
      </c>
      <c r="F69" s="184" t="n">
        <v>284.68</v>
      </c>
      <c r="G69" s="14">
        <f>ROUND(E69*F69,2)</f>
        <v/>
      </c>
      <c r="H69" s="178">
        <f>G69/$G$156</f>
        <v/>
      </c>
      <c r="I69" s="14">
        <f>ROUND(F69*Прил.10!$D$12,2)</f>
        <v/>
      </c>
      <c r="J69" s="14">
        <f>ROUND(I69*E69,2)</f>
        <v/>
      </c>
    </row>
    <row r="70" ht="89.25" customFormat="1" customHeight="1" s="128">
      <c r="A70" s="159" t="n">
        <v>43</v>
      </c>
      <c r="B70" s="50" t="inlineStr">
        <is>
          <t>20.1.02.21-0037</t>
        </is>
      </c>
      <c r="C70" s="158" t="inlineStr">
        <is>
          <t>Узел крепления КГН-16-5 (Узел крепления КГН-21-5)</t>
        </is>
      </c>
      <c r="D70" s="159" t="inlineStr">
        <is>
          <t>шт</t>
        </is>
      </c>
      <c r="E70" s="141" t="n">
        <v>1183.89</v>
      </c>
      <c r="F70" s="184" t="n">
        <v>326.1</v>
      </c>
      <c r="G70" s="14">
        <f>ROUND(E70*F70,2)</f>
        <v/>
      </c>
      <c r="H70" s="178">
        <f>G70/$G$156</f>
        <v/>
      </c>
      <c r="I70" s="14">
        <f>ROUND(F70*Прил.10!$D$12,2)</f>
        <v/>
      </c>
      <c r="J70" s="14">
        <f>ROUND(I70*E70,2)</f>
        <v/>
      </c>
    </row>
    <row r="71" ht="38.25" customFormat="1" customHeight="1" s="128">
      <c r="A71" s="159" t="n">
        <v>44</v>
      </c>
      <c r="B71" s="50" t="inlineStr">
        <is>
          <t>20.1.02.05-0007</t>
        </is>
      </c>
      <c r="C71" s="158" t="inlineStr">
        <is>
          <t>Коромысло: 3К2-21-3 (2КЛ-21-1)</t>
        </is>
      </c>
      <c r="D71" s="159" t="inlineStr">
        <is>
          <t>шт</t>
        </is>
      </c>
      <c r="E71" s="141" t="n">
        <v>592.22</v>
      </c>
      <c r="F71" s="184" t="n">
        <v>2845.09</v>
      </c>
      <c r="G71" s="14">
        <f>ROUND(E71*F71,2)</f>
        <v/>
      </c>
      <c r="H71" s="178">
        <f>G71/$G$156</f>
        <v/>
      </c>
      <c r="I71" s="14">
        <f>ROUND(F71*Прил.10!$D$12,2)</f>
        <v/>
      </c>
      <c r="J71" s="14">
        <f>ROUND(I71*E71,2)</f>
        <v/>
      </c>
    </row>
    <row r="72" ht="25.5" customFormat="1" customHeight="1" s="128">
      <c r="A72" s="159" t="n">
        <v>45</v>
      </c>
      <c r="B72" s="50" t="inlineStr">
        <is>
          <t>20.2.11.01-0030</t>
        </is>
      </c>
      <c r="C72" s="158" t="inlineStr">
        <is>
          <t>Распорка дистанционная трехлучевая гаситель 3РГС-25,2-400-30 (2РД-600В-31У)</t>
        </is>
      </c>
      <c r="D72" s="159" t="inlineStr">
        <is>
          <t>шт</t>
        </is>
      </c>
      <c r="E72" s="141" t="n">
        <v>921.67</v>
      </c>
      <c r="F72" s="184" t="n">
        <v>2116.3</v>
      </c>
      <c r="G72" s="14">
        <f>ROUND(E72*F72,2)</f>
        <v/>
      </c>
      <c r="H72" s="178">
        <f>G72/$G$156</f>
        <v/>
      </c>
      <c r="I72" s="14">
        <f>ROUND(F72*Прил.10!$D$12,2)</f>
        <v/>
      </c>
      <c r="J72" s="14">
        <f>ROUND(I72*E72,2)</f>
        <v/>
      </c>
    </row>
    <row r="73" ht="102" customFormat="1" customHeight="1" s="128">
      <c r="A73" s="159" t="n">
        <v>46</v>
      </c>
      <c r="B73" s="50" t="inlineStr">
        <is>
          <t>07.2.07.13-0242</t>
        </is>
      </c>
      <c r="C73" s="158" t="inlineStr">
        <is>
          <t>Элементы соединительные стальные оцинкованные</t>
        </is>
      </c>
      <c r="D73" s="159" t="inlineStr">
        <is>
          <t>т</t>
        </is>
      </c>
      <c r="E73" s="141" t="n">
        <v>24.77</v>
      </c>
      <c r="F73" s="184" t="n">
        <v>22562.97</v>
      </c>
      <c r="G73" s="14">
        <f>ROUND(E73*F73,2)</f>
        <v/>
      </c>
      <c r="H73" s="178">
        <f>G73/$G$156</f>
        <v/>
      </c>
      <c r="I73" s="14">
        <f>ROUND(F73*Прил.10!$D$12,2)</f>
        <v/>
      </c>
      <c r="J73" s="14">
        <f>ROUND(I73*E73,2)</f>
        <v/>
      </c>
    </row>
    <row r="74" ht="38.25" customFormat="1" customHeight="1" s="128">
      <c r="A74" s="159" t="n">
        <v>47</v>
      </c>
      <c r="B74" s="50" t="inlineStr">
        <is>
          <t>20.5.04.04-0054</t>
        </is>
      </c>
      <c r="C74" s="158" t="inlineStr">
        <is>
          <t>Зажим натяжной спиральный НС-24,5-01</t>
        </is>
      </c>
      <c r="D74" s="159" t="inlineStr">
        <is>
          <t>шт</t>
        </is>
      </c>
      <c r="E74" s="141" t="n">
        <v>1190.56</v>
      </c>
      <c r="F74" s="184" t="n">
        <v>457.82</v>
      </c>
      <c r="G74" s="14">
        <f>ROUND(E74*F74,2)</f>
        <v/>
      </c>
      <c r="H74" s="178">
        <f>G74/$G$156</f>
        <v/>
      </c>
      <c r="I74" s="14">
        <f>ROUND(F74*Прил.10!$D$12,2)</f>
        <v/>
      </c>
      <c r="J74" s="14">
        <f>ROUND(I74*E74,2)</f>
        <v/>
      </c>
    </row>
    <row r="75" ht="38.25" customFormat="1" customHeight="1" s="128">
      <c r="A75" s="159" t="n">
        <v>48</v>
      </c>
      <c r="B75" s="50" t="inlineStr">
        <is>
          <t>20.2.11.01-0030</t>
        </is>
      </c>
      <c r="C75" s="158" t="inlineStr">
        <is>
          <t>Распорка дистанционная трехлучевая гаситель 3РГС-25,2-400-30  (2РД-400В-31У)</t>
        </is>
      </c>
      <c r="D75" s="159" t="inlineStr">
        <is>
          <t>шт</t>
        </is>
      </c>
      <c r="E75" s="141" t="n">
        <v>976.11</v>
      </c>
      <c r="F75" s="184" t="n">
        <v>2116.3</v>
      </c>
      <c r="G75" s="14">
        <f>ROUND(E75*F75,2)</f>
        <v/>
      </c>
      <c r="H75" s="178">
        <f>G75/$G$156</f>
        <v/>
      </c>
      <c r="I75" s="14">
        <f>ROUND(F75*Прил.10!$D$12,2)</f>
        <v/>
      </c>
      <c r="J75" s="14">
        <f>ROUND(I75*E75,2)</f>
        <v/>
      </c>
    </row>
    <row r="76" ht="25.5" customFormat="1" customHeight="1" s="128">
      <c r="A76" s="159" t="n">
        <v>49</v>
      </c>
      <c r="B76" s="50" t="inlineStr">
        <is>
          <t>22.2.02.04-0015</t>
        </is>
      </c>
      <c r="C76" s="158" t="inlineStr">
        <is>
          <t>Звено промежуточное монтажное ПТМ-21-3</t>
        </is>
      </c>
      <c r="D76" s="159" t="inlineStr">
        <is>
          <t>шт</t>
        </is>
      </c>
      <c r="E76" s="141" t="n">
        <v>1041.11</v>
      </c>
      <c r="F76" s="184" t="n">
        <v>423.41</v>
      </c>
      <c r="G76" s="14">
        <f>ROUND(E76*F76,2)</f>
        <v/>
      </c>
      <c r="H76" s="178">
        <f>G76/$G$156</f>
        <v/>
      </c>
      <c r="I76" s="14">
        <f>ROUND(F76*Прил.10!$D$12,2)</f>
        <v/>
      </c>
      <c r="J76" s="14">
        <f>ROUND(I76*E76,2)</f>
        <v/>
      </c>
    </row>
    <row r="77" ht="25.5" customFormat="1" customHeight="1" s="128">
      <c r="A77" s="159" t="n">
        <v>50</v>
      </c>
      <c r="B77" s="50" t="inlineStr">
        <is>
          <t>01.2.03.03-0063</t>
        </is>
      </c>
      <c r="C77" s="158" t="inlineStr">
        <is>
          <t>Мастика битумно-резиновая: МБР-65 изоляционная (ГОСТ 15836-79)</t>
        </is>
      </c>
      <c r="D77" s="159" t="inlineStr">
        <is>
          <t>т</t>
        </is>
      </c>
      <c r="E77" s="141" t="n">
        <v>47.05</v>
      </c>
      <c r="F77" s="184" t="n">
        <v>7998.54</v>
      </c>
      <c r="G77" s="14">
        <f>ROUND(E77*F77,2)</f>
        <v/>
      </c>
      <c r="H77" s="178">
        <f>G77/$G$156</f>
        <v/>
      </c>
      <c r="I77" s="14">
        <f>ROUND(F77*Прил.10!$D$12,2)</f>
        <v/>
      </c>
      <c r="J77" s="14">
        <f>ROUND(I77*E77,2)</f>
        <v/>
      </c>
    </row>
    <row r="78" ht="89.25" customFormat="1" customHeight="1" s="128">
      <c r="A78" s="159" t="n">
        <v>51</v>
      </c>
      <c r="B78" s="50" t="inlineStr">
        <is>
          <t>22.2.02.04-0020</t>
        </is>
      </c>
      <c r="C78" s="158" t="inlineStr">
        <is>
          <t>Звено промежуточное прямое двойное 2ПР-21-1</t>
        </is>
      </c>
      <c r="D78" s="159" t="inlineStr">
        <is>
          <t>шт</t>
        </is>
      </c>
      <c r="E78" s="141" t="n">
        <v>1102.22</v>
      </c>
      <c r="F78" s="184" t="n">
        <v>314.56</v>
      </c>
      <c r="G78" s="14">
        <f>ROUND(E78*F78,2)</f>
        <v/>
      </c>
      <c r="H78" s="178">
        <f>G78/$G$156</f>
        <v/>
      </c>
      <c r="I78" s="14">
        <f>ROUND(F78*Прил.10!$D$12,2)</f>
        <v/>
      </c>
      <c r="J78" s="14">
        <f>ROUND(I78*E78,2)</f>
        <v/>
      </c>
    </row>
    <row r="79" ht="38.25" customFormat="1" customHeight="1" s="128">
      <c r="A79" s="159" t="n">
        <v>52</v>
      </c>
      <c r="B79" s="50" t="inlineStr">
        <is>
          <t>22.2.02.01-0010</t>
        </is>
      </c>
      <c r="C79" s="158" t="inlineStr">
        <is>
          <t>Гаситель вибрации ГВ-6645-02</t>
        </is>
      </c>
      <c r="D79" s="159" t="inlineStr">
        <is>
          <t>шт</t>
        </is>
      </c>
      <c r="E79" s="141" t="n">
        <v>1285</v>
      </c>
      <c r="F79" s="184" t="n">
        <v>253.83</v>
      </c>
      <c r="G79" s="14">
        <f>ROUND(E79*F79,2)</f>
        <v/>
      </c>
      <c r="H79" s="178">
        <f>G79/$G$156</f>
        <v/>
      </c>
      <c r="I79" s="14">
        <f>ROUND(F79*Прил.10!$D$12,2)</f>
        <v/>
      </c>
      <c r="J79" s="14">
        <f>ROUND(I79*E79,2)</f>
        <v/>
      </c>
    </row>
    <row r="80" ht="25.5" customFormat="1" customHeight="1" s="128">
      <c r="A80" s="159" t="n">
        <v>53</v>
      </c>
      <c r="B80" s="50" t="inlineStr">
        <is>
          <t>20.1.02.22-0019</t>
        </is>
      </c>
      <c r="C80" s="158" t="inlineStr">
        <is>
          <t>Ушко: У1-21-20</t>
        </is>
      </c>
      <c r="D80" s="159" t="inlineStr">
        <is>
          <t>шт</t>
        </is>
      </c>
      <c r="E80" s="141" t="n">
        <v>1102.22</v>
      </c>
      <c r="F80" s="184" t="n">
        <v>289.31</v>
      </c>
      <c r="G80" s="14">
        <f>ROUND(E80*F80,2)</f>
        <v/>
      </c>
      <c r="H80" s="178">
        <f>G80/$G$156</f>
        <v/>
      </c>
      <c r="I80" s="14">
        <f>ROUND(F80*Прил.10!$D$12,2)</f>
        <v/>
      </c>
      <c r="J80" s="14">
        <f>ROUND(I80*E80,2)</f>
        <v/>
      </c>
    </row>
    <row r="81" ht="102" customFormat="1" customHeight="1" s="128">
      <c r="A81" s="159" t="n">
        <v>54</v>
      </c>
      <c r="B81" s="50" t="inlineStr">
        <is>
          <t>20.5.04.08-0007</t>
        </is>
      </c>
      <c r="C81" s="158" t="inlineStr">
        <is>
          <t>Зажим соединительный: шлейфовый спиральный ШС-24,0-01</t>
        </is>
      </c>
      <c r="D81" s="159" t="inlineStr">
        <is>
          <t>шт</t>
        </is>
      </c>
      <c r="E81" s="141" t="n">
        <v>592.22</v>
      </c>
      <c r="F81" s="184" t="n">
        <v>535.9299999999999</v>
      </c>
      <c r="G81" s="14">
        <f>ROUND(E81*F81,2)</f>
        <v/>
      </c>
      <c r="H81" s="178">
        <f>G81/$G$156</f>
        <v/>
      </c>
      <c r="I81" s="14">
        <f>ROUND(F81*Прил.10!$D$12,2)</f>
        <v/>
      </c>
      <c r="J81" s="14">
        <f>ROUND(I81*E81,2)</f>
        <v/>
      </c>
    </row>
    <row r="82" ht="14.25" customFormat="1" customHeight="1" s="128">
      <c r="B82" s="159" t="n"/>
      <c r="C82" s="158" t="inlineStr">
        <is>
          <t>Итого основные материалы</t>
        </is>
      </c>
      <c r="D82" s="159" t="n"/>
      <c r="E82" s="141" t="n"/>
      <c r="F82" s="161" t="n"/>
      <c r="G82" s="14">
        <f>SUM(G62:G81)</f>
        <v/>
      </c>
      <c r="H82" s="178">
        <f>G82/$G$156</f>
        <v/>
      </c>
      <c r="I82" s="14">
        <f>ROUND(F82*Прил.10!$D$12,2)</f>
        <v/>
      </c>
      <c r="J82" s="14">
        <f>SUM(J61:J81)</f>
        <v/>
      </c>
    </row>
    <row r="83" outlineLevel="1" ht="38.25" customFormat="1" customHeight="1" s="128">
      <c r="A83" s="159" t="n">
        <v>55</v>
      </c>
      <c r="B83" s="116" t="inlineStr">
        <is>
          <t>22.2.02.04-0038</t>
        </is>
      </c>
      <c r="C83" s="117" t="inlineStr">
        <is>
          <t>Звено промежуточное регулируемое ПРР-16-1</t>
        </is>
      </c>
      <c r="D83" s="186" t="inlineStr">
        <is>
          <t>шт</t>
        </is>
      </c>
      <c r="E83" s="116" t="n">
        <v>1379.44</v>
      </c>
      <c r="F83" s="119" t="n">
        <v>228.79</v>
      </c>
      <c r="G83" s="14">
        <f>ROUND(F83*E83,2)</f>
        <v/>
      </c>
      <c r="H83" s="178">
        <f>G83/$G$156</f>
        <v/>
      </c>
      <c r="I83" s="14">
        <f>ROUND(F83*Прил.10!$D$12,2)</f>
        <v/>
      </c>
      <c r="J83" s="14">
        <f>ROUND(I83*E83,2)</f>
        <v/>
      </c>
    </row>
    <row r="84" outlineLevel="1" ht="14.25" customFormat="1" customHeight="1" s="128">
      <c r="A84" s="159" t="n">
        <v>56</v>
      </c>
      <c r="B84" s="116" t="inlineStr">
        <is>
          <t>01.7.15.10-0035</t>
        </is>
      </c>
      <c r="C84" s="117" t="inlineStr">
        <is>
          <t>Скобы СК-21-1А</t>
        </is>
      </c>
      <c r="D84" s="186" t="inlineStr">
        <is>
          <t>шт</t>
        </is>
      </c>
      <c r="E84" s="116" t="n">
        <v>2223.89</v>
      </c>
      <c r="F84" s="119" t="n">
        <v>116.92</v>
      </c>
      <c r="G84" s="14">
        <f>ROUND(F84*E84,2)</f>
        <v/>
      </c>
      <c r="H84" s="178">
        <f>G84/$G$156</f>
        <v/>
      </c>
      <c r="I84" s="14">
        <f>ROUND(F84*Прил.10!$D$12,2)</f>
        <v/>
      </c>
      <c r="J84" s="14">
        <f>ROUND(I84*E84,2)</f>
        <v/>
      </c>
    </row>
    <row r="85" outlineLevel="1" ht="25.5" customFormat="1" customHeight="1" s="128">
      <c r="A85" s="159" t="n">
        <v>57</v>
      </c>
      <c r="B85" s="116" t="inlineStr">
        <is>
          <t>22.2.01.03-0001</t>
        </is>
      </c>
      <c r="C85" s="117" t="inlineStr">
        <is>
          <t>Изолятор подвесной стеклянный ПСВ-120Б</t>
        </is>
      </c>
      <c r="D85" s="186" t="inlineStr">
        <is>
          <t>шт</t>
        </is>
      </c>
      <c r="E85" s="116" t="n">
        <v>1016.11</v>
      </c>
      <c r="F85" s="119" t="n">
        <v>202.55</v>
      </c>
      <c r="G85" s="14">
        <f>ROUND(F85*E85,2)</f>
        <v/>
      </c>
      <c r="H85" s="178">
        <f>G85/$G$156</f>
        <v/>
      </c>
      <c r="I85" s="14">
        <f>ROUND(F85*Прил.10!$D$12,2)</f>
        <v/>
      </c>
      <c r="J85" s="14">
        <f>ROUND(I85*E85,2)</f>
        <v/>
      </c>
    </row>
    <row r="86" outlineLevel="1" ht="25.5" customFormat="1" customHeight="1" s="128">
      <c r="A86" s="159" t="n">
        <v>58</v>
      </c>
      <c r="B86" s="116" t="inlineStr">
        <is>
          <t>22.2.02.04-0012</t>
        </is>
      </c>
      <c r="C86" s="117" t="inlineStr">
        <is>
          <t>Звено промежуточное монтажное ПТМ-16-3</t>
        </is>
      </c>
      <c r="D86" s="186" t="inlineStr">
        <is>
          <t>шт</t>
        </is>
      </c>
      <c r="E86" s="116" t="n">
        <v>1349.44</v>
      </c>
      <c r="F86" s="119" t="n">
        <v>148.2</v>
      </c>
      <c r="G86" s="14">
        <f>ROUND(F86*E86,2)</f>
        <v/>
      </c>
      <c r="H86" s="178">
        <f>G86/$G$156</f>
        <v/>
      </c>
      <c r="I86" s="14">
        <f>ROUND(F86*Прил.10!$D$12,2)</f>
        <v/>
      </c>
      <c r="J86" s="14">
        <f>ROUND(I86*E86,2)</f>
        <v/>
      </c>
    </row>
    <row r="87" outlineLevel="1" ht="38.25" customFormat="1" customHeight="1" s="128">
      <c r="A87" s="159" t="n">
        <v>59</v>
      </c>
      <c r="B87" s="116" t="inlineStr">
        <is>
          <t>22.2.02.04-0019</t>
        </is>
      </c>
      <c r="C87" s="117" t="inlineStr">
        <is>
          <t>Звено промежуточное прямое двойное 2ПР-16-1</t>
        </is>
      </c>
      <c r="D87" s="186" t="inlineStr">
        <is>
          <t>шт</t>
        </is>
      </c>
      <c r="E87" s="116" t="n">
        <v>1326.67</v>
      </c>
      <c r="F87" s="119" t="n">
        <v>114.15</v>
      </c>
      <c r="G87" s="14">
        <f>ROUND(F87*E87,2)</f>
        <v/>
      </c>
      <c r="H87" s="178">
        <f>G87/$G$156</f>
        <v/>
      </c>
      <c r="I87" s="14">
        <f>ROUND(F87*Прил.10!$D$12,2)</f>
        <v/>
      </c>
      <c r="J87" s="14">
        <f>ROUND(I87*E87,2)</f>
        <v/>
      </c>
    </row>
    <row r="88" outlineLevel="1" ht="14.25" customFormat="1" customHeight="1" s="128">
      <c r="A88" s="159" t="n">
        <v>60</v>
      </c>
      <c r="B88" s="116" t="inlineStr">
        <is>
          <t>22.2.02.04-0024</t>
        </is>
      </c>
      <c r="C88" s="117" t="inlineStr">
        <is>
          <t>Звено промежуточное прямое ПР-21-6</t>
        </is>
      </c>
      <c r="D88" s="186" t="inlineStr">
        <is>
          <t>шт</t>
        </is>
      </c>
      <c r="E88" s="116" t="n">
        <v>1041.11</v>
      </c>
      <c r="F88" s="119" t="n">
        <v>142.98</v>
      </c>
      <c r="G88" s="14">
        <f>ROUND(F88*E88,2)</f>
        <v/>
      </c>
      <c r="H88" s="178">
        <f>G88/$G$156</f>
        <v/>
      </c>
      <c r="I88" s="14">
        <f>ROUND(F88*Прил.10!$D$12,2)</f>
        <v/>
      </c>
      <c r="J88" s="14">
        <f>ROUND(I88*E88,2)</f>
        <v/>
      </c>
    </row>
    <row r="89" outlineLevel="1" ht="14.25" customFormat="1" customHeight="1" s="128">
      <c r="A89" s="159" t="n">
        <v>61</v>
      </c>
      <c r="B89" s="116" t="inlineStr">
        <is>
          <t>05.1.05.16-0221</t>
        </is>
      </c>
      <c r="C89" s="117" t="inlineStr">
        <is>
          <t>Фундаменты сборные железобетонные ВЛ и ОРУ</t>
        </is>
      </c>
      <c r="D89" s="186" t="inlineStr">
        <is>
          <t>м3</t>
        </is>
      </c>
      <c r="E89" s="116" t="n">
        <v>91.56999999999999</v>
      </c>
      <c r="F89" s="119" t="n">
        <v>1597.37</v>
      </c>
      <c r="G89" s="14">
        <f>ROUND(F89*E89,2)</f>
        <v/>
      </c>
      <c r="H89" s="178">
        <f>G89/$G$156</f>
        <v/>
      </c>
      <c r="I89" s="14">
        <f>ROUND(F89*Прил.10!$D$12,2)</f>
        <v/>
      </c>
      <c r="J89" s="14">
        <f>ROUND(I89*E89,2)</f>
        <v/>
      </c>
    </row>
    <row r="90" outlineLevel="1" ht="14.25" customFormat="1" customHeight="1" s="128">
      <c r="A90" s="159" t="n">
        <v>62</v>
      </c>
      <c r="B90" s="116" t="inlineStr">
        <is>
          <t>20.2.02.06-0002</t>
        </is>
      </c>
      <c r="C90" s="117" t="inlineStr">
        <is>
          <t>Экран защитный: ЭЗ-500-5</t>
        </is>
      </c>
      <c r="D90" s="186" t="inlineStr">
        <is>
          <t>шт</t>
        </is>
      </c>
      <c r="E90" s="116" t="n">
        <v>1190.56</v>
      </c>
      <c r="F90" s="119" t="n">
        <v>122.11</v>
      </c>
      <c r="G90" s="14">
        <f>ROUND(F90*E90,2)</f>
        <v/>
      </c>
      <c r="H90" s="178">
        <f>G90/$G$156</f>
        <v/>
      </c>
      <c r="I90" s="14">
        <f>ROUND(F90*Прил.10!$D$12,2)</f>
        <v/>
      </c>
      <c r="J90" s="14">
        <f>ROUND(I90*E90,2)</f>
        <v/>
      </c>
    </row>
    <row r="91" outlineLevel="1" ht="38.25" customFormat="1" customHeight="1" s="128">
      <c r="A91" s="159" t="n">
        <v>63</v>
      </c>
      <c r="B91" s="116" t="inlineStr">
        <is>
          <t>01.2.03.02-0001</t>
        </is>
      </c>
      <c r="C91" s="117" t="inlineStr">
        <is>
          <t>Грунтовка битумная под полимерное или резиновое покрытие</t>
        </is>
      </c>
      <c r="D91" s="186" t="inlineStr">
        <is>
          <t>т</t>
        </is>
      </c>
      <c r="E91" s="116" t="n">
        <v>3.66</v>
      </c>
      <c r="F91" s="119" t="n">
        <v>31060</v>
      </c>
      <c r="G91" s="14">
        <f>ROUND(F91*E91,2)</f>
        <v/>
      </c>
      <c r="H91" s="178">
        <f>G91/$G$156</f>
        <v/>
      </c>
      <c r="I91" s="14">
        <f>ROUND(F91*Прил.10!$D$12,2)</f>
        <v/>
      </c>
      <c r="J91" s="14">
        <f>ROUND(I91*E91,2)</f>
        <v/>
      </c>
    </row>
    <row r="92" outlineLevel="1" ht="45" customFormat="1" customHeight="1" s="128">
      <c r="A92" s="159" t="n">
        <v>64</v>
      </c>
      <c r="B92" s="116" t="inlineStr">
        <is>
          <t>22.2.01.03-0001</t>
        </is>
      </c>
      <c r="C92" s="117" t="inlineStr">
        <is>
          <t>Изолятор подвесной стеклянный ПСВ-120Б (U 120 AD)</t>
        </is>
      </c>
      <c r="D92" s="186" t="inlineStr">
        <is>
          <t>шт</t>
        </is>
      </c>
      <c r="E92" s="116" t="n">
        <v>556.67</v>
      </c>
      <c r="F92" s="119" t="n">
        <v>202.55</v>
      </c>
      <c r="G92" s="14">
        <f>ROUND(F92*E92,2)</f>
        <v/>
      </c>
      <c r="H92" s="178">
        <f>G92/$G$156</f>
        <v/>
      </c>
      <c r="I92" s="14">
        <f>ROUND(F92*Прил.10!$D$12,2)</f>
        <v/>
      </c>
      <c r="J92" s="14">
        <f>ROUND(I92*E92,2)</f>
        <v/>
      </c>
    </row>
    <row r="93" outlineLevel="1" ht="14.25" customFormat="1" customHeight="1" s="128">
      <c r="A93" s="159" t="n">
        <v>65</v>
      </c>
      <c r="B93" s="116" t="inlineStr">
        <is>
          <t>01.7.11.02-0006</t>
        </is>
      </c>
      <c r="C93" s="117" t="inlineStr">
        <is>
          <t>Патрон термитный ПАС-300</t>
        </is>
      </c>
      <c r="D93" s="186" t="inlineStr">
        <is>
          <t>шт</t>
        </is>
      </c>
      <c r="E93" s="116" t="n">
        <v>592.22</v>
      </c>
      <c r="F93" s="119" t="n">
        <v>173.41</v>
      </c>
      <c r="G93" s="14">
        <f>ROUND(F93*E93,2)</f>
        <v/>
      </c>
      <c r="H93" s="178">
        <f>G93/$G$156</f>
        <v/>
      </c>
      <c r="I93" s="14">
        <f>ROUND(F93*Прил.10!$D$12,2)</f>
        <v/>
      </c>
      <c r="J93" s="14">
        <f>ROUND(I93*E93,2)</f>
        <v/>
      </c>
    </row>
    <row r="94" outlineLevel="1" ht="38.25" customFormat="1" customHeight="1" s="128">
      <c r="A94" s="159" t="n">
        <v>66</v>
      </c>
      <c r="B94" s="116" t="inlineStr">
        <is>
          <t>05.1.03.13-0184</t>
        </is>
      </c>
      <c r="C94" s="117" t="inlineStr">
        <is>
          <t>Ригели сборные железобетонные Р1-А</t>
        </is>
      </c>
      <c r="D94" s="186" t="inlineStr">
        <is>
          <t>м3</t>
        </is>
      </c>
      <c r="E94" s="116" t="n">
        <v>19.21</v>
      </c>
      <c r="F94" s="119" t="n">
        <v>4950.75</v>
      </c>
      <c r="G94" s="14">
        <f>ROUND(F94*E94,2)</f>
        <v/>
      </c>
      <c r="H94" s="178">
        <f>G94/$G$156</f>
        <v/>
      </c>
      <c r="I94" s="14">
        <f>ROUND(F94*Прил.10!$D$12,2)</f>
        <v/>
      </c>
      <c r="J94" s="14">
        <f>ROUND(I94*E94,2)</f>
        <v/>
      </c>
    </row>
    <row r="95" outlineLevel="1" ht="14.25" customFormat="1" customHeight="1" s="128">
      <c r="A95" s="159" t="n">
        <v>67</v>
      </c>
      <c r="B95" s="116" t="inlineStr">
        <is>
          <t>14.4.03.10-0003</t>
        </is>
      </c>
      <c r="C95" s="117" t="inlineStr">
        <is>
          <t>Раствор хлорсульфированного полиэтилена в ксилоле (сольвенте), предназначен для защиты от коррозии трещинообразующих или деформируемых строительных конструкций</t>
        </is>
      </c>
      <c r="D95" s="186" t="inlineStr">
        <is>
          <t>т</t>
        </is>
      </c>
      <c r="E95" s="116" t="n">
        <v>4.18</v>
      </c>
      <c r="F95" s="119" t="n">
        <v>22600</v>
      </c>
      <c r="G95" s="14">
        <f>ROUND(F95*E95,2)</f>
        <v/>
      </c>
      <c r="H95" s="178">
        <f>G95/$G$156</f>
        <v/>
      </c>
      <c r="I95" s="14">
        <f>ROUND(F95*Прил.10!$D$12,2)</f>
        <v/>
      </c>
      <c r="J95" s="14">
        <f>ROUND(I95*E95,2)</f>
        <v/>
      </c>
    </row>
    <row r="96" outlineLevel="1" ht="38.25" customFormat="1" customHeight="1" s="128">
      <c r="A96" s="159" t="n">
        <v>68</v>
      </c>
      <c r="B96" s="116" t="inlineStr">
        <is>
          <t>20.5.04.07-0041</t>
        </is>
      </c>
      <c r="C96" s="117" t="inlineStr">
        <is>
          <t>Зажим соединительный спиральный СС-24,5-11</t>
        </is>
      </c>
      <c r="D96" s="186" t="inlineStr">
        <is>
          <t>шт</t>
        </is>
      </c>
      <c r="E96" s="116" t="n">
        <v>77.22</v>
      </c>
      <c r="F96" s="119" t="n">
        <v>1221.05</v>
      </c>
      <c r="G96" s="14">
        <f>ROUND(F96*E96,2)</f>
        <v/>
      </c>
      <c r="H96" s="178">
        <f>G96/$G$156</f>
        <v/>
      </c>
      <c r="I96" s="14">
        <f>ROUND(F96*Прил.10!$D$12,2)</f>
        <v/>
      </c>
      <c r="J96" s="14">
        <f>ROUND(I96*E96,2)</f>
        <v/>
      </c>
    </row>
    <row r="97" outlineLevel="1" ht="14.25" customFormat="1" customHeight="1" s="128">
      <c r="A97" s="159" t="n">
        <v>69</v>
      </c>
      <c r="B97" s="116" t="inlineStr">
        <is>
          <t>22.2.02.04-0051</t>
        </is>
      </c>
      <c r="C97" s="117" t="inlineStr">
        <is>
          <t>Звено промежуточное трехлапчатое ПРТ-16/21-2</t>
        </is>
      </c>
      <c r="D97" s="186" t="inlineStr">
        <is>
          <t>шт</t>
        </is>
      </c>
      <c r="E97" s="116" t="n">
        <v>1183.89</v>
      </c>
      <c r="F97" s="119" t="n">
        <v>75.52</v>
      </c>
      <c r="G97" s="14">
        <f>ROUND(F97*E97,2)</f>
        <v/>
      </c>
      <c r="H97" s="178">
        <f>G97/$G$156</f>
        <v/>
      </c>
      <c r="I97" s="14">
        <f>ROUND(F97*Прил.10!$D$12,2)</f>
        <v/>
      </c>
      <c r="J97" s="14">
        <f>ROUND(I97*E97,2)</f>
        <v/>
      </c>
    </row>
    <row r="98" outlineLevel="1" ht="38.25" customFormat="1" customHeight="1" s="128">
      <c r="A98" s="159" t="n">
        <v>70</v>
      </c>
      <c r="B98" s="116" t="inlineStr">
        <is>
          <t>22.2.02.04-0004</t>
        </is>
      </c>
      <c r="C98" s="117" t="inlineStr">
        <is>
          <t>Звено промежуточное вывернутое ПРВ-21-1</t>
        </is>
      </c>
      <c r="D98" s="186" t="inlineStr">
        <is>
          <t>шт</t>
        </is>
      </c>
      <c r="E98" s="116" t="n">
        <v>1041.11</v>
      </c>
      <c r="F98" s="119" t="n">
        <v>83.93000000000001</v>
      </c>
      <c r="G98" s="14">
        <f>ROUND(F98*E98,2)</f>
        <v/>
      </c>
      <c r="H98" s="178">
        <f>G98/$G$156</f>
        <v/>
      </c>
      <c r="I98" s="14">
        <f>ROUND(F98*Прил.10!$D$12,2)</f>
        <v/>
      </c>
      <c r="J98" s="14">
        <f>ROUND(I98*E98,2)</f>
        <v/>
      </c>
    </row>
    <row r="99" outlineLevel="1" ht="102" customFormat="1" customHeight="1" s="128">
      <c r="A99" s="159" t="n">
        <v>71</v>
      </c>
      <c r="B99" s="116" t="inlineStr">
        <is>
          <t>22.2.02.04-0003</t>
        </is>
      </c>
      <c r="C99" s="117" t="inlineStr">
        <is>
          <t>Звено промежуточное вывернутое ПРВ-16-1</t>
        </is>
      </c>
      <c r="D99" s="186" t="inlineStr">
        <is>
          <t>шт</t>
        </is>
      </c>
      <c r="E99" s="116" t="n">
        <v>1326.67</v>
      </c>
      <c r="F99" s="119" t="n">
        <v>63.58</v>
      </c>
      <c r="G99" s="14">
        <f>ROUND(F99*E99,2)</f>
        <v/>
      </c>
      <c r="H99" s="178">
        <f>G99/$G$156</f>
        <v/>
      </c>
      <c r="I99" s="14">
        <f>ROUND(F99*Прил.10!$D$12,2)</f>
        <v/>
      </c>
      <c r="J99" s="14">
        <f>ROUND(I99*E99,2)</f>
        <v/>
      </c>
    </row>
    <row r="100" outlineLevel="1" ht="25.5" customFormat="1" customHeight="1" s="128">
      <c r="A100" s="159" t="n">
        <v>72</v>
      </c>
      <c r="B100" s="116" t="inlineStr">
        <is>
          <t>22.2.02.04-0023</t>
        </is>
      </c>
      <c r="C100" s="117" t="inlineStr">
        <is>
          <t>Звено промежуточное прямое ПР-16-6</t>
        </is>
      </c>
      <c r="D100" s="186" t="inlineStr">
        <is>
          <t>шт</t>
        </is>
      </c>
      <c r="E100" s="116" t="n">
        <v>1356.11</v>
      </c>
      <c r="F100" s="119" t="n">
        <v>60.08</v>
      </c>
      <c r="G100" s="14">
        <f>ROUND(F100*E100,2)</f>
        <v/>
      </c>
      <c r="H100" s="178">
        <f>G100/$G$156</f>
        <v/>
      </c>
      <c r="I100" s="14">
        <f>ROUND(F100*Прил.10!$D$12,2)</f>
        <v/>
      </c>
      <c r="J100" s="14">
        <f>ROUND(I100*E100,2)</f>
        <v/>
      </c>
    </row>
    <row r="101" outlineLevel="1" ht="25.5" customFormat="1" customHeight="1" s="128">
      <c r="A101" s="159" t="n">
        <v>73</v>
      </c>
      <c r="B101" s="116" t="inlineStr">
        <is>
          <t>22.2.02.11-0032</t>
        </is>
      </c>
      <c r="C101" s="117" t="inlineStr">
        <is>
          <t>Болты сборочные с гайками и шайбами по классу прочности 5.8</t>
        </is>
      </c>
      <c r="D101" s="186" t="inlineStr">
        <is>
          <t>т</t>
        </is>
      </c>
      <c r="E101" s="116" t="n">
        <v>5.32</v>
      </c>
      <c r="F101" s="119" t="n">
        <v>14969.51</v>
      </c>
      <c r="G101" s="14">
        <f>ROUND(F101*E101,2)</f>
        <v/>
      </c>
      <c r="H101" s="178">
        <f>G101/$G$156</f>
        <v/>
      </c>
      <c r="I101" s="14">
        <f>ROUND(F101*Прил.10!$D$12,2)</f>
        <v/>
      </c>
      <c r="J101" s="14">
        <f>ROUND(I101*E101,2)</f>
        <v/>
      </c>
    </row>
    <row r="102" outlineLevel="1" ht="14.25" customFormat="1" customHeight="1" s="128">
      <c r="A102" s="159" t="n">
        <v>74</v>
      </c>
      <c r="B102" s="116" t="inlineStr">
        <is>
          <t>20.1.02.14-1008</t>
        </is>
      </c>
      <c r="C102" s="117" t="inlineStr">
        <is>
          <t>Серьга СР-21-20</t>
        </is>
      </c>
      <c r="D102" s="186" t="inlineStr">
        <is>
          <t>шт</t>
        </is>
      </c>
      <c r="E102" s="116" t="n">
        <v>1102.22</v>
      </c>
      <c r="F102" s="119" t="n">
        <v>68.73</v>
      </c>
      <c r="G102" s="14">
        <f>ROUND(F102*E102,2)</f>
        <v/>
      </c>
      <c r="H102" s="178">
        <f>G102/$G$156</f>
        <v/>
      </c>
      <c r="I102" s="14">
        <f>ROUND(F102*Прил.10!$D$12,2)</f>
        <v/>
      </c>
      <c r="J102" s="14">
        <f>ROUND(I102*E102,2)</f>
        <v/>
      </c>
    </row>
    <row r="103" outlineLevel="1" ht="76.5" customFormat="1" customHeight="1" s="128">
      <c r="A103" s="159" t="n">
        <v>75</v>
      </c>
      <c r="B103" s="116" t="inlineStr">
        <is>
          <t>08.4.03.02-0006</t>
        </is>
      </c>
      <c r="C103" s="117" t="inlineStr">
        <is>
          <t>Сталь арматурная, горячекатаная, гладкая, класс А-I, диаметр 16-18 мм</t>
        </is>
      </c>
      <c r="D103" s="186" t="inlineStr">
        <is>
          <t>т</t>
        </is>
      </c>
      <c r="E103" s="116" t="n">
        <v>11.4</v>
      </c>
      <c r="F103" s="119" t="n">
        <v>5650</v>
      </c>
      <c r="G103" s="14">
        <f>ROUND(F103*E103,2)</f>
        <v/>
      </c>
      <c r="H103" s="178">
        <f>G103/$G$156</f>
        <v/>
      </c>
      <c r="I103" s="14">
        <f>ROUND(F103*Прил.10!$D$12,2)</f>
        <v/>
      </c>
      <c r="J103" s="14">
        <f>ROUND(I103*E103,2)</f>
        <v/>
      </c>
    </row>
    <row r="104" outlineLevel="1" ht="38.25" customFormat="1" customHeight="1" s="128">
      <c r="A104" s="159" t="n">
        <v>76</v>
      </c>
      <c r="B104" s="116" t="inlineStr">
        <is>
          <t>22.2.02.01-0013</t>
        </is>
      </c>
      <c r="C104" s="117" t="inlineStr">
        <is>
          <t>Гаситель вибрации ГВН-3-12</t>
        </is>
      </c>
      <c r="D104" s="186" t="inlineStr">
        <is>
          <t>шт</t>
        </is>
      </c>
      <c r="E104" s="116" t="n">
        <v>1054.44</v>
      </c>
      <c r="F104" s="119" t="n">
        <v>75.29000000000001</v>
      </c>
      <c r="G104" s="14">
        <f>ROUND(F104*E104,2)</f>
        <v/>
      </c>
      <c r="H104" s="178">
        <f>G104/$G$156</f>
        <v/>
      </c>
      <c r="I104" s="14">
        <f>ROUND(F104*Прил.10!$D$12,2)</f>
        <v/>
      </c>
      <c r="J104" s="14">
        <f>ROUND(I104*E104,2)</f>
        <v/>
      </c>
    </row>
    <row r="105" outlineLevel="1" ht="25.5" customFormat="1" customHeight="1" s="128">
      <c r="A105" s="159" t="n">
        <v>77</v>
      </c>
      <c r="B105" s="116" t="inlineStr">
        <is>
          <t>22.2.01.03-0002</t>
        </is>
      </c>
      <c r="C105" s="117" t="inlineStr">
        <is>
          <t>Изолятор подвесной стеклянный ПСВ-160А</t>
        </is>
      </c>
      <c r="D105" s="186" t="inlineStr">
        <is>
          <t>шт</t>
        </is>
      </c>
      <c r="E105" s="116" t="n">
        <v>201.67</v>
      </c>
      <c r="F105" s="119" t="n">
        <v>284.68</v>
      </c>
      <c r="G105" s="14">
        <f>ROUND(F105*E105,2)</f>
        <v/>
      </c>
      <c r="H105" s="178">
        <f>G105/$G$156</f>
        <v/>
      </c>
      <c r="I105" s="14">
        <f>ROUND(F105*Прил.10!$D$12,2)</f>
        <v/>
      </c>
      <c r="J105" s="14">
        <f>ROUND(I105*E105,2)</f>
        <v/>
      </c>
    </row>
    <row r="106" outlineLevel="1" ht="14.25" customFormat="1" customHeight="1" s="128">
      <c r="A106" s="159" t="n">
        <v>78</v>
      </c>
      <c r="B106" s="116" t="inlineStr">
        <is>
          <t>20.2.11.02-0001</t>
        </is>
      </c>
      <c r="C106" s="117" t="inlineStr">
        <is>
          <t>Распорка дистанционная утяжеленная РУ-2-400</t>
        </is>
      </c>
      <c r="D106" s="186" t="inlineStr">
        <is>
          <t>шт</t>
        </is>
      </c>
      <c r="E106" s="116" t="n">
        <v>789.4400000000001</v>
      </c>
      <c r="F106" s="119" t="n">
        <v>72.63</v>
      </c>
      <c r="G106" s="14">
        <f>ROUND(F106*E106,2)</f>
        <v/>
      </c>
      <c r="H106" s="178">
        <f>G106/$G$156</f>
        <v/>
      </c>
      <c r="I106" s="14">
        <f>ROUND(F106*Прил.10!$D$12,2)</f>
        <v/>
      </c>
      <c r="J106" s="14">
        <f>ROUND(I106*E106,2)</f>
        <v/>
      </c>
    </row>
    <row r="107" outlineLevel="1" ht="38.25" customFormat="1" customHeight="1" s="128">
      <c r="A107" s="159" t="n">
        <v>79</v>
      </c>
      <c r="B107" s="116" t="inlineStr">
        <is>
          <t>20.1.02.22-0020</t>
        </is>
      </c>
      <c r="C107" s="117" t="inlineStr">
        <is>
          <t>Ушко: У1-30-24</t>
        </is>
      </c>
      <c r="D107" s="186" t="inlineStr">
        <is>
          <t>шт</t>
        </is>
      </c>
      <c r="E107" s="116" t="n">
        <v>75</v>
      </c>
      <c r="F107" s="119" t="n">
        <v>683.1</v>
      </c>
      <c r="G107" s="14">
        <f>ROUND(F107*E107,2)</f>
        <v/>
      </c>
      <c r="H107" s="178">
        <f>G107/$G$156</f>
        <v/>
      </c>
      <c r="I107" s="14">
        <f>ROUND(F107*Прил.10!$D$12,2)</f>
        <v/>
      </c>
      <c r="J107" s="14">
        <f>ROUND(I107*E107,2)</f>
        <v/>
      </c>
    </row>
    <row r="108" outlineLevel="1" ht="14.25" customFormat="1" customHeight="1" s="128">
      <c r="A108" s="159" t="n">
        <v>80</v>
      </c>
      <c r="B108" s="116" t="inlineStr">
        <is>
          <t>02.2.05.04-1777</t>
        </is>
      </c>
      <c r="C108" s="117" t="inlineStr">
        <is>
          <t>Щебень М 800, фракция 20-40 мм, группа 2</t>
        </is>
      </c>
      <c r="D108" s="186" t="inlineStr">
        <is>
          <t>м3</t>
        </is>
      </c>
      <c r="E108" s="116" t="n">
        <v>472.39</v>
      </c>
      <c r="F108" s="119" t="n">
        <v>108.4</v>
      </c>
      <c r="G108" s="14">
        <f>ROUND(F108*E108,2)</f>
        <v/>
      </c>
      <c r="H108" s="178">
        <f>G108/$G$156</f>
        <v/>
      </c>
      <c r="I108" s="14">
        <f>ROUND(F108*Прил.10!$D$12,2)</f>
        <v/>
      </c>
      <c r="J108" s="14">
        <f>ROUND(I108*E108,2)</f>
        <v/>
      </c>
    </row>
    <row r="109" outlineLevel="1" ht="25.5" customFormat="1" customHeight="1" s="128">
      <c r="A109" s="159" t="n">
        <v>81</v>
      </c>
      <c r="B109" s="116" t="inlineStr">
        <is>
          <t>20.1.02.11-0006</t>
        </is>
      </c>
      <c r="C109" s="117" t="inlineStr">
        <is>
          <t>Протектор защитный спиральный ПЗС-17,1-11</t>
        </is>
      </c>
      <c r="D109" s="186" t="inlineStr">
        <is>
          <t>шт</t>
        </is>
      </c>
      <c r="E109" s="116" t="n">
        <v>116.11</v>
      </c>
      <c r="F109" s="119" t="n">
        <v>111.95</v>
      </c>
      <c r="G109" s="14">
        <f>ROUND(F109*E109,2)</f>
        <v/>
      </c>
      <c r="H109" s="178">
        <f>G109/$G$156</f>
        <v/>
      </c>
      <c r="I109" s="14">
        <f>ROUND(F109*Прил.10!$D$12,2)</f>
        <v/>
      </c>
      <c r="J109" s="14">
        <f>ROUND(I109*E109,2)</f>
        <v/>
      </c>
    </row>
    <row r="110" outlineLevel="1" ht="25.5" customFormat="1" customHeight="1" s="128">
      <c r="A110" s="159" t="n">
        <v>82</v>
      </c>
      <c r="B110" s="116" t="inlineStr">
        <is>
          <t>20.1.02.22-0007</t>
        </is>
      </c>
      <c r="C110" s="117" t="inlineStr">
        <is>
          <t>Ушко: специальное укороченное УСК-7-16</t>
        </is>
      </c>
      <c r="D110" s="186" t="inlineStr">
        <is>
          <t>шт</t>
        </is>
      </c>
      <c r="E110" s="116" t="n">
        <v>493.33</v>
      </c>
      <c r="F110" s="119" t="n">
        <v>85.05</v>
      </c>
      <c r="G110" s="14">
        <f>ROUND(F110*E110,2)</f>
        <v/>
      </c>
      <c r="H110" s="178">
        <f>G110/$G$156</f>
        <v/>
      </c>
      <c r="I110" s="14">
        <f>ROUND(F110*Прил.10!$D$12,2)</f>
        <v/>
      </c>
      <c r="J110" s="14">
        <f>ROUND(I110*E110,2)</f>
        <v/>
      </c>
    </row>
    <row r="111" outlineLevel="1" ht="41.25" customFormat="1" customHeight="1" s="128">
      <c r="A111" s="159" t="n">
        <v>83</v>
      </c>
      <c r="B111" s="116" t="inlineStr">
        <is>
          <t>20.2.11.01-0030</t>
        </is>
      </c>
      <c r="C111" s="117" t="inlineStr">
        <is>
          <t>Распорка дистанционная трехлучевая гаситель 3РГС-25,2-400-30 (2РД-500В-31У)</t>
        </is>
      </c>
      <c r="D111" s="186" t="inlineStr">
        <is>
          <t>шт</t>
        </is>
      </c>
      <c r="E111" s="116" t="n">
        <v>65</v>
      </c>
      <c r="F111" s="119" t="n">
        <v>2116.3</v>
      </c>
      <c r="G111" s="14">
        <f>ROUND(F111*E111,2)</f>
        <v/>
      </c>
      <c r="H111" s="178">
        <f>G111/$G$156</f>
        <v/>
      </c>
      <c r="I111" s="14">
        <f>ROUND(F111*Прил.10!$D$12,2)</f>
        <v/>
      </c>
      <c r="J111" s="14">
        <f>ROUND(I111*E111,2)</f>
        <v/>
      </c>
    </row>
    <row r="112" outlineLevel="1" ht="38.25" customFormat="1" customHeight="1" s="128">
      <c r="A112" s="159" t="n">
        <v>84</v>
      </c>
      <c r="B112" s="116" t="inlineStr">
        <is>
          <t>20.1.02.22-0026</t>
        </is>
      </c>
      <c r="C112" s="117" t="inlineStr">
        <is>
          <t>Ушко: У-16-20</t>
        </is>
      </c>
      <c r="D112" s="186" t="inlineStr">
        <is>
          <t>шт</t>
        </is>
      </c>
      <c r="E112" s="116" t="n">
        <v>166.11</v>
      </c>
      <c r="F112" s="119" t="n">
        <v>220.79</v>
      </c>
      <c r="G112" s="14">
        <f>ROUND(F112*E112,2)</f>
        <v/>
      </c>
      <c r="H112" s="178">
        <f>G112/$G$156</f>
        <v/>
      </c>
      <c r="I112" s="14">
        <f>ROUND(F112*Прил.10!$D$12,2)</f>
        <v/>
      </c>
      <c r="J112" s="14">
        <f>ROUND(I112*E112,2)</f>
        <v/>
      </c>
    </row>
    <row r="113" outlineLevel="1" ht="14.25" customFormat="1" customHeight="1" s="128">
      <c r="A113" s="159" t="n">
        <v>85</v>
      </c>
      <c r="B113" s="116" t="inlineStr">
        <is>
          <t>20.1.02.21-0050</t>
        </is>
      </c>
      <c r="C113" s="117" t="inlineStr">
        <is>
          <t>Узел крепления КГП-16-3</t>
        </is>
      </c>
      <c r="D113" s="186" t="inlineStr">
        <is>
          <t>шт</t>
        </is>
      </c>
      <c r="E113" s="116" t="n">
        <v>551.11</v>
      </c>
      <c r="F113" s="119" t="n">
        <v>43.67</v>
      </c>
      <c r="G113" s="14">
        <f>ROUND(F113*E113,2)</f>
        <v/>
      </c>
      <c r="H113" s="178">
        <f>G113/$G$156</f>
        <v/>
      </c>
      <c r="I113" s="14">
        <f>ROUND(F113*Прил.10!$D$12,2)</f>
        <v/>
      </c>
      <c r="J113" s="14">
        <f>ROUND(I113*E113,2)</f>
        <v/>
      </c>
    </row>
    <row r="114" outlineLevel="1" ht="36" customFormat="1" customHeight="1" s="128">
      <c r="A114" s="159" t="n">
        <v>86</v>
      </c>
      <c r="B114" s="116" t="inlineStr">
        <is>
          <t>22.2.02.04-0020</t>
        </is>
      </c>
      <c r="C114" s="117" t="inlineStr">
        <is>
          <t>Звено промежуточное прямое двойное 2ПР-21-1 (2ПР-30-1)</t>
        </is>
      </c>
      <c r="D114" s="186" t="inlineStr">
        <is>
          <t>шт</t>
        </is>
      </c>
      <c r="E114" s="116" t="n">
        <v>75</v>
      </c>
      <c r="F114" s="119" t="n">
        <v>314.56</v>
      </c>
      <c r="G114" s="14">
        <f>ROUND(F114*E114,2)</f>
        <v/>
      </c>
      <c r="H114" s="178">
        <f>G114/$G$156</f>
        <v/>
      </c>
      <c r="I114" s="14">
        <f>ROUND(F114*Прил.10!$D$12,2)</f>
        <v/>
      </c>
      <c r="J114" s="14">
        <f>ROUND(I114*E114,2)</f>
        <v/>
      </c>
    </row>
    <row r="115" outlineLevel="1" ht="14.25" customFormat="1" customHeight="1" s="128">
      <c r="A115" s="159" t="n">
        <v>87</v>
      </c>
      <c r="B115" s="116" t="inlineStr">
        <is>
          <t>08.1.02.11-0006</t>
        </is>
      </c>
      <c r="C115" s="117" t="inlineStr">
        <is>
          <t>Поковки из квадратных заготовок, масса 90 кг</t>
        </is>
      </c>
      <c r="D115" s="186" t="inlineStr">
        <is>
          <t>т</t>
        </is>
      </c>
      <c r="E115" s="116" t="n">
        <v>2.61</v>
      </c>
      <c r="F115" s="119" t="n">
        <v>6347.04</v>
      </c>
      <c r="G115" s="14">
        <f>ROUND(F115*E115,2)</f>
        <v/>
      </c>
      <c r="H115" s="178">
        <f>G115/$G$156</f>
        <v/>
      </c>
      <c r="I115" s="14">
        <f>ROUND(F115*Прил.10!$D$12,2)</f>
        <v/>
      </c>
      <c r="J115" s="14">
        <f>ROUND(I115*E115,2)</f>
        <v/>
      </c>
    </row>
    <row r="116" outlineLevel="1" ht="25.5" customFormat="1" customHeight="1" s="128">
      <c r="A116" s="159" t="n">
        <v>88</v>
      </c>
      <c r="B116" s="116" t="inlineStr">
        <is>
          <t>22.2.02.04-0052</t>
        </is>
      </c>
      <c r="C116" s="117" t="inlineStr">
        <is>
          <t>Звено промежуточное трехлапчатое ПРТ-21-1 (ПРТ-21/30-2)</t>
        </is>
      </c>
      <c r="D116" s="186" t="inlineStr">
        <is>
          <t>шт</t>
        </is>
      </c>
      <c r="E116" s="116" t="n">
        <v>75</v>
      </c>
      <c r="F116" s="119" t="n">
        <v>137.02</v>
      </c>
      <c r="G116" s="14">
        <f>ROUND(F116*E116,2)</f>
        <v/>
      </c>
      <c r="H116" s="178">
        <f>G116/$G$156</f>
        <v/>
      </c>
      <c r="I116" s="14">
        <f>ROUND(F116*Прил.10!$D$12,2)</f>
        <v/>
      </c>
      <c r="J116" s="14">
        <f>ROUND(I116*E116,2)</f>
        <v/>
      </c>
    </row>
    <row r="117" outlineLevel="1" ht="25.5" customFormat="1" customHeight="1" s="128">
      <c r="A117" s="159" t="n">
        <v>89</v>
      </c>
      <c r="B117" s="116" t="inlineStr">
        <is>
          <t>12.2.03.11-0023</t>
        </is>
      </c>
      <c r="C117" s="117" t="inlineStr">
        <is>
          <t>Ткань стеклянная конструкционная Т-11</t>
        </is>
      </c>
      <c r="D117" s="186" t="inlineStr">
        <is>
          <t>м2</t>
        </is>
      </c>
      <c r="E117" s="116" t="n">
        <v>711.8200000000001</v>
      </c>
      <c r="F117" s="119" t="n">
        <v>20.9</v>
      </c>
      <c r="G117" s="14">
        <f>ROUND(F117*E117,2)</f>
        <v/>
      </c>
      <c r="H117" s="178">
        <f>G117/$G$156</f>
        <v/>
      </c>
      <c r="I117" s="14">
        <f>ROUND(F117*Прил.10!$D$12,2)</f>
        <v/>
      </c>
      <c r="J117" s="14">
        <f>ROUND(I117*E117,2)</f>
        <v/>
      </c>
    </row>
    <row r="118" outlineLevel="1" ht="76.5" customFormat="1" customHeight="1" s="128">
      <c r="A118" s="159" t="n">
        <v>90</v>
      </c>
      <c r="B118" s="116" t="inlineStr">
        <is>
          <t>01.7.15.10-0034</t>
        </is>
      </c>
      <c r="C118" s="117" t="inlineStr">
        <is>
          <t>Скобы СК-16-1А</t>
        </is>
      </c>
      <c r="D118" s="186" t="inlineStr">
        <is>
          <t>шт</t>
        </is>
      </c>
      <c r="E118" s="116" t="n">
        <v>194.44</v>
      </c>
      <c r="F118" s="119" t="n">
        <v>70.76000000000001</v>
      </c>
      <c r="G118" s="14">
        <f>ROUND(F118*E118,2)</f>
        <v/>
      </c>
      <c r="H118" s="178">
        <f>G118/$G$156</f>
        <v/>
      </c>
      <c r="I118" s="14">
        <f>ROUND(F118*Прил.10!$D$12,2)</f>
        <v/>
      </c>
      <c r="J118" s="14">
        <f>ROUND(I118*E118,2)</f>
        <v/>
      </c>
    </row>
    <row r="119" outlineLevel="1" ht="43.5" customFormat="1" customHeight="1" s="128">
      <c r="A119" s="159" t="n">
        <v>91</v>
      </c>
      <c r="B119" s="116" t="inlineStr">
        <is>
          <t>22.2.02.04-0052</t>
        </is>
      </c>
      <c r="C119" s="117" t="inlineStr">
        <is>
          <t>Звено промежуточное трехлапчатое ПРТ-21-1 (ПРТ-30/21-2)</t>
        </is>
      </c>
      <c r="D119" s="186" t="inlineStr">
        <is>
          <t>шт</t>
        </is>
      </c>
      <c r="E119" s="116" t="n">
        <v>75</v>
      </c>
      <c r="F119" s="119" t="n">
        <v>137.02</v>
      </c>
      <c r="G119" s="14">
        <f>ROUND(F119*E119,2)</f>
        <v/>
      </c>
      <c r="H119" s="178">
        <f>G119/$G$156</f>
        <v/>
      </c>
      <c r="I119" s="14">
        <f>ROUND(F119*Прил.10!$D$12,2)</f>
        <v/>
      </c>
      <c r="J119" s="14">
        <f>ROUND(I119*E119,2)</f>
        <v/>
      </c>
    </row>
    <row r="120" outlineLevel="1" ht="25.5" customFormat="1" customHeight="1" s="128">
      <c r="A120" s="159" t="n">
        <v>92</v>
      </c>
      <c r="B120" s="116" t="inlineStr">
        <is>
          <t>22.2.02.04-0054</t>
        </is>
      </c>
      <c r="C120" s="117" t="inlineStr">
        <is>
          <t>Звено промежуточное трехлапчатое ПРТ-21/16-2</t>
        </is>
      </c>
      <c r="D120" s="186" t="inlineStr">
        <is>
          <t>шт</t>
        </is>
      </c>
      <c r="E120" s="116" t="n">
        <v>143.33</v>
      </c>
      <c r="F120" s="119" t="n">
        <v>80.09999999999999</v>
      </c>
      <c r="G120" s="14">
        <f>ROUND(F120*E120,2)</f>
        <v/>
      </c>
      <c r="H120" s="178">
        <f>G120/$G$156</f>
        <v/>
      </c>
      <c r="I120" s="14">
        <f>ROUND(F120*Прил.10!$D$12,2)</f>
        <v/>
      </c>
      <c r="J120" s="14">
        <f>ROUND(I120*E120,2)</f>
        <v/>
      </c>
    </row>
    <row r="121" outlineLevel="1" ht="25.5" customFormat="1" customHeight="1" s="128">
      <c r="A121" s="159" t="n">
        <v>93</v>
      </c>
      <c r="B121" s="116" t="inlineStr">
        <is>
          <t>20.5.04.04-0052</t>
        </is>
      </c>
      <c r="C121" s="117" t="inlineStr">
        <is>
          <t>Зажим натяжной спиральный НС-15,2-02 НС-11.3П-02 (КС-160)-ГТ</t>
        </is>
      </c>
      <c r="D121" s="186" t="inlineStr">
        <is>
          <t>шт</t>
        </is>
      </c>
      <c r="E121" s="116" t="n">
        <v>22.78</v>
      </c>
      <c r="F121" s="119" t="n">
        <v>484.94</v>
      </c>
      <c r="G121" s="14">
        <f>ROUND(F121*E121,2)</f>
        <v/>
      </c>
      <c r="H121" s="178">
        <f>G121/$G$156</f>
        <v/>
      </c>
      <c r="I121" s="14">
        <f>ROUND(F121*Прил.10!$D$12,2)</f>
        <v/>
      </c>
      <c r="J121" s="14">
        <f>ROUND(I121*E121,2)</f>
        <v/>
      </c>
    </row>
    <row r="122" outlineLevel="1" ht="25.5" customFormat="1" customHeight="1" s="128">
      <c r="A122" s="159" t="n">
        <v>94</v>
      </c>
      <c r="B122" s="116" t="inlineStr">
        <is>
          <t>20.1.02.14-1008</t>
        </is>
      </c>
      <c r="C122" s="117" t="inlineStr">
        <is>
          <t>Серьга СР-21-20 (СР-30-24)</t>
        </is>
      </c>
      <c r="D122" s="186" t="inlineStr">
        <is>
          <t>шт</t>
        </is>
      </c>
      <c r="E122" s="116" t="n">
        <v>75</v>
      </c>
      <c r="F122" s="119" t="n">
        <v>68.73</v>
      </c>
      <c r="G122" s="14">
        <f>ROUND(F122*E122,2)</f>
        <v/>
      </c>
      <c r="H122" s="178">
        <f>G122/$G$156</f>
        <v/>
      </c>
      <c r="I122" s="14">
        <f>ROUND(F122*Прил.10!$D$12,2)</f>
        <v/>
      </c>
      <c r="J122" s="14">
        <f>ROUND(I122*E122,2)</f>
        <v/>
      </c>
    </row>
    <row r="123" outlineLevel="1" ht="38.25" customFormat="1" customHeight="1" s="128">
      <c r="A123" s="159" t="n">
        <v>95</v>
      </c>
      <c r="B123" s="116" t="inlineStr">
        <is>
          <t>20.1.02.22-0008</t>
        </is>
      </c>
      <c r="C123" s="117" t="inlineStr">
        <is>
          <t>Ушко: специальное укороченное УСК-12-16</t>
        </is>
      </c>
      <c r="D123" s="186" t="inlineStr">
        <is>
          <t>шт</t>
        </is>
      </c>
      <c r="E123" s="116" t="n">
        <v>58.33</v>
      </c>
      <c r="F123" s="119" t="n">
        <v>120.95</v>
      </c>
      <c r="G123" s="14">
        <f>ROUND(F123*E123,2)</f>
        <v/>
      </c>
      <c r="H123" s="178">
        <f>G123/$G$156</f>
        <v/>
      </c>
      <c r="I123" s="14">
        <f>ROUND(F123*Прил.10!$D$12,2)</f>
        <v/>
      </c>
      <c r="J123" s="14">
        <f>ROUND(I123*E123,2)</f>
        <v/>
      </c>
    </row>
    <row r="124" outlineLevel="1" ht="25.5" customFormat="1" customHeight="1" s="128">
      <c r="A124" s="159" t="n">
        <v>96</v>
      </c>
      <c r="B124" s="116" t="inlineStr">
        <is>
          <t>22.2.02.04-0009</t>
        </is>
      </c>
      <c r="C124" s="117" t="inlineStr">
        <is>
          <t>Звено промежуточное монтажное ПТМ-12-3</t>
        </is>
      </c>
      <c r="D124" s="186" t="inlineStr">
        <is>
          <t>шт</t>
        </is>
      </c>
      <c r="E124" s="116" t="n">
        <v>64.44</v>
      </c>
      <c r="F124" s="119" t="n">
        <v>103.63</v>
      </c>
      <c r="G124" s="14">
        <f>ROUND(F124*E124,2)</f>
        <v/>
      </c>
      <c r="H124" s="178">
        <f>G124/$G$156</f>
        <v/>
      </c>
      <c r="I124" s="14">
        <f>ROUND(F124*Прил.10!$D$12,2)</f>
        <v/>
      </c>
      <c r="J124" s="14">
        <f>ROUND(I124*E124,2)</f>
        <v/>
      </c>
    </row>
    <row r="125" outlineLevel="1" ht="38.25" customFormat="1" customHeight="1" s="128">
      <c r="A125" s="159" t="n">
        <v>97</v>
      </c>
      <c r="B125" s="116" t="inlineStr">
        <is>
          <t>01.7.15.10-0031</t>
        </is>
      </c>
      <c r="C125" s="117" t="inlineStr">
        <is>
          <t>Скобы СК-7-1А</t>
        </is>
      </c>
      <c r="D125" s="186" t="inlineStr">
        <is>
          <t>шт</t>
        </is>
      </c>
      <c r="E125" s="116" t="n">
        <v>181.11</v>
      </c>
      <c r="F125" s="119" t="n">
        <v>28.07</v>
      </c>
      <c r="G125" s="14">
        <f>ROUND(F125*E125,2)</f>
        <v/>
      </c>
      <c r="H125" s="178">
        <f>G125/$G$156</f>
        <v/>
      </c>
      <c r="I125" s="14">
        <f>ROUND(F125*Прил.10!$D$12,2)</f>
        <v/>
      </c>
      <c r="J125" s="14">
        <f>ROUND(I125*E125,2)</f>
        <v/>
      </c>
    </row>
    <row r="126" outlineLevel="1" ht="14.25" customFormat="1" customHeight="1" s="128">
      <c r="A126" s="159" t="n">
        <v>98</v>
      </c>
      <c r="B126" s="116" t="inlineStr">
        <is>
          <t>20.1.02.14-1022</t>
        </is>
      </c>
      <c r="C126" s="117" t="inlineStr">
        <is>
          <t>Серьга СРС-7-16</t>
        </is>
      </c>
      <c r="D126" s="186" t="inlineStr">
        <is>
          <t>шт</t>
        </is>
      </c>
      <c r="E126" s="116" t="n">
        <v>493.33</v>
      </c>
      <c r="F126" s="119" t="n">
        <v>10.03</v>
      </c>
      <c r="G126" s="14">
        <f>ROUND(F126*E126,2)</f>
        <v/>
      </c>
      <c r="H126" s="178">
        <f>G126/$G$156</f>
        <v/>
      </c>
      <c r="I126" s="14">
        <f>ROUND(F126*Прил.10!$D$12,2)</f>
        <v/>
      </c>
      <c r="J126" s="14">
        <f>ROUND(I126*E126,2)</f>
        <v/>
      </c>
    </row>
    <row r="127" outlineLevel="1" ht="25.5" customFormat="1" customHeight="1" s="128">
      <c r="A127" s="159" t="n">
        <v>99</v>
      </c>
      <c r="B127" s="116" t="inlineStr">
        <is>
          <t>01.2.01.02-0052</t>
        </is>
      </c>
      <c r="C127" s="117" t="inlineStr">
        <is>
          <t>Битумы нефтяные строительные БН-70/30</t>
        </is>
      </c>
      <c r="D127" s="186" t="inlineStr">
        <is>
          <t>т</t>
        </is>
      </c>
      <c r="E127" s="116" t="n">
        <v>3.24</v>
      </c>
      <c r="F127" s="119" t="n">
        <v>1525.5</v>
      </c>
      <c r="G127" s="14">
        <f>ROUND(F127*E127,2)</f>
        <v/>
      </c>
      <c r="H127" s="178">
        <f>G127/$G$156</f>
        <v/>
      </c>
      <c r="I127" s="14">
        <f>ROUND(F127*Прил.10!$D$12,2)</f>
        <v/>
      </c>
      <c r="J127" s="14">
        <f>ROUND(I127*E127,2)</f>
        <v/>
      </c>
    </row>
    <row r="128" outlineLevel="1" ht="47.25" customFormat="1" customHeight="1" s="128">
      <c r="A128" s="159" t="n">
        <v>100</v>
      </c>
      <c r="B128" s="116" t="inlineStr">
        <is>
          <t>20.2.11.01-0030</t>
        </is>
      </c>
      <c r="C128" s="117" t="inlineStr">
        <is>
          <t>Распорка дистанционная трехлучевая гаситель 3РГС-25,2-400-30 (2РД-600В-31СУ)</t>
        </is>
      </c>
      <c r="D128" s="186" t="inlineStr">
        <is>
          <t>шт</t>
        </is>
      </c>
      <c r="E128" s="116" t="n">
        <v>7.22</v>
      </c>
      <c r="F128" s="119" t="n">
        <v>2116.3</v>
      </c>
      <c r="G128" s="14">
        <f>ROUND(F128*E128,2)</f>
        <v/>
      </c>
      <c r="H128" s="178">
        <f>G128/$G$156</f>
        <v/>
      </c>
      <c r="I128" s="14">
        <f>ROUND(F128*Прил.10!$D$12,2)</f>
        <v/>
      </c>
      <c r="J128" s="14">
        <f>ROUND(I128*E128,2)</f>
        <v/>
      </c>
    </row>
    <row r="129" outlineLevel="1" ht="25.5" customFormat="1" customHeight="1" s="128">
      <c r="A129" s="159" t="n">
        <v>101</v>
      </c>
      <c r="B129" s="116" t="inlineStr">
        <is>
          <t>22.2.02.01-0005</t>
        </is>
      </c>
      <c r="C129" s="117" t="inlineStr">
        <is>
          <t>Гаситель вибрации ГВ-4433-02</t>
        </is>
      </c>
      <c r="D129" s="186" t="inlineStr">
        <is>
          <t>шт</t>
        </is>
      </c>
      <c r="E129" s="116" t="n">
        <v>25</v>
      </c>
      <c r="F129" s="119" t="n">
        <v>160.79</v>
      </c>
      <c r="G129" s="14">
        <f>ROUND(F129*E129,2)</f>
        <v/>
      </c>
      <c r="H129" s="178">
        <f>G129/$G$156</f>
        <v/>
      </c>
      <c r="I129" s="14">
        <f>ROUND(F129*Прил.10!$D$12,2)</f>
        <v/>
      </c>
      <c r="J129" s="14">
        <f>ROUND(I129*E129,2)</f>
        <v/>
      </c>
    </row>
    <row r="130" outlineLevel="1" ht="51" customFormat="1" customHeight="1" s="128">
      <c r="A130" s="159" t="n">
        <v>102</v>
      </c>
      <c r="B130" s="116" t="inlineStr">
        <is>
          <t>01.7.11.07-0032</t>
        </is>
      </c>
      <c r="C130" s="117" t="inlineStr">
        <is>
          <t>Электроды сварочные Э42, диаметр 4 мм</t>
        </is>
      </c>
      <c r="D130" s="186" t="inlineStr">
        <is>
          <t>т</t>
        </is>
      </c>
      <c r="E130" s="116" t="n">
        <v>0.35</v>
      </c>
      <c r="F130" s="119" t="n">
        <v>10315.01</v>
      </c>
      <c r="G130" s="14">
        <f>ROUND(F130*E130,2)</f>
        <v/>
      </c>
      <c r="H130" s="178">
        <f>G130/$G$156</f>
        <v/>
      </c>
      <c r="I130" s="14">
        <f>ROUND(F130*Прил.10!$D$12,2)</f>
        <v/>
      </c>
      <c r="J130" s="14">
        <f>ROUND(I130*E130,2)</f>
        <v/>
      </c>
    </row>
    <row r="131" outlineLevel="1" ht="25.5" customFormat="1" customHeight="1" s="128">
      <c r="A131" s="159" t="n">
        <v>103</v>
      </c>
      <c r="B131" s="116" t="inlineStr">
        <is>
          <t>20.1.02.14-0005</t>
        </is>
      </c>
      <c r="C131" s="117" t="inlineStr">
        <is>
          <t>Серьга СР-16-20</t>
        </is>
      </c>
      <c r="D131" s="186" t="inlineStr">
        <is>
          <t>шт</t>
        </is>
      </c>
      <c r="E131" s="116" t="n">
        <v>166.11</v>
      </c>
      <c r="F131" s="119" t="n">
        <v>21.5</v>
      </c>
      <c r="G131" s="14">
        <f>ROUND(F131*E131,2)</f>
        <v/>
      </c>
      <c r="H131" s="178">
        <f>G131/$G$156</f>
        <v/>
      </c>
      <c r="I131" s="14">
        <f>ROUND(F131*Прил.10!$D$12,2)</f>
        <v/>
      </c>
      <c r="J131" s="14">
        <f>ROUND(I131*E131,2)</f>
        <v/>
      </c>
    </row>
    <row r="132" outlineLevel="1" ht="14.25" customFormat="1" customHeight="1" s="128">
      <c r="A132" s="159" t="n">
        <v>104</v>
      </c>
      <c r="B132" s="116" t="inlineStr">
        <is>
          <t>08.4.03.02-0004</t>
        </is>
      </c>
      <c r="C132" s="117" t="inlineStr">
        <is>
          <t>Сталь арматурная, горячекатаная, гладкая, класс А-I, диаметр 12 мм</t>
        </is>
      </c>
      <c r="D132" s="186" t="inlineStr">
        <is>
          <t>т</t>
        </is>
      </c>
      <c r="E132" s="116" t="n">
        <v>0.55</v>
      </c>
      <c r="F132" s="119" t="n">
        <v>6508.75</v>
      </c>
      <c r="G132" s="14">
        <f>ROUND(F132*E132,2)</f>
        <v/>
      </c>
      <c r="H132" s="178">
        <f>G132/$G$156</f>
        <v/>
      </c>
      <c r="I132" s="14">
        <f>ROUND(F132*Прил.10!$D$12,2)</f>
        <v/>
      </c>
      <c r="J132" s="14">
        <f>ROUND(I132*E132,2)</f>
        <v/>
      </c>
    </row>
    <row r="133" outlineLevel="1" ht="38.25" customFormat="1" customHeight="1" s="128">
      <c r="A133" s="159" t="n">
        <v>105</v>
      </c>
      <c r="B133" s="116" t="inlineStr">
        <is>
          <t>01.7.15.10-0032</t>
        </is>
      </c>
      <c r="C133" s="117" t="inlineStr">
        <is>
          <t>Скобы СК-12-1А</t>
        </is>
      </c>
      <c r="D133" s="186" t="inlineStr">
        <is>
          <t>шт</t>
        </is>
      </c>
      <c r="E133" s="116" t="n">
        <v>64.44</v>
      </c>
      <c r="F133" s="119" t="n">
        <v>54.7</v>
      </c>
      <c r="G133" s="14">
        <f>ROUND(F133*E133,2)</f>
        <v/>
      </c>
      <c r="H133" s="178">
        <f>G133/$G$156</f>
        <v/>
      </c>
      <c r="I133" s="14">
        <f>ROUND(F133*Прил.10!$D$12,2)</f>
        <v/>
      </c>
      <c r="J133" s="14">
        <f>ROUND(I133*E133,2)</f>
        <v/>
      </c>
    </row>
    <row r="134" outlineLevel="1" ht="25.5" customFormat="1" customHeight="1" s="128">
      <c r="A134" s="159" t="n">
        <v>106</v>
      </c>
      <c r="B134" s="116" t="inlineStr">
        <is>
          <t>11.1.02.01-0031</t>
        </is>
      </c>
      <c r="C134" s="117" t="inlineStr">
        <is>
          <t>Лесоматериалы лиственных пород для строительства, круглые, длина 3-6,5 м, диаметр 12-24 см</t>
        </is>
      </c>
      <c r="D134" s="186" t="inlineStr">
        <is>
          <t>м3</t>
        </is>
      </c>
      <c r="E134" s="116" t="n">
        <v>7.84</v>
      </c>
      <c r="F134" s="119" t="n">
        <v>365</v>
      </c>
      <c r="G134" s="14">
        <f>ROUND(F134*E134,2)</f>
        <v/>
      </c>
      <c r="H134" s="178">
        <f>G134/$G$156</f>
        <v/>
      </c>
      <c r="I134" s="14">
        <f>ROUND(F134*Прил.10!$D$12,2)</f>
        <v/>
      </c>
      <c r="J134" s="14">
        <f>ROUND(I134*E134,2)</f>
        <v/>
      </c>
    </row>
    <row r="135" outlineLevel="1" ht="39" customFormat="1" customHeight="1" s="128">
      <c r="A135" s="159" t="n">
        <v>107</v>
      </c>
      <c r="B135" s="116" t="inlineStr">
        <is>
          <t>20.5.04.04-0052</t>
        </is>
      </c>
      <c r="C135" s="117" t="inlineStr">
        <is>
          <t>Зажим натяжной спиральный НС-15,2-02 (НС-11.3П-02 (КС-120)-ГТ)</t>
        </is>
      </c>
      <c r="D135" s="186" t="inlineStr">
        <is>
          <t>шт</t>
        </is>
      </c>
      <c r="E135" s="116" t="n">
        <v>6.11</v>
      </c>
      <c r="F135" s="119" t="n">
        <v>484.94</v>
      </c>
      <c r="G135" s="14">
        <f>ROUND(F135*E135,2)</f>
        <v/>
      </c>
      <c r="H135" s="178">
        <f>G135/$G$156</f>
        <v/>
      </c>
      <c r="I135" s="14">
        <f>ROUND(F135*Прил.10!$D$12,2)</f>
        <v/>
      </c>
      <c r="J135" s="14">
        <f>ROUND(I135*E135,2)</f>
        <v/>
      </c>
    </row>
    <row r="136" outlineLevel="1" ht="14.25" customFormat="1" customHeight="1" s="128">
      <c r="A136" s="159" t="n">
        <v>108</v>
      </c>
      <c r="B136" s="116" t="inlineStr">
        <is>
          <t>22.2.02.04-0022</t>
        </is>
      </c>
      <c r="C136" s="117" t="inlineStr">
        <is>
          <t>Звено промежуточное прямое ПР-12-6</t>
        </is>
      </c>
      <c r="D136" s="186" t="inlineStr">
        <is>
          <t>шт</t>
        </is>
      </c>
      <c r="E136" s="116" t="n">
        <v>64.44</v>
      </c>
      <c r="F136" s="119" t="n">
        <v>42.05</v>
      </c>
      <c r="G136" s="14">
        <f>ROUND(F136*E136,2)</f>
        <v/>
      </c>
      <c r="H136" s="178">
        <f>G136/$G$156</f>
        <v/>
      </c>
      <c r="I136" s="14">
        <f>ROUND(F136*Прил.10!$D$12,2)</f>
        <v/>
      </c>
      <c r="J136" s="14">
        <f>ROUND(I136*E136,2)</f>
        <v/>
      </c>
    </row>
    <row r="137" outlineLevel="1" ht="25.5" customFormat="1" customHeight="1" s="128">
      <c r="A137" s="159" t="n">
        <v>109</v>
      </c>
      <c r="B137" s="116" t="inlineStr">
        <is>
          <t>22.2.02.04-0001</t>
        </is>
      </c>
      <c r="C137" s="117" t="inlineStr">
        <is>
          <t>Звено промежуточное вывернутое ПРВ-7-1</t>
        </is>
      </c>
      <c r="D137" s="186" t="inlineStr">
        <is>
          <t>шт</t>
        </is>
      </c>
      <c r="E137" s="116" t="n">
        <v>83.33</v>
      </c>
      <c r="F137" s="119" t="n">
        <v>31.44</v>
      </c>
      <c r="G137" s="14">
        <f>ROUND(F137*E137,2)</f>
        <v/>
      </c>
      <c r="H137" s="178">
        <f>G137/$G$156</f>
        <v/>
      </c>
      <c r="I137" s="14">
        <f>ROUND(F137*Прил.10!$D$12,2)</f>
        <v/>
      </c>
      <c r="J137" s="14">
        <f>ROUND(I137*E137,2)</f>
        <v/>
      </c>
    </row>
    <row r="138" outlineLevel="1" ht="14.25" customFormat="1" customHeight="1" s="128">
      <c r="A138" s="159" t="n">
        <v>110</v>
      </c>
      <c r="B138" s="116" t="inlineStr">
        <is>
          <t>22.2.02.04-0049</t>
        </is>
      </c>
      <c r="C138" s="117" t="inlineStr">
        <is>
          <t>Звено промежуточное трехлапчатое ПРТ-16-1</t>
        </is>
      </c>
      <c r="D138" s="186" t="inlineStr">
        <is>
          <t>шт</t>
        </is>
      </c>
      <c r="E138" s="116" t="n">
        <v>22.78</v>
      </c>
      <c r="F138" s="119" t="n">
        <v>80.59999999999999</v>
      </c>
      <c r="G138" s="14">
        <f>ROUND(F138*E138,2)</f>
        <v/>
      </c>
      <c r="H138" s="178">
        <f>G138/$G$156</f>
        <v/>
      </c>
      <c r="I138" s="14">
        <f>ROUND(F138*Прил.10!$D$12,2)</f>
        <v/>
      </c>
      <c r="J138" s="14">
        <f>ROUND(I138*E138,2)</f>
        <v/>
      </c>
    </row>
    <row r="139" outlineLevel="1" ht="38.25" customFormat="1" customHeight="1" s="128">
      <c r="A139" s="159" t="n">
        <v>111</v>
      </c>
      <c r="B139" s="116" t="inlineStr">
        <is>
          <t>20.1.02.13-0003</t>
        </is>
      </c>
      <c r="C139" s="117" t="inlineStr">
        <is>
          <t>Рог разрядный: верхний РРВ-135</t>
        </is>
      </c>
      <c r="D139" s="186" t="inlineStr">
        <is>
          <t>шт</t>
        </is>
      </c>
      <c r="E139" s="116" t="n">
        <v>28.33</v>
      </c>
      <c r="F139" s="119" t="n">
        <v>54.24</v>
      </c>
      <c r="G139" s="14">
        <f>ROUND(F139*E139,2)</f>
        <v/>
      </c>
      <c r="H139" s="178">
        <f>G139/$G$156</f>
        <v/>
      </c>
      <c r="I139" s="14">
        <f>ROUND(F139*Прил.10!$D$12,2)</f>
        <v/>
      </c>
      <c r="J139" s="14">
        <f>ROUND(I139*E139,2)</f>
        <v/>
      </c>
    </row>
    <row r="140" outlineLevel="1" ht="38.25" customFormat="1" customHeight="1" s="128">
      <c r="A140" s="159" t="n">
        <v>112</v>
      </c>
      <c r="B140" s="116" t="inlineStr">
        <is>
          <t>20.5.04.08-0001</t>
        </is>
      </c>
      <c r="C140" s="117" t="inlineStr">
        <is>
          <t>Зажим соединительный шлейфовый спиральный ШС-11,4-01</t>
        </is>
      </c>
      <c r="D140" s="186" t="inlineStr">
        <is>
          <t>шт</t>
        </is>
      </c>
      <c r="E140" s="116" t="n">
        <v>15</v>
      </c>
      <c r="F140" s="119" t="n">
        <v>94.58</v>
      </c>
      <c r="G140" s="14">
        <f>ROUND(F140*E140,2)</f>
        <v/>
      </c>
      <c r="H140" s="178">
        <f>G140/$G$156</f>
        <v/>
      </c>
      <c r="I140" s="14">
        <f>ROUND(F140*Прил.10!$D$12,2)</f>
        <v/>
      </c>
      <c r="J140" s="14">
        <f>ROUND(I140*E140,2)</f>
        <v/>
      </c>
    </row>
    <row r="141" outlineLevel="1" ht="25.5" customFormat="1" customHeight="1" s="128">
      <c r="A141" s="159" t="n">
        <v>113</v>
      </c>
      <c r="B141" s="116" t="inlineStr">
        <is>
          <t>20.1.02.13-0031</t>
        </is>
      </c>
      <c r="C141" s="117" t="inlineStr">
        <is>
          <t>Рог разрядный: РР-357</t>
        </is>
      </c>
      <c r="D141" s="186" t="inlineStr">
        <is>
          <t>шт</t>
        </is>
      </c>
      <c r="E141" s="116" t="n">
        <v>28.33</v>
      </c>
      <c r="F141" s="119" t="n">
        <v>46.41</v>
      </c>
      <c r="G141" s="14">
        <f>ROUND(F141*E141,2)</f>
        <v/>
      </c>
      <c r="H141" s="178">
        <f>G141/$G$156</f>
        <v/>
      </c>
      <c r="I141" s="14">
        <f>ROUND(F141*Прил.10!$D$12,2)</f>
        <v/>
      </c>
      <c r="J141" s="14">
        <f>ROUND(I141*E141,2)</f>
        <v/>
      </c>
    </row>
    <row r="142" outlineLevel="1" ht="25.5" customFormat="1" customHeight="1" s="128">
      <c r="A142" s="159" t="n">
        <v>114</v>
      </c>
      <c r="B142" s="116" t="inlineStr">
        <is>
          <t>22.2.02.04-0036</t>
        </is>
      </c>
      <c r="C142" s="117" t="inlineStr">
        <is>
          <t>Звено промежуточное регулируемое ПРР-12-1</t>
        </is>
      </c>
      <c r="D142" s="186" t="inlineStr">
        <is>
          <t>шт</t>
        </is>
      </c>
      <c r="E142" s="116" t="n">
        <v>6.11</v>
      </c>
      <c r="F142" s="119" t="n">
        <v>193.24</v>
      </c>
      <c r="G142" s="14">
        <f>ROUND(F142*E142,2)</f>
        <v/>
      </c>
      <c r="H142" s="178">
        <f>G142/$G$156</f>
        <v/>
      </c>
      <c r="I142" s="14">
        <f>ROUND(F142*Прил.10!$D$12,2)</f>
        <v/>
      </c>
      <c r="J142" s="14">
        <f>ROUND(I142*E142,2)</f>
        <v/>
      </c>
    </row>
    <row r="143" outlineLevel="1" ht="14.25" customFormat="1" customHeight="1" s="128">
      <c r="A143" s="159" t="n">
        <v>115</v>
      </c>
      <c r="B143" s="116" t="inlineStr">
        <is>
          <t>20.1.02.21-0035</t>
        </is>
      </c>
      <c r="C143" s="117" t="inlineStr">
        <is>
          <t>Узел крепления КГН-7-5</t>
        </is>
      </c>
      <c r="D143" s="186" t="inlineStr">
        <is>
          <t>шт</t>
        </is>
      </c>
      <c r="E143" s="116" t="n">
        <v>7.22</v>
      </c>
      <c r="F143" s="119" t="n">
        <v>122.68</v>
      </c>
      <c r="G143" s="14">
        <f>ROUND(F143*E143,2)</f>
        <v/>
      </c>
      <c r="H143" s="178">
        <f>G143/$G$156</f>
        <v/>
      </c>
      <c r="I143" s="14">
        <f>ROUND(F143*Прил.10!$D$12,2)</f>
        <v/>
      </c>
      <c r="J143" s="14">
        <f>ROUND(I143*E143,2)</f>
        <v/>
      </c>
    </row>
    <row r="144" outlineLevel="1" ht="14.25" customFormat="1" customHeight="1" s="128">
      <c r="A144" s="159" t="n">
        <v>116</v>
      </c>
      <c r="B144" s="116" t="inlineStr">
        <is>
          <t>20.1.02.14-1006</t>
        </is>
      </c>
      <c r="C144" s="117" t="inlineStr">
        <is>
          <t>Серьга СР-12-16</t>
        </is>
      </c>
      <c r="D144" s="186" t="inlineStr">
        <is>
          <t>шт</t>
        </is>
      </c>
      <c r="E144" s="116" t="n">
        <v>64.44</v>
      </c>
      <c r="F144" s="119" t="n">
        <v>13.29</v>
      </c>
      <c r="G144" s="14">
        <f>ROUND(F144*E144,2)</f>
        <v/>
      </c>
      <c r="H144" s="178">
        <f>G144/$G$156</f>
        <v/>
      </c>
      <c r="I144" s="14">
        <f>ROUND(F144*Прил.10!$D$12,2)</f>
        <v/>
      </c>
      <c r="J144" s="14">
        <f>ROUND(I144*E144,2)</f>
        <v/>
      </c>
    </row>
    <row r="145" outlineLevel="1" ht="25.5" customFormat="1" customHeight="1" s="128">
      <c r="A145" s="159" t="n">
        <v>117</v>
      </c>
      <c r="B145" s="116" t="inlineStr">
        <is>
          <t>20.1.02.22-0006</t>
        </is>
      </c>
      <c r="C145" s="117" t="inlineStr">
        <is>
          <t>Ушко однолапчатое У1-12-16</t>
        </is>
      </c>
      <c r="D145" s="186" t="inlineStr">
        <is>
          <t>шт</t>
        </is>
      </c>
      <c r="E145" s="116" t="n">
        <v>6.11</v>
      </c>
      <c r="F145" s="119" t="n">
        <v>137.86</v>
      </c>
      <c r="G145" s="14">
        <f>ROUND(F145*E145,2)</f>
        <v/>
      </c>
      <c r="H145" s="178">
        <f>G145/$G$156</f>
        <v/>
      </c>
      <c r="I145" s="14">
        <f>ROUND(F145*Прил.10!$D$12,2)</f>
        <v/>
      </c>
      <c r="J145" s="14">
        <f>ROUND(I145*E145,2)</f>
        <v/>
      </c>
    </row>
    <row r="146" outlineLevel="1" ht="25.5" customFormat="1" customHeight="1" s="128">
      <c r="A146" s="159" t="n">
        <v>118</v>
      </c>
      <c r="B146" s="116" t="inlineStr">
        <is>
          <t>20.5.04.07-0026</t>
        </is>
      </c>
      <c r="C146" s="117" t="inlineStr">
        <is>
          <t>Зажим соединительный спиральный СС-9,1-01</t>
        </is>
      </c>
      <c r="D146" s="186" t="inlineStr">
        <is>
          <t>шт</t>
        </is>
      </c>
      <c r="E146" s="116" t="n">
        <v>2.22</v>
      </c>
      <c r="F146" s="119" t="n">
        <v>343.49</v>
      </c>
      <c r="G146" s="14">
        <f>ROUND(F146*E146,2)</f>
        <v/>
      </c>
      <c r="H146" s="178">
        <f>G146/$G$156</f>
        <v/>
      </c>
      <c r="I146" s="14">
        <f>ROUND(F146*Прил.10!$D$12,2)</f>
        <v/>
      </c>
      <c r="J146" s="14">
        <f>ROUND(I146*E146,2)</f>
        <v/>
      </c>
    </row>
    <row r="147" outlineLevel="1" ht="14.25" customFormat="1" customHeight="1" s="128">
      <c r="A147" s="159" t="n">
        <v>119</v>
      </c>
      <c r="B147" s="116" t="inlineStr">
        <is>
          <t>01.7.15.03-0042</t>
        </is>
      </c>
      <c r="C147" s="117" t="inlineStr">
        <is>
          <t>Болты с гайками и шайбами строительные</t>
        </is>
      </c>
      <c r="D147" s="186" t="inlineStr">
        <is>
          <t>кг</t>
        </is>
      </c>
      <c r="E147" s="116" t="n">
        <v>78.67</v>
      </c>
      <c r="F147" s="119" t="n">
        <v>9.039999999999999</v>
      </c>
      <c r="G147" s="14">
        <f>ROUND(F147*E147,2)</f>
        <v/>
      </c>
      <c r="H147" s="178">
        <f>G147/$G$156</f>
        <v/>
      </c>
      <c r="I147" s="14">
        <f>ROUND(F147*Прил.10!$D$12,2)</f>
        <v/>
      </c>
      <c r="J147" s="14">
        <f>ROUND(I147*E147,2)</f>
        <v/>
      </c>
    </row>
    <row r="148" outlineLevel="1" ht="14.25" customFormat="1" customHeight="1" s="128">
      <c r="A148" s="159" t="n">
        <v>120</v>
      </c>
      <c r="B148" s="116" t="inlineStr">
        <is>
          <t>08.3.03.04-0012</t>
        </is>
      </c>
      <c r="C148" s="117" t="inlineStr">
        <is>
          <t>Проволока светлая, диаметр 1,1 мм</t>
        </is>
      </c>
      <c r="D148" s="186" t="inlineStr">
        <is>
          <t>т</t>
        </is>
      </c>
      <c r="E148" s="116" t="n">
        <v>0.04</v>
      </c>
      <c r="F148" s="119" t="n">
        <v>10200</v>
      </c>
      <c r="G148" s="14">
        <f>ROUND(F148*E148,2)</f>
        <v/>
      </c>
      <c r="H148" s="178">
        <f>G148/$G$156</f>
        <v/>
      </c>
      <c r="I148" s="14">
        <f>ROUND(F148*Прил.10!$D$12,2)</f>
        <v/>
      </c>
      <c r="J148" s="14">
        <f>ROUND(I148*E148,2)</f>
        <v/>
      </c>
    </row>
    <row r="149" outlineLevel="1" ht="14.25" customFormat="1" customHeight="1" s="128">
      <c r="A149" s="159" t="n">
        <v>121</v>
      </c>
      <c r="B149" s="116" t="inlineStr">
        <is>
          <t>22.2.02.04-0045</t>
        </is>
      </c>
      <c r="C149" s="117" t="inlineStr">
        <is>
          <t>Звено промежуточное трехлапчатое ПРТ-12-1</t>
        </is>
      </c>
      <c r="D149" s="186" t="inlineStr">
        <is>
          <t>шт</t>
        </is>
      </c>
      <c r="E149" s="116" t="n">
        <v>6.11</v>
      </c>
      <c r="F149" s="119" t="n">
        <v>65.58</v>
      </c>
      <c r="G149" s="14">
        <f>ROUND(F149*E149,2)</f>
        <v/>
      </c>
      <c r="H149" s="178">
        <f>G149/$G$156</f>
        <v/>
      </c>
      <c r="I149" s="14">
        <f>ROUND(F149*Прил.10!$D$12,2)</f>
        <v/>
      </c>
      <c r="J149" s="14">
        <f>ROUND(I149*E149,2)</f>
        <v/>
      </c>
    </row>
    <row r="150" outlineLevel="1" ht="14.25" customFormat="1" customHeight="1" s="128">
      <c r="A150" s="159" t="n">
        <v>122</v>
      </c>
      <c r="B150" s="116" t="inlineStr">
        <is>
          <t>22.2.02.04-0017</t>
        </is>
      </c>
      <c r="C150" s="117" t="inlineStr">
        <is>
          <t>Звено промежуточное прямое двойное 2ПР-7-1</t>
        </is>
      </c>
      <c r="D150" s="186" t="inlineStr">
        <is>
          <t>шт</t>
        </is>
      </c>
      <c r="E150" s="116" t="n">
        <v>7.22</v>
      </c>
      <c r="F150" s="119" t="n">
        <v>41.1</v>
      </c>
      <c r="G150" s="14">
        <f>ROUND(F150*E150,2)</f>
        <v/>
      </c>
      <c r="H150" s="178">
        <f>G150/$G$156</f>
        <v/>
      </c>
      <c r="I150" s="14">
        <f>ROUND(F150*Прил.10!$D$12,2)</f>
        <v/>
      </c>
      <c r="J150" s="14">
        <f>ROUND(I150*E150,2)</f>
        <v/>
      </c>
    </row>
    <row r="151" outlineLevel="1" ht="14.25" customFormat="1" customHeight="1" s="128">
      <c r="A151" s="159" t="n">
        <v>123</v>
      </c>
      <c r="B151" s="116" t="inlineStr">
        <is>
          <t>22.2.02.04-0043</t>
        </is>
      </c>
      <c r="C151" s="117" t="inlineStr">
        <is>
          <t>Звено промежуточное трехлапчатое ПРТ-7/16-2</t>
        </is>
      </c>
      <c r="D151" s="186" t="inlineStr">
        <is>
          <t>шт</t>
        </is>
      </c>
      <c r="E151" s="116" t="n">
        <v>7.22</v>
      </c>
      <c r="F151" s="119" t="n">
        <v>40.06</v>
      </c>
      <c r="G151" s="14">
        <f>ROUND(F151*E151,2)</f>
        <v/>
      </c>
      <c r="H151" s="178">
        <f>G151/$G$156</f>
        <v/>
      </c>
      <c r="I151" s="14">
        <f>ROUND(F151*Прил.10!$D$12,2)</f>
        <v/>
      </c>
      <c r="J151" s="14">
        <f>ROUND(I151*E151,2)</f>
        <v/>
      </c>
    </row>
    <row r="152" outlineLevel="1" ht="25.5" customFormat="1" customHeight="1" s="128">
      <c r="A152" s="159" t="n">
        <v>124</v>
      </c>
      <c r="B152" s="116" t="inlineStr">
        <is>
          <t>20.1.02.22-0005</t>
        </is>
      </c>
      <c r="C152" s="117" t="inlineStr">
        <is>
          <t>Ушко: однолапчатое У1-7-16</t>
        </is>
      </c>
      <c r="D152" s="186" t="inlineStr">
        <is>
          <t>шт</t>
        </is>
      </c>
      <c r="E152" s="116" t="n">
        <v>7.22</v>
      </c>
      <c r="F152" s="119" t="n">
        <v>39.32</v>
      </c>
      <c r="G152" s="14">
        <f>ROUND(F152*E152,2)</f>
        <v/>
      </c>
      <c r="H152" s="178">
        <f>G152/$G$156</f>
        <v/>
      </c>
      <c r="I152" s="14">
        <f>ROUND(F152*Прил.10!$D$12,2)</f>
        <v/>
      </c>
      <c r="J152" s="14">
        <f>ROUND(I152*E152,2)</f>
        <v/>
      </c>
    </row>
    <row r="153" outlineLevel="1" ht="14.25" customFormat="1" customHeight="1" s="128">
      <c r="A153" s="159" t="n">
        <v>125</v>
      </c>
      <c r="B153" s="116" t="inlineStr">
        <is>
          <t>01.7.03.01-0001</t>
        </is>
      </c>
      <c r="C153" s="117" t="inlineStr">
        <is>
          <t>Вода</t>
        </is>
      </c>
      <c r="D153" s="186" t="inlineStr">
        <is>
          <t>м3</t>
        </is>
      </c>
      <c r="E153" s="116" t="n">
        <v>54.51</v>
      </c>
      <c r="F153" s="119" t="n">
        <v>2.44</v>
      </c>
      <c r="G153" s="14">
        <f>ROUND(F153*E153,2)</f>
        <v/>
      </c>
      <c r="H153" s="178">
        <f>G153/$G$156</f>
        <v/>
      </c>
      <c r="I153" s="14">
        <f>ROUND(F153*Прил.10!$D$12,2)</f>
        <v/>
      </c>
      <c r="J153" s="14">
        <f>ROUND(I153*E153,2)</f>
        <v/>
      </c>
    </row>
    <row r="154" outlineLevel="1" ht="25.5" customFormat="1" customHeight="1" s="128">
      <c r="A154" s="159" t="n">
        <v>126</v>
      </c>
      <c r="B154" s="116" t="inlineStr">
        <is>
          <t>20.1.02.14-1014</t>
        </is>
      </c>
      <c r="C154" s="117" t="inlineStr">
        <is>
          <t>Серьга СР-7-16</t>
        </is>
      </c>
      <c r="D154" s="186" t="inlineStr">
        <is>
          <t>шт</t>
        </is>
      </c>
      <c r="E154" s="116" t="n">
        <v>7.22</v>
      </c>
      <c r="F154" s="119" t="n">
        <v>9.359999999999999</v>
      </c>
      <c r="G154" s="14">
        <f>ROUND(F154*E154,2)</f>
        <v/>
      </c>
      <c r="H154" s="178">
        <f>G154/$G$156</f>
        <v/>
      </c>
      <c r="I154" s="14">
        <f>ROUND(F154*Прил.10!$D$12,2)</f>
        <v/>
      </c>
      <c r="J154" s="14">
        <f>ROUND(I154*E154,2)</f>
        <v/>
      </c>
    </row>
    <row r="155" ht="13.8" customFormat="1" customHeight="1" s="128">
      <c r="A155" s="159" t="n"/>
      <c r="B155" s="159" t="n"/>
      <c r="C155" s="158" t="inlineStr">
        <is>
          <t>Итого прочие материалы</t>
        </is>
      </c>
      <c r="D155" s="159" t="n"/>
      <c r="E155" s="160" t="n"/>
      <c r="F155" s="161" t="n"/>
      <c r="G155" s="14">
        <f>SUM(G83:G154)</f>
        <v/>
      </c>
      <c r="H155" s="178">
        <f>G155/G156</f>
        <v/>
      </c>
      <c r="I155" s="14" t="n"/>
      <c r="J155" s="14">
        <f>SUM(J83:J154)</f>
        <v/>
      </c>
      <c r="L155" s="96" t="n"/>
    </row>
    <row r="156" ht="14.25" customFormat="1" customHeight="1" s="128">
      <c r="A156" s="159" t="n"/>
      <c r="B156" s="159" t="n"/>
      <c r="C156" s="177" t="inlineStr">
        <is>
          <t>Итого по разделу «Материалы»</t>
        </is>
      </c>
      <c r="D156" s="159" t="n"/>
      <c r="E156" s="160" t="n"/>
      <c r="F156" s="161" t="n"/>
      <c r="G156" s="14">
        <f>G82+G155</f>
        <v/>
      </c>
      <c r="H156" s="178" t="n">
        <v>1</v>
      </c>
      <c r="I156" s="161" t="n"/>
      <c r="J156" s="14">
        <f>J82+J155</f>
        <v/>
      </c>
      <c r="K156" s="48" t="n"/>
    </row>
    <row r="157" ht="14.25" customFormat="1" customHeight="1" s="128">
      <c r="A157" s="159" t="n"/>
      <c r="B157" s="159" t="n"/>
      <c r="C157" s="158" t="inlineStr">
        <is>
          <t>ИТОГО ПО РМ</t>
        </is>
      </c>
      <c r="D157" s="159" t="n"/>
      <c r="E157" s="160" t="n"/>
      <c r="F157" s="161" t="n"/>
      <c r="G157" s="14">
        <f>G14+G52+G156</f>
        <v/>
      </c>
      <c r="H157" s="178" t="n"/>
      <c r="I157" s="161" t="n"/>
      <c r="J157" s="14">
        <f>J14+J52+J156</f>
        <v/>
      </c>
    </row>
    <row r="158" ht="14.25" customFormat="1" customHeight="1" s="128">
      <c r="A158" s="159" t="n"/>
      <c r="B158" s="159" t="n"/>
      <c r="C158" s="158" t="inlineStr">
        <is>
          <t>Накладные расходы</t>
        </is>
      </c>
      <c r="D158" s="159" t="inlineStr">
        <is>
          <t>%</t>
        </is>
      </c>
      <c r="E158" s="58" t="n">
        <v>1.03</v>
      </c>
      <c r="F158" s="161" t="n"/>
      <c r="G158" s="140">
        <f>E158*($G$14+$G$16)</f>
        <v/>
      </c>
      <c r="H158" s="178" t="n"/>
      <c r="I158" s="161" t="n"/>
      <c r="J158" s="14">
        <f>ROUND(E158*(J14+J16),2)</f>
        <v/>
      </c>
      <c r="K158" s="59" t="n"/>
    </row>
    <row r="159" ht="14.25" customFormat="1" customHeight="1" s="128">
      <c r="A159" s="159" t="n"/>
      <c r="B159" s="159" t="n"/>
      <c r="C159" s="158" t="inlineStr">
        <is>
          <t>Сметная прибыль</t>
        </is>
      </c>
      <c r="D159" s="159" t="inlineStr">
        <is>
          <t>%</t>
        </is>
      </c>
      <c r="E159" s="58" t="n">
        <v>0.57</v>
      </c>
      <c r="F159" s="161" t="n"/>
      <c r="G159" s="140">
        <f>E159*($G$14+$G$16)</f>
        <v/>
      </c>
      <c r="H159" s="178" t="n"/>
      <c r="I159" s="161" t="n"/>
      <c r="J159" s="14">
        <f>ROUND(E159*(J14+J16),2)</f>
        <v/>
      </c>
      <c r="K159" s="59" t="n"/>
    </row>
    <row r="160" ht="14.25" customFormat="1" customHeight="1" s="128">
      <c r="A160" s="159" t="n"/>
      <c r="B160" s="159" t="n"/>
      <c r="C160" s="158" t="inlineStr">
        <is>
          <t>Итого СМР (с НР и СП)</t>
        </is>
      </c>
      <c r="D160" s="159" t="n"/>
      <c r="E160" s="160" t="n"/>
      <c r="F160" s="161" t="n"/>
      <c r="G160" s="14">
        <f>G14+G52+G156+G158+G159</f>
        <v/>
      </c>
      <c r="H160" s="178" t="n"/>
      <c r="I160" s="161" t="n"/>
      <c r="J160" s="14">
        <f>J14+J52+J156+J158+J159</f>
        <v/>
      </c>
      <c r="L160" s="60" t="n"/>
    </row>
    <row r="161" ht="14.25" customFormat="1" customHeight="1" s="128">
      <c r="A161" s="159" t="n"/>
      <c r="B161" s="159" t="n"/>
      <c r="C161" s="158" t="inlineStr">
        <is>
          <t>ВСЕГО СМР + ОБОРУДОВАНИЕ</t>
        </is>
      </c>
      <c r="D161" s="159" t="n"/>
      <c r="E161" s="160" t="n"/>
      <c r="F161" s="161" t="n"/>
      <c r="G161" s="14">
        <f>G160+G57</f>
        <v/>
      </c>
      <c r="H161" s="178" t="n"/>
      <c r="I161" s="161" t="n"/>
      <c r="J161" s="14">
        <f>J160+J57</f>
        <v/>
      </c>
      <c r="L161" s="59" t="n"/>
    </row>
    <row r="162" ht="14.25" customFormat="1" customHeight="1" s="128">
      <c r="A162" s="159" t="n"/>
      <c r="B162" s="159" t="n"/>
      <c r="C162" s="158" t="inlineStr">
        <is>
          <t>ИТОГО ПОКАЗАТЕЛЬ НА ЕД. ИЗМ.</t>
        </is>
      </c>
      <c r="D162" s="159" t="inlineStr">
        <is>
          <t>1 тн опор</t>
        </is>
      </c>
      <c r="E162" s="115" t="n">
        <v>879.34</v>
      </c>
      <c r="F162" s="161" t="n"/>
      <c r="G162" s="14">
        <f>G161/E162</f>
        <v/>
      </c>
      <c r="H162" s="178" t="n"/>
      <c r="I162" s="161" t="n"/>
      <c r="J162" s="14">
        <f>J161/E162</f>
        <v/>
      </c>
      <c r="L162" s="65" t="n"/>
    </row>
    <row r="164" ht="14.25" customFormat="1" customHeight="1" s="128">
      <c r="A164" s="129" t="n"/>
    </row>
    <row r="165" ht="14.25" customFormat="1" customHeight="1" s="128">
      <c r="A165" s="127" t="inlineStr">
        <is>
          <t>Составил ______________________    Е. М. Добровольская</t>
        </is>
      </c>
    </row>
    <row r="166" ht="14.25" customFormat="1" customHeight="1" s="128">
      <c r="A166" s="130" t="inlineStr">
        <is>
          <t xml:space="preserve">                         (подпись, инициалы, фамилия)</t>
        </is>
      </c>
    </row>
    <row r="167" ht="14.25" customFormat="1" customHeight="1" s="128">
      <c r="A167" s="127" t="n"/>
    </row>
    <row r="168" ht="14.25" customFormat="1" customHeight="1" s="128">
      <c r="A168" s="127" t="inlineStr">
        <is>
          <t>Проверил ______________________        А.В. Костянецкая</t>
        </is>
      </c>
    </row>
    <row r="169" ht="14.25" customFormat="1" customHeight="1" s="128">
      <c r="A169" s="13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53:J53"/>
    <mergeCell ref="C9:C10"/>
    <mergeCell ref="E9:E10"/>
    <mergeCell ref="A7:H7"/>
    <mergeCell ref="B9:B10"/>
    <mergeCell ref="D9:D10"/>
    <mergeCell ref="B18:H18"/>
    <mergeCell ref="B12:H12"/>
    <mergeCell ref="D6:J6"/>
    <mergeCell ref="B60:H60"/>
    <mergeCell ref="F9:G9"/>
    <mergeCell ref="B54:J54"/>
    <mergeCell ref="A4:H4"/>
    <mergeCell ref="B59:J59"/>
    <mergeCell ref="B17:H17"/>
    <mergeCell ref="A9:A10"/>
    <mergeCell ref="I9:J9"/>
  </mergeCells>
  <pageMargins left="0.6299212598425197" right="0.2362204724409449" top="0.7480314960629921" bottom="0.7480314960629921" header="0.3149606299212598" footer="0.3149606299212598"/>
  <pageSetup orientation="landscape" paperSize="9" scale="86" fitToHeight="0" cellComments="atEnd"/>
  <rowBreaks count="1" manualBreakCount="1">
    <brk id="161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C17" sqref="C17"/>
    </sheetView>
  </sheetViews>
  <sheetFormatPr baseColWidth="8" defaultRowHeight="14.4"/>
  <cols>
    <col width="5.6640625" customWidth="1" style="121" min="1" max="1"/>
    <col width="14.88671875" customWidth="1" style="121" min="2" max="2"/>
    <col width="39.109375" customWidth="1" style="121" min="3" max="3"/>
    <col width="8.33203125" customWidth="1" style="121" min="4" max="4"/>
    <col width="13.5546875" customWidth="1" style="121" min="5" max="5"/>
    <col width="12.44140625" customWidth="1" style="121" min="6" max="6"/>
    <col width="14.109375" customWidth="1" style="121" min="7" max="7"/>
  </cols>
  <sheetData>
    <row r="1">
      <c r="A1" s="185" t="inlineStr">
        <is>
          <t>Приложение №6</t>
        </is>
      </c>
    </row>
    <row r="2">
      <c r="A2" s="185" t="n"/>
      <c r="B2" s="185" t="n"/>
      <c r="C2" s="185" t="n"/>
      <c r="D2" s="185" t="n"/>
      <c r="E2" s="185" t="n"/>
      <c r="F2" s="185" t="n"/>
      <c r="G2" s="185" t="n"/>
    </row>
    <row r="3">
      <c r="A3" s="185" t="n"/>
      <c r="B3" s="185" t="n"/>
      <c r="C3" s="185" t="n"/>
      <c r="D3" s="185" t="n"/>
      <c r="E3" s="185" t="n"/>
      <c r="F3" s="185" t="n"/>
      <c r="G3" s="185" t="n"/>
    </row>
    <row r="4">
      <c r="A4" s="185" t="n"/>
      <c r="B4" s="185" t="n"/>
      <c r="C4" s="185" t="n"/>
      <c r="D4" s="185" t="n"/>
      <c r="E4" s="185" t="n"/>
      <c r="F4" s="185" t="n"/>
      <c r="G4" s="185" t="n"/>
    </row>
    <row r="5">
      <c r="A5" s="155" t="inlineStr">
        <is>
          <t>Расчет стоимости оборудования</t>
        </is>
      </c>
    </row>
    <row r="6" ht="64.5" customHeight="1" s="121">
      <c r="A6" s="187">
        <f>'Прил.1 Сравнит табл'!B7</f>
        <v/>
      </c>
    </row>
    <row r="7">
      <c r="A7" s="127" t="n"/>
      <c r="B7" s="127" t="n"/>
      <c r="C7" s="127" t="n"/>
      <c r="D7" s="127" t="n"/>
      <c r="E7" s="127" t="n"/>
      <c r="F7" s="127" t="n"/>
      <c r="G7" s="127" t="n"/>
    </row>
    <row r="8" ht="30" customHeight="1" s="121">
      <c r="A8" s="186" t="inlineStr">
        <is>
          <t>№ пп.</t>
        </is>
      </c>
      <c r="B8" s="186" t="inlineStr">
        <is>
          <t>Код ресурса</t>
        </is>
      </c>
      <c r="C8" s="186" t="inlineStr">
        <is>
          <t>Наименование</t>
        </is>
      </c>
      <c r="D8" s="186" t="inlineStr">
        <is>
          <t>Ед. изм.</t>
        </is>
      </c>
      <c r="E8" s="159" t="inlineStr">
        <is>
          <t>Кол-во единиц по проектным данным</t>
        </is>
      </c>
      <c r="F8" s="186" t="inlineStr">
        <is>
          <t>Сметная стоимость в ценах на 01.01.2000 (руб.)</t>
        </is>
      </c>
      <c r="G8" s="199" t="n"/>
    </row>
    <row r="9">
      <c r="A9" s="201" t="n"/>
      <c r="B9" s="201" t="n"/>
      <c r="C9" s="201" t="n"/>
      <c r="D9" s="201" t="n"/>
      <c r="E9" s="201" t="n"/>
      <c r="F9" s="159" t="inlineStr">
        <is>
          <t>на ед. изм.</t>
        </is>
      </c>
      <c r="G9" s="159" t="inlineStr">
        <is>
          <t>общая</t>
        </is>
      </c>
    </row>
    <row r="10">
      <c r="A10" s="159" t="n">
        <v>1</v>
      </c>
      <c r="B10" s="159" t="n">
        <v>2</v>
      </c>
      <c r="C10" s="159" t="n">
        <v>3</v>
      </c>
      <c r="D10" s="159" t="n">
        <v>4</v>
      </c>
      <c r="E10" s="159" t="n">
        <v>5</v>
      </c>
      <c r="F10" s="159" t="n">
        <v>6</v>
      </c>
      <c r="G10" s="159" t="n">
        <v>7</v>
      </c>
    </row>
    <row r="11" ht="15" customHeight="1" s="121">
      <c r="A11" s="113" t="n"/>
      <c r="B11" s="158" t="inlineStr">
        <is>
          <t>ИНЖЕНЕРНОЕ ОБОРУДОВАНИЕ</t>
        </is>
      </c>
      <c r="C11" s="198" t="n"/>
      <c r="D11" s="198" t="n"/>
      <c r="E11" s="198" t="n"/>
      <c r="F11" s="198" t="n"/>
      <c r="G11" s="199" t="n"/>
    </row>
    <row r="12" ht="27" customHeight="1" s="121">
      <c r="A12" s="159" t="n"/>
      <c r="B12" s="177" t="n"/>
      <c r="C12" s="158" t="inlineStr">
        <is>
          <t>ИТОГО ИНЖЕНЕРНОЕ ОБОРУДОВАНИЕ</t>
        </is>
      </c>
      <c r="D12" s="177" t="n"/>
      <c r="E12" s="8" t="n"/>
      <c r="F12" s="161" t="n"/>
      <c r="G12" s="161" t="n">
        <v>0</v>
      </c>
    </row>
    <row r="13">
      <c r="A13" s="159" t="n"/>
      <c r="B13" s="158" t="inlineStr">
        <is>
          <t>ТЕХНОЛОГИЧЕСКОЕ ОБОРУДОВАНИЕ</t>
        </is>
      </c>
      <c r="C13" s="198" t="n"/>
      <c r="D13" s="198" t="n"/>
      <c r="E13" s="198" t="n"/>
      <c r="F13" s="198" t="n"/>
      <c r="G13" s="199" t="n"/>
    </row>
    <row r="14" ht="25.5" customHeight="1" s="121">
      <c r="A14" s="159" t="n"/>
      <c r="B14" s="12" t="n"/>
      <c r="C14" s="12" t="inlineStr">
        <is>
          <t>ИТОГО ТЕХНОЛОГИЧЕСКОЕ ОБОРУДОВАНИЕ</t>
        </is>
      </c>
      <c r="D14" s="12" t="n"/>
      <c r="E14" s="13" t="n"/>
      <c r="F14" s="161" t="n"/>
      <c r="G14" s="14" t="n">
        <v>0</v>
      </c>
    </row>
    <row r="15" ht="19.5" customHeight="1" s="121">
      <c r="A15" s="159" t="n"/>
      <c r="B15" s="158" t="n"/>
      <c r="C15" s="158" t="inlineStr">
        <is>
          <t>Всего по разделу «Оборудование»</t>
        </is>
      </c>
      <c r="D15" s="158" t="n"/>
      <c r="E15" s="184" t="n"/>
      <c r="F15" s="161" t="n"/>
      <c r="G15" s="14">
        <f>G12+G14</f>
        <v/>
      </c>
    </row>
    <row r="16">
      <c r="A16" s="129" t="n"/>
      <c r="B16" s="11" t="n"/>
      <c r="C16" s="129" t="n"/>
      <c r="D16" s="129" t="n"/>
      <c r="E16" s="129" t="n"/>
      <c r="F16" s="129" t="n"/>
      <c r="G16" s="129" t="n"/>
    </row>
    <row r="17">
      <c r="A17" s="127" t="inlineStr">
        <is>
          <t>Составил ______________________   Е. М. Добровольская</t>
        </is>
      </c>
      <c r="B17" s="128" t="n"/>
      <c r="C17" s="128" t="n"/>
      <c r="D17" s="129" t="n"/>
      <c r="E17" s="129" t="n"/>
      <c r="F17" s="129" t="n"/>
      <c r="G17" s="129" t="n"/>
    </row>
    <row r="18">
      <c r="A18" s="130" t="inlineStr">
        <is>
          <t xml:space="preserve">                         (подпись, инициалы, фамилия)</t>
        </is>
      </c>
      <c r="B18" s="128" t="n"/>
      <c r="C18" s="128" t="n"/>
      <c r="D18" s="129" t="n"/>
      <c r="E18" s="129" t="n"/>
      <c r="F18" s="129" t="n"/>
      <c r="G18" s="129" t="n"/>
    </row>
    <row r="19">
      <c r="A19" s="127" t="n"/>
      <c r="B19" s="128" t="n"/>
      <c r="C19" s="128" t="n"/>
      <c r="D19" s="129" t="n"/>
      <c r="E19" s="129" t="n"/>
      <c r="F19" s="129" t="n"/>
      <c r="G19" s="129" t="n"/>
    </row>
    <row r="20">
      <c r="A20" s="127" t="inlineStr">
        <is>
          <t>Проверил ______________________        А.В. Костянецкая</t>
        </is>
      </c>
      <c r="B20" s="128" t="n"/>
      <c r="C20" s="128" t="n"/>
      <c r="D20" s="129" t="n"/>
      <c r="E20" s="129" t="n"/>
      <c r="F20" s="129" t="n"/>
      <c r="G20" s="129" t="n"/>
    </row>
    <row r="21">
      <c r="A21" s="130" t="inlineStr">
        <is>
          <t xml:space="preserve">                        (подпись, инициалы, фамилия)</t>
        </is>
      </c>
      <c r="B21" s="128" t="n"/>
      <c r="C21" s="128" t="n"/>
      <c r="D21" s="129" t="n"/>
      <c r="E21" s="129" t="n"/>
      <c r="F21" s="129" t="n"/>
      <c r="G21" s="12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121" min="1" max="1"/>
    <col width="22.44140625" customWidth="1" style="121" min="2" max="2"/>
    <col width="37.109375" customWidth="1" style="121" min="3" max="3"/>
    <col width="49" customWidth="1" style="121" min="4" max="4"/>
    <col width="9.109375" customWidth="1" style="121" min="5" max="5"/>
  </cols>
  <sheetData>
    <row r="1" ht="15.75" customHeight="1" s="121">
      <c r="A1" s="120" t="n"/>
      <c r="B1" s="120" t="n"/>
      <c r="C1" s="120" t="n"/>
      <c r="D1" s="120" t="inlineStr">
        <is>
          <t>Приложение №7</t>
        </is>
      </c>
    </row>
    <row r="2" ht="15.75" customHeight="1" s="121">
      <c r="A2" s="120" t="n"/>
      <c r="B2" s="120" t="n"/>
      <c r="C2" s="120" t="n"/>
      <c r="D2" s="120" t="n"/>
    </row>
    <row r="3" ht="15.75" customHeight="1" s="121">
      <c r="A3" s="120" t="n"/>
      <c r="B3" s="122" t="inlineStr">
        <is>
          <t>Расчет показателя УНЦ</t>
        </is>
      </c>
      <c r="C3" s="120" t="n"/>
      <c r="D3" s="120" t="n"/>
    </row>
    <row r="4" ht="15.75" customHeight="1" s="121">
      <c r="A4" s="120" t="n"/>
      <c r="B4" s="120" t="n"/>
      <c r="C4" s="120" t="n"/>
      <c r="D4" s="120" t="n"/>
    </row>
    <row r="5" ht="47.25" customHeight="1" s="121">
      <c r="A5" s="188" t="inlineStr">
        <is>
          <t xml:space="preserve">Наименование разрабатываемого показателя УНЦ - </t>
        </is>
      </c>
      <c r="D5" s="188">
        <f>'Прил.5 Расчет СМР и ОБ'!D6:J6</f>
        <v/>
      </c>
    </row>
    <row r="6" ht="15.75" customHeight="1" s="121">
      <c r="A6" s="120" t="inlineStr">
        <is>
          <t>Единица измерения  — 1 км</t>
        </is>
      </c>
      <c r="B6" s="120" t="n"/>
      <c r="C6" s="120" t="n"/>
      <c r="D6" s="120" t="n"/>
    </row>
    <row r="7" ht="15.75" customHeight="1" s="121">
      <c r="A7" s="120" t="n"/>
      <c r="B7" s="120" t="n"/>
      <c r="C7" s="120" t="n"/>
      <c r="D7" s="120" t="n"/>
    </row>
    <row r="8">
      <c r="A8" s="151" t="inlineStr">
        <is>
          <t>Код показателя</t>
        </is>
      </c>
      <c r="B8" s="151" t="inlineStr">
        <is>
          <t>Наименование показателя</t>
        </is>
      </c>
      <c r="C8" s="151" t="inlineStr">
        <is>
          <t>Наименование РМ, входящих в состав показателя</t>
        </is>
      </c>
      <c r="D8" s="151" t="inlineStr">
        <is>
          <t>Норматив цены на 01.01.2023, тыс.руб.</t>
        </is>
      </c>
    </row>
    <row r="9">
      <c r="A9" s="201" t="n"/>
      <c r="B9" s="201" t="n"/>
      <c r="C9" s="201" t="n"/>
      <c r="D9" s="201" t="n"/>
    </row>
    <row r="10" ht="15.75" customHeight="1" s="121">
      <c r="A10" s="151" t="n">
        <v>1</v>
      </c>
      <c r="B10" s="151" t="n">
        <v>2</v>
      </c>
      <c r="C10" s="151" t="n">
        <v>3</v>
      </c>
      <c r="D10" s="151" t="n">
        <v>4</v>
      </c>
    </row>
    <row r="11" ht="63" customHeight="1" s="121">
      <c r="A11" s="151" t="inlineStr">
        <is>
          <t>Л2-06-2</t>
        </is>
      </c>
      <c r="B11" s="151" t="inlineStr">
        <is>
          <t>УНЦ ВЛ 0,4 - 750 кВ на строительно-монтажные работы без опор и провода</t>
        </is>
      </c>
      <c r="C11" s="125">
        <f>D5</f>
        <v/>
      </c>
      <c r="D11" s="126">
        <f>'Прил.4 РМ'!C41/1000</f>
        <v/>
      </c>
    </row>
    <row r="13">
      <c r="A13" s="127" t="inlineStr">
        <is>
          <t>Составил ______________________     Е. М. Добровольская</t>
        </is>
      </c>
      <c r="B13" s="128" t="n"/>
      <c r="C13" s="128" t="n"/>
      <c r="D13" s="129" t="n"/>
    </row>
    <row r="14">
      <c r="A14" s="130" t="inlineStr">
        <is>
          <t xml:space="preserve">                         (подпись, инициалы, фамилия)</t>
        </is>
      </c>
      <c r="B14" s="128" t="n"/>
      <c r="C14" s="128" t="n"/>
      <c r="D14" s="129" t="n"/>
    </row>
    <row r="15">
      <c r="A15" s="127" t="n"/>
      <c r="B15" s="128" t="n"/>
      <c r="C15" s="128" t="n"/>
      <c r="D15" s="129" t="n"/>
    </row>
    <row r="16">
      <c r="A16" s="127" t="inlineStr">
        <is>
          <t>Проверил ______________________        А.В. Костянецкая</t>
        </is>
      </c>
      <c r="B16" s="128" t="n"/>
      <c r="C16" s="128" t="n"/>
      <c r="D16" s="129" t="n"/>
    </row>
    <row r="17" ht="20.25" customHeight="1" s="121">
      <c r="A17" s="130" t="inlineStr">
        <is>
          <t xml:space="preserve">                        (подпись, инициалы, фамилия)</t>
        </is>
      </c>
      <c r="B17" s="128" t="n"/>
      <c r="C17" s="128" t="n"/>
      <c r="D17" s="12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29"/>
  <sheetViews>
    <sheetView view="pageBreakPreview" topLeftCell="A2" zoomScale="60" zoomScaleNormal="100" workbookViewId="0">
      <selection activeCell="B25" sqref="B25"/>
    </sheetView>
  </sheetViews>
  <sheetFormatPr baseColWidth="8" defaultRowHeight="14.4"/>
  <cols>
    <col width="40.6640625" customWidth="1" style="121" min="2" max="2"/>
    <col width="37" customWidth="1" style="121" min="3" max="3"/>
    <col width="32" customWidth="1" style="121" min="4" max="4"/>
  </cols>
  <sheetData>
    <row r="4" ht="15.75" customHeight="1" s="121">
      <c r="B4" s="147" t="inlineStr">
        <is>
          <t>Приложение № 10</t>
        </is>
      </c>
    </row>
    <row r="5" ht="18.75" customHeight="1" s="121">
      <c r="B5" s="35" t="n"/>
    </row>
    <row r="6" ht="15.75" customHeight="1" s="121">
      <c r="B6" s="148" t="inlineStr">
        <is>
          <t>Используемые индексы изменений сметной стоимости и нормы сопутствующих затрат</t>
        </is>
      </c>
    </row>
    <row r="7">
      <c r="B7" s="189" t="n"/>
    </row>
    <row r="8" ht="47.25" customHeight="1" s="121">
      <c r="B8" s="151" t="inlineStr">
        <is>
          <t>Наименование индекса / норм сопутствующих затрат</t>
        </is>
      </c>
      <c r="C8" s="151" t="inlineStr">
        <is>
          <t>Дата применения и обоснование индекса / норм сопутствующих затрат</t>
        </is>
      </c>
      <c r="D8" s="151" t="inlineStr">
        <is>
          <t>Размер индекса / норма сопутствующих затрат</t>
        </is>
      </c>
    </row>
    <row r="9" ht="15.75" customHeight="1" s="121">
      <c r="B9" s="151" t="n">
        <v>1</v>
      </c>
      <c r="C9" s="151" t="n">
        <v>2</v>
      </c>
      <c r="D9" s="151" t="n">
        <v>3</v>
      </c>
    </row>
    <row r="10" ht="31.5" customHeight="1" s="121">
      <c r="B10" s="151" t="inlineStr">
        <is>
          <t xml:space="preserve">Индекс изменения сметной стоимости на 1 квартал 2023 года. ОЗП </t>
        </is>
      </c>
      <c r="C10" s="151" t="inlineStr">
        <is>
          <t>Письмо Минстроя России от 01.04.2023г. №17772-ИФ/09 прил.9</t>
        </is>
      </c>
      <c r="D10" s="151" t="n">
        <v>46.83</v>
      </c>
    </row>
    <row r="11" ht="31.5" customHeight="1" s="121">
      <c r="B11" s="151" t="inlineStr">
        <is>
          <t>Индекс изменения сметной стоимости на 1 квартал 2023 года. ЭМ</t>
        </is>
      </c>
      <c r="C11" s="151" t="inlineStr">
        <is>
          <t>Письмо Минстроя России от 01.04.2023г. №17772-ИФ/09 прил.9</t>
        </is>
      </c>
      <c r="D11" s="151" t="n">
        <v>11.79</v>
      </c>
    </row>
    <row r="12" ht="31.5" customHeight="1" s="121">
      <c r="B12" s="151" t="inlineStr">
        <is>
          <t>Индекс изменения сметной стоимости на 1 квартал 2023 года. МАТ</t>
        </is>
      </c>
      <c r="C12" s="151" t="inlineStr">
        <is>
          <t>Письмо Минстроя России от 01.04.2023г. №17772-ИФ/09 прил.9</t>
        </is>
      </c>
      <c r="D12" s="151" t="n">
        <v>9.140000000000001</v>
      </c>
    </row>
    <row r="13" ht="31.5" customHeight="1" s="121">
      <c r="B13" s="151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51" t="n">
        <v>6.26</v>
      </c>
    </row>
    <row r="14" ht="78.75" customHeight="1" s="121">
      <c r="B14" s="151" t="inlineStr">
        <is>
          <t>Временные здания и сооружения</t>
        </is>
      </c>
      <c r="C14" s="151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9" t="n">
        <v>0.033</v>
      </c>
    </row>
    <row r="15" ht="78.75" customHeight="1" s="121">
      <c r="B15" s="151" t="inlineStr">
        <is>
          <t>Дополнительные затраты при производстве строительно-монтажных работ в зимнее время</t>
        </is>
      </c>
      <c r="C15" s="151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0.01</v>
      </c>
    </row>
    <row r="16" ht="31.5" customHeight="1" s="121">
      <c r="B16" s="151" t="inlineStr">
        <is>
          <t>Строительный контроль</t>
        </is>
      </c>
      <c r="C16" s="151" t="inlineStr">
        <is>
          <t>Постановление Правительства РФ от 21.06.10 г. № 468</t>
        </is>
      </c>
      <c r="D16" s="39" t="n">
        <v>0.0214</v>
      </c>
    </row>
    <row r="17" ht="31.5" customHeight="1" s="121">
      <c r="B17" s="151" t="inlineStr">
        <is>
          <t>Авторский надзор - 0,2%</t>
        </is>
      </c>
      <c r="C17" s="151" t="inlineStr">
        <is>
          <t>Приказ от 4.08.2020 № 421/пр п.173</t>
        </is>
      </c>
      <c r="D17" s="39" t="n">
        <v>0.002</v>
      </c>
    </row>
    <row r="18" ht="24" customHeight="1" s="121">
      <c r="B18" s="151" t="inlineStr">
        <is>
          <t>Непредвиденные расходы</t>
        </is>
      </c>
      <c r="C18" s="151" t="inlineStr">
        <is>
          <t>Приказ от 4.08.2020 № 421/пр п.179</t>
        </is>
      </c>
      <c r="D18" s="39" t="n">
        <v>0.03</v>
      </c>
    </row>
    <row r="19" ht="18.75" customHeight="1" s="121">
      <c r="B19" s="36" t="n"/>
    </row>
    <row r="20" ht="18.75" customHeight="1" s="121">
      <c r="B20" s="36" t="n"/>
    </row>
    <row r="21" ht="18.75" customHeight="1" s="121">
      <c r="B21" s="36" t="n"/>
    </row>
    <row r="22" ht="18.75" customHeight="1" s="121">
      <c r="B22" s="36" t="n"/>
    </row>
    <row r="25">
      <c r="B25" s="127" t="inlineStr">
        <is>
          <t>Составил ______________________     Е. М. Добровольская</t>
        </is>
      </c>
      <c r="C25" s="128" t="n"/>
    </row>
    <row r="26">
      <c r="B26" s="130" t="inlineStr">
        <is>
          <t xml:space="preserve">                         (подпись, инициалы, фамилия)</t>
        </is>
      </c>
      <c r="C26" s="128" t="n"/>
    </row>
    <row r="27">
      <c r="B27" s="127" t="n"/>
      <c r="C27" s="128" t="n"/>
    </row>
    <row r="28">
      <c r="B28" s="127" t="inlineStr">
        <is>
          <t>Проверил ______________________        А.В. Костянецкая</t>
        </is>
      </c>
      <c r="C28" s="128" t="n"/>
    </row>
    <row r="29">
      <c r="B29" s="130" t="inlineStr">
        <is>
          <t xml:space="preserve">                        (подпись, инициалы, фамилия)</t>
        </is>
      </c>
      <c r="C29" s="1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H16" sqref="H16"/>
    </sheetView>
  </sheetViews>
  <sheetFormatPr baseColWidth="8" defaultRowHeight="14.4"/>
  <cols>
    <col width="9.109375" customWidth="1" style="121" min="1" max="1"/>
    <col width="44.88671875" customWidth="1" style="121" min="2" max="2"/>
    <col width="13" customWidth="1" style="121" min="3" max="3"/>
    <col width="22.88671875" customWidth="1" style="121" min="4" max="4"/>
    <col width="21.5546875" customWidth="1" style="121" min="5" max="5"/>
    <col width="43.88671875" customWidth="1" style="121" min="6" max="6"/>
    <col width="9.109375" customWidth="1" style="121" min="7" max="7"/>
  </cols>
  <sheetData>
    <row r="2" ht="18" customHeight="1" s="121">
      <c r="A2" s="19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2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90" customHeight="1" s="12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12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3.4</v>
      </c>
      <c r="F10" s="24" t="inlineStr">
        <is>
          <t>РТМ</t>
        </is>
      </c>
      <c r="G10" s="27" t="n"/>
    </row>
    <row r="11" ht="75" customHeight="1" s="12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1.247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2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2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2025-01-24T12:09:56Z</dcterms:modified>
  <cp:lastModifiedBy>user1</cp:lastModifiedBy>
</cp:coreProperties>
</file>