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1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7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2" fontId="0" fillId="0" borderId="0" pivotButton="0" quotePrefix="0" xfId="0"/>
    <xf numFmtId="4" fontId="15" fillId="0" borderId="1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6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172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70" zoomScaleNormal="55" workbookViewId="0">
      <selection activeCell="E31" sqref="E31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" customHeight="1" s="313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73" t="n"/>
      <c r="C6" s="273" t="n"/>
      <c r="D6" s="273" t="n"/>
    </row>
    <row r="7" ht="64.5" customHeight="1" s="313">
      <c r="B7" s="344" t="inlineStr">
        <is>
          <t>Наименование разрабатываемого показателя УНЦ - Опоры ВЛ 0,4 - 750 кВ. Одноцепная, все типы опор за исключением многогранных 0,4 кВ.</t>
        </is>
      </c>
    </row>
    <row r="8" ht="31.5" customHeight="1" s="313">
      <c r="B8" s="344" t="inlineStr">
        <is>
          <t>Сопоставимый уровень цен: 3 кв. 2018 г</t>
        </is>
      </c>
    </row>
    <row r="9" ht="15.75" customHeight="1" s="313">
      <c r="B9" s="344" t="inlineStr">
        <is>
          <t>Единица измерения  — 1 км</t>
        </is>
      </c>
    </row>
    <row r="10">
      <c r="B10" s="344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49" t="n"/>
    </row>
    <row r="12" ht="96.75" customHeight="1" s="313">
      <c r="B12" s="347" t="n">
        <v>1</v>
      </c>
      <c r="C12" s="244" t="inlineStr">
        <is>
          <t>Наименование объекта-представителя</t>
        </is>
      </c>
      <c r="D12" s="347" t="inlineStr">
        <is>
          <t>ВЛ 0,4 СТ-5-373</t>
        </is>
      </c>
    </row>
    <row r="13">
      <c r="B13" s="347" t="n">
        <v>2</v>
      </c>
      <c r="C13" s="244" t="inlineStr">
        <is>
          <t>Наименование субъекта Российской Федерации</t>
        </is>
      </c>
      <c r="D13" s="347" t="inlineStr">
        <is>
          <t>Краснодарский край</t>
        </is>
      </c>
    </row>
    <row r="14">
      <c r="B14" s="347" t="n">
        <v>3</v>
      </c>
      <c r="C14" s="244" t="inlineStr">
        <is>
          <t>Климатический район и подрайон</t>
        </is>
      </c>
      <c r="D14" s="347" t="inlineStr">
        <is>
          <t>IIIБ</t>
        </is>
      </c>
    </row>
    <row r="15">
      <c r="B15" s="347" t="n">
        <v>4</v>
      </c>
      <c r="C15" s="244" t="inlineStr">
        <is>
          <t>Мощность объекта</t>
        </is>
      </c>
      <c r="D15" s="347" t="n">
        <v>0.286</v>
      </c>
    </row>
    <row r="16" ht="116.25" customHeight="1" s="313">
      <c r="B16" s="34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Стойка СВ95-3, СВ110-5</t>
        </is>
      </c>
    </row>
    <row r="17" ht="79.5" customHeight="1" s="313">
      <c r="B17" s="34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SUM(D18:D21)</f>
        <v/>
      </c>
      <c r="E17" s="272" t="n"/>
    </row>
    <row r="18">
      <c r="B18" s="248" t="inlineStr">
        <is>
          <t>6.1</t>
        </is>
      </c>
      <c r="C18" s="244" t="inlineStr">
        <is>
          <t>строительно-монтажные работы</t>
        </is>
      </c>
      <c r="D18" s="327">
        <f>'Прил.2 Расч стоим'!F14</f>
        <v/>
      </c>
    </row>
    <row r="19" ht="15.75" customHeight="1" s="313">
      <c r="B19" s="248" t="inlineStr">
        <is>
          <t>6.2</t>
        </is>
      </c>
      <c r="C19" s="244" t="inlineStr">
        <is>
          <t>оборудование и инвентарь</t>
        </is>
      </c>
      <c r="D19" s="327" t="n"/>
    </row>
    <row r="20" ht="16.5" customHeight="1" s="313">
      <c r="B20" s="248" t="inlineStr">
        <is>
          <t>6.3</t>
        </is>
      </c>
      <c r="C20" s="244" t="inlineStr">
        <is>
          <t>пусконаладочные работы</t>
        </is>
      </c>
      <c r="D20" s="327" t="n"/>
    </row>
    <row r="21" ht="35.25" customHeight="1" s="313">
      <c r="B21" s="248" t="inlineStr">
        <is>
          <t>6.4</t>
        </is>
      </c>
      <c r="C21" s="247" t="inlineStr">
        <is>
          <t>прочие и лимитированные затраты</t>
        </is>
      </c>
      <c r="D21" s="327" t="n"/>
    </row>
    <row r="22">
      <c r="B22" s="347" t="n">
        <v>7</v>
      </c>
      <c r="C22" s="247" t="inlineStr">
        <is>
          <t>Сопоставимый уровень цен</t>
        </is>
      </c>
      <c r="D22" s="328" t="inlineStr">
        <is>
          <t>3 кв. 2018 г</t>
        </is>
      </c>
      <c r="E22" s="245" t="n"/>
    </row>
    <row r="23" ht="123" customHeight="1" s="313">
      <c r="B23" s="347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72" t="n"/>
    </row>
    <row r="24" ht="60.75" customHeight="1" s="313">
      <c r="B24" s="34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45" t="n"/>
    </row>
    <row r="25" ht="48" customHeight="1" s="313">
      <c r="B25" s="347" t="n">
        <v>10</v>
      </c>
      <c r="C25" s="244" t="inlineStr">
        <is>
          <t>Примечание</t>
        </is>
      </c>
      <c r="D25" s="347" t="n"/>
    </row>
    <row r="26">
      <c r="B26" s="243" t="n"/>
      <c r="C26" s="242" t="n"/>
      <c r="D26" s="242" t="n"/>
    </row>
    <row r="27" ht="37.5" customHeight="1" s="313">
      <c r="B27" s="241" t="n"/>
    </row>
    <row r="28">
      <c r="B28" s="316" t="inlineStr">
        <is>
          <t>Составил ______________________    А.П. Николаева</t>
        </is>
      </c>
    </row>
    <row r="29">
      <c r="B29" s="241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42" t="inlineStr">
        <is>
          <t>Приложение № 2</t>
        </is>
      </c>
      <c r="K3" s="241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13">
      <c r="B6" s="344">
        <f>'Прил.1 Сравнит табл'!B7:D7</f>
        <v/>
      </c>
    </row>
    <row r="7">
      <c r="B7" s="344">
        <f>'Прил.1 Сравнит табл'!B9:D9</f>
        <v/>
      </c>
    </row>
    <row r="8" ht="18.75" customHeight="1" s="313">
      <c r="B8" s="274" t="n"/>
    </row>
    <row r="9" ht="15.75" customHeight="1" s="313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13">
      <c r="B10" s="431" t="n"/>
      <c r="C10" s="431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3 кв. 2018 г., тыс. руб.</t>
        </is>
      </c>
      <c r="G10" s="429" t="n"/>
      <c r="H10" s="429" t="n"/>
      <c r="I10" s="429" t="n"/>
      <c r="J10" s="430" t="n"/>
    </row>
    <row r="11" ht="31.5" customHeight="1" s="313">
      <c r="B11" s="432" t="n"/>
      <c r="C11" s="432" t="n"/>
      <c r="D11" s="432" t="n"/>
      <c r="E11" s="432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 ht="15" customHeight="1" s="313">
      <c r="B12" s="325" t="n"/>
      <c r="C12" s="325" t="inlineStr">
        <is>
          <t>ВЛ 0,4 кВ</t>
        </is>
      </c>
      <c r="D12" s="325" t="n"/>
      <c r="E12" s="325" t="n"/>
      <c r="F12" s="327" t="n">
        <v>99.47855730000001</v>
      </c>
      <c r="G12" s="430" t="n"/>
      <c r="H12" s="325" t="n"/>
      <c r="I12" s="325" t="n"/>
      <c r="J12" s="330">
        <f>SUM(F12:I12)</f>
        <v/>
      </c>
    </row>
    <row r="13" ht="15.75" customHeight="1" s="313">
      <c r="B13" s="346" t="inlineStr">
        <is>
          <t>Всего по объекту:</t>
        </is>
      </c>
      <c r="C13" s="429" t="n"/>
      <c r="D13" s="429" t="n"/>
      <c r="E13" s="430" t="n"/>
      <c r="F13" s="326" t="n"/>
      <c r="G13" s="326" t="n"/>
      <c r="H13" s="326" t="n"/>
      <c r="I13" s="326" t="n"/>
      <c r="J13" s="330" t="n"/>
    </row>
    <row r="14" ht="15.75" customHeight="1" s="313">
      <c r="B14" s="346" t="inlineStr">
        <is>
          <t>Всего по объекту в сопоставимом уровне цен 3 кв. 2018г:</t>
        </is>
      </c>
      <c r="C14" s="429" t="n"/>
      <c r="D14" s="429" t="n"/>
      <c r="E14" s="430" t="n"/>
      <c r="F14" s="433">
        <f>25312.61*3.93/1000</f>
        <v/>
      </c>
      <c r="G14" s="430" t="n"/>
      <c r="H14" s="326" t="n"/>
      <c r="I14" s="326" t="n"/>
      <c r="J14" s="331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320" t="inlineStr">
        <is>
          <t>Составил ______________________     А.П. Николаева</t>
        </is>
      </c>
      <c r="D18" s="321" t="n"/>
      <c r="E18" s="321" t="n"/>
    </row>
    <row r="19" ht="15" customHeight="1" s="313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13">
      <c r="C20" s="320" t="n"/>
      <c r="D20" s="321" t="n"/>
      <c r="E20" s="321" t="n"/>
    </row>
    <row r="21" ht="15" customHeight="1" s="313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13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34"/>
  <sheetViews>
    <sheetView view="pageBreakPreview" topLeftCell="A10" zoomScale="85" workbookViewId="0">
      <selection activeCell="C30" sqref="C30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9.33203125" customWidth="1" style="316" min="8" max="8"/>
    <col hidden="1" width="9.109375" customWidth="1" style="316" min="9" max="10"/>
    <col hidden="1" width="15" customWidth="1" style="316" min="11" max="11"/>
    <col hidden="1" width="9.109375" customWidth="1" style="316" min="12" max="13"/>
    <col width="9.109375" customWidth="1" style="316" min="14" max="14"/>
    <col width="12.109375" customWidth="1" style="313" min="15" max="15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 ht="18.75" customHeight="1" s="313">
      <c r="A4" s="293" t="n"/>
      <c r="B4" s="29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4" t="n"/>
    </row>
    <row r="6">
      <c r="A6" s="355" t="inlineStr">
        <is>
          <t>Наименование разрабатываемого показателя УНЦ -  Опоры ВЛ 0,4 - 750 кВ. Одноцепная, все типы опор за исключением многогранных 0,4 кВ.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3">
      <c r="A8" s="347" t="inlineStr">
        <is>
          <t>п/п</t>
        </is>
      </c>
      <c r="B8" s="347" t="inlineStr">
        <is>
          <t>№ЛСР</t>
        </is>
      </c>
      <c r="C8" s="347" t="inlineStr">
        <is>
          <t>Код ресурса</t>
        </is>
      </c>
      <c r="D8" s="347" t="inlineStr">
        <is>
          <t>Наименование ресурса</t>
        </is>
      </c>
      <c r="E8" s="347" t="inlineStr">
        <is>
          <t>Ед. изм.</t>
        </is>
      </c>
      <c r="F8" s="347" t="inlineStr">
        <is>
          <t>Кол-во единиц по данным объекта-представителя</t>
        </is>
      </c>
      <c r="G8" s="347" t="inlineStr">
        <is>
          <t>Сметная стоимость в ценах на 01.01.2000 (руб.)</t>
        </is>
      </c>
      <c r="H8" s="430" t="n"/>
    </row>
    <row r="9" ht="40.5" customHeight="1" s="313">
      <c r="A9" s="432" t="n"/>
      <c r="B9" s="432" t="n"/>
      <c r="C9" s="432" t="n"/>
      <c r="D9" s="432" t="n"/>
      <c r="E9" s="432" t="n"/>
      <c r="F9" s="432" t="n"/>
      <c r="G9" s="347" t="inlineStr">
        <is>
          <t>на ед.изм.</t>
        </is>
      </c>
      <c r="H9" s="347" t="inlineStr">
        <is>
          <t>общая</t>
        </is>
      </c>
    </row>
    <row r="10">
      <c r="A10" s="257" t="n">
        <v>1</v>
      </c>
      <c r="B10" s="257" t="n"/>
      <c r="C10" s="257" t="n">
        <v>2</v>
      </c>
      <c r="D10" s="257" t="inlineStr">
        <is>
          <t>З</t>
        </is>
      </c>
      <c r="E10" s="257" t="n">
        <v>4</v>
      </c>
      <c r="F10" s="257" t="n">
        <v>5</v>
      </c>
      <c r="G10" s="257" t="n">
        <v>6</v>
      </c>
      <c r="H10" s="257" t="n">
        <v>7</v>
      </c>
    </row>
    <row r="11" customFormat="1" s="314">
      <c r="A11" s="352" t="inlineStr">
        <is>
          <t>Затраты труда рабочих</t>
        </is>
      </c>
      <c r="B11" s="429" t="n"/>
      <c r="C11" s="429" t="n"/>
      <c r="D11" s="429" t="n"/>
      <c r="E11" s="430" t="n"/>
      <c r="F11" s="282">
        <f>SUM(F12:F12)</f>
        <v/>
      </c>
      <c r="G11" s="283" t="n"/>
      <c r="H11" s="282">
        <f>SUM(H12:H12)</f>
        <v/>
      </c>
    </row>
    <row r="12">
      <c r="A12" s="383" t="n">
        <v>1</v>
      </c>
      <c r="B12" s="256" t="n"/>
      <c r="C12" s="287" t="inlineStr">
        <is>
          <t>1-3-3</t>
        </is>
      </c>
      <c r="D12" s="286" t="inlineStr">
        <is>
          <t>Затраты труда рабочих (ср 3,3)</t>
        </is>
      </c>
      <c r="E12" s="383" t="inlineStr">
        <is>
          <t>чел.-ч</t>
        </is>
      </c>
      <c r="F12" s="292" t="n">
        <v>36.16</v>
      </c>
      <c r="G12" s="291" t="n">
        <v>8.859999999999999</v>
      </c>
      <c r="H12" s="291">
        <f>ROUND(F12*G12,2)</f>
        <v/>
      </c>
      <c r="J12" s="316" t="n">
        <v>3.3</v>
      </c>
      <c r="K12" s="316">
        <f>F12*J12</f>
        <v/>
      </c>
      <c r="M12" s="294">
        <f>(SUM(K12:K12)/F11)</f>
        <v/>
      </c>
    </row>
    <row r="13" ht="15.75" customHeight="1" s="313">
      <c r="A13" s="352" t="inlineStr">
        <is>
          <t>Затраты труда машинистов</t>
        </is>
      </c>
      <c r="B13" s="429" t="n"/>
      <c r="C13" s="429" t="n"/>
      <c r="D13" s="429" t="n"/>
      <c r="E13" s="430" t="n"/>
      <c r="F13" s="352" t="n"/>
      <c r="G13" s="254" t="n"/>
      <c r="H13" s="282">
        <f>H14</f>
        <v/>
      </c>
    </row>
    <row r="14">
      <c r="A14" s="383" t="n">
        <v>2</v>
      </c>
      <c r="B14" s="353" t="n"/>
      <c r="C14" s="287" t="n">
        <v>2</v>
      </c>
      <c r="D14" s="286" t="inlineStr">
        <is>
          <t>Затраты труда машинистов(справочно)</t>
        </is>
      </c>
      <c r="E14" s="383" t="inlineStr">
        <is>
          <t>чел.-ч</t>
        </is>
      </c>
      <c r="F14" s="292" t="n">
        <v>11.48</v>
      </c>
      <c r="G14" s="291" t="n"/>
      <c r="H14" s="289" t="n">
        <v>133.17</v>
      </c>
      <c r="O14" s="434">
        <f>H11+H13+H15+H19</f>
        <v/>
      </c>
    </row>
    <row r="15" customFormat="1" s="314">
      <c r="A15" s="352" t="inlineStr">
        <is>
          <t>Машины и механизмы</t>
        </is>
      </c>
      <c r="B15" s="429" t="n"/>
      <c r="C15" s="429" t="n"/>
      <c r="D15" s="429" t="n"/>
      <c r="E15" s="430" t="n"/>
      <c r="F15" s="352" t="n"/>
      <c r="G15" s="254" t="n"/>
      <c r="H15" s="282">
        <f>SUM(H16:H17)</f>
        <v/>
      </c>
    </row>
    <row r="16" ht="25.5" customHeight="1" s="313">
      <c r="A16" s="383" t="n">
        <v>3</v>
      </c>
      <c r="B16" s="353" t="n"/>
      <c r="C16" s="287" t="inlineStr">
        <is>
          <t>91.04.01-031</t>
        </is>
      </c>
      <c r="D16" s="286" t="inlineStr">
        <is>
          <t>Машины бурильно-крановые на автомобиле, глубина бурения 3,5 м</t>
        </is>
      </c>
      <c r="E16" s="383" t="inlineStr">
        <is>
          <t>маш.час</t>
        </is>
      </c>
      <c r="F16" s="383" t="n">
        <v>9.119999999999999</v>
      </c>
      <c r="G16" s="284" t="n">
        <v>138.54</v>
      </c>
      <c r="H16" s="291">
        <f>ROUND(F16*G16,2)</f>
        <v/>
      </c>
      <c r="I16" s="295" t="n"/>
      <c r="J16" s="295">
        <f>H16/$H$15</f>
        <v/>
      </c>
      <c r="L16" s="295" t="n"/>
    </row>
    <row r="17" customFormat="1" s="314">
      <c r="A17" s="383" t="n">
        <v>4</v>
      </c>
      <c r="B17" s="353" t="n"/>
      <c r="C17" s="287" t="inlineStr">
        <is>
          <t>91.14.02-001</t>
        </is>
      </c>
      <c r="D17" s="286" t="inlineStr">
        <is>
          <t>Автомобили бортовые, грузоподъемность до 5 т</t>
        </is>
      </c>
      <c r="E17" s="383" t="inlineStr">
        <is>
          <t>маш.час</t>
        </is>
      </c>
      <c r="F17" s="383" t="n">
        <v>2.36</v>
      </c>
      <c r="G17" s="284" t="n">
        <v>65.70999999999999</v>
      </c>
      <c r="H17" s="291">
        <f>ROUND(F17*G17,2)</f>
        <v/>
      </c>
      <c r="I17" s="295" t="n"/>
      <c r="J17" s="295" t="n"/>
      <c r="L17" s="295" t="n"/>
    </row>
    <row r="18" ht="15" customHeight="1" s="313">
      <c r="A18" s="352" t="inlineStr">
        <is>
          <t>Оборудование</t>
        </is>
      </c>
      <c r="B18" s="429" t="n"/>
      <c r="C18" s="429" t="n"/>
      <c r="D18" s="429" t="n"/>
      <c r="E18" s="430" t="n"/>
      <c r="F18" s="283" t="n"/>
      <c r="G18" s="283" t="n"/>
      <c r="H18" s="282" t="n">
        <v>0</v>
      </c>
    </row>
    <row r="19">
      <c r="A19" s="352" t="inlineStr">
        <is>
          <t>Материалы</t>
        </is>
      </c>
      <c r="B19" s="429" t="n"/>
      <c r="C19" s="429" t="n"/>
      <c r="D19" s="429" t="n"/>
      <c r="E19" s="430" t="n"/>
      <c r="F19" s="352" t="n"/>
      <c r="G19" s="254" t="n"/>
      <c r="H19" s="282">
        <f>SUM(H20:H27)</f>
        <v/>
      </c>
    </row>
    <row r="20">
      <c r="A20" s="279" t="n">
        <v>5</v>
      </c>
      <c r="B20" s="353" t="n"/>
      <c r="C20" s="287" t="inlineStr">
        <is>
          <t>05.1.02.07-0075</t>
        </is>
      </c>
      <c r="D20" s="286" t="inlineStr">
        <is>
          <t>Стойка опоры СВ 110-3,5</t>
        </is>
      </c>
      <c r="E20" s="383" t="inlineStr">
        <is>
          <t>т</t>
        </is>
      </c>
      <c r="F20" s="383" t="n">
        <v>6.75</v>
      </c>
      <c r="G20" s="291" t="n">
        <v>2101.21</v>
      </c>
      <c r="H20" s="291">
        <f>ROUND(F20*G20,2)</f>
        <v/>
      </c>
      <c r="I20" s="281" t="n"/>
      <c r="J20" s="295">
        <f>H20/$H$19</f>
        <v/>
      </c>
      <c r="K20" s="295" t="n"/>
    </row>
    <row r="21">
      <c r="A21" s="279" t="n">
        <v>6</v>
      </c>
      <c r="B21" s="353" t="n"/>
      <c r="C21" s="287" t="inlineStr">
        <is>
          <t>05.1.02.07-0063</t>
        </is>
      </c>
      <c r="D21" s="286" t="inlineStr">
        <is>
          <t>Стойка опоры СВ 95-2</t>
        </is>
      </c>
      <c r="E21" s="383" t="inlineStr">
        <is>
          <t>т</t>
        </is>
      </c>
      <c r="F21" s="383" t="n">
        <v>6.08</v>
      </c>
      <c r="G21" s="291" t="n">
        <v>1462.68</v>
      </c>
      <c r="H21" s="291">
        <f>ROUND(F21*G21,2)</f>
        <v/>
      </c>
      <c r="I21" s="281" t="n"/>
      <c r="J21" s="295">
        <f>H21/$H$19</f>
        <v/>
      </c>
      <c r="K21" s="295" t="n"/>
    </row>
    <row r="22">
      <c r="A22" s="279" t="n">
        <v>7</v>
      </c>
      <c r="B22" s="353" t="n"/>
      <c r="C22" s="287" t="inlineStr">
        <is>
          <t>20.2.02.04-0006</t>
        </is>
      </c>
      <c r="D22" s="286" t="inlineStr">
        <is>
          <t>Колпачки полиэтиленовые</t>
        </is>
      </c>
      <c r="E22" s="383" t="inlineStr">
        <is>
          <t>100 шт</t>
        </is>
      </c>
      <c r="F22" s="383" t="n">
        <v>0.48</v>
      </c>
      <c r="G22" s="291" t="n">
        <v>610</v>
      </c>
      <c r="H22" s="291">
        <f>ROUND(F22*G22,2)</f>
        <v/>
      </c>
      <c r="I22" s="281" t="n"/>
      <c r="J22" s="295" t="n"/>
      <c r="K22" s="295" t="n"/>
    </row>
    <row r="23" ht="25.5" customHeight="1" s="313">
      <c r="A23" s="279" t="n">
        <v>8</v>
      </c>
      <c r="B23" s="353" t="n"/>
      <c r="C23" s="287" t="inlineStr">
        <is>
          <t>14.4.02.04-0015</t>
        </is>
      </c>
      <c r="D23" s="286" t="inlineStr">
        <is>
          <t>Краска масляная для внутренних работ МА-015, черная густотертая</t>
        </is>
      </c>
      <c r="E23" s="383" t="inlineStr">
        <is>
          <t>т</t>
        </is>
      </c>
      <c r="F23" s="383" t="n">
        <v>0.0032</v>
      </c>
      <c r="G23" s="291" t="n">
        <v>15707</v>
      </c>
      <c r="H23" s="291">
        <f>ROUND(F23*G23,2)</f>
        <v/>
      </c>
      <c r="I23" s="281" t="n"/>
      <c r="J23" s="295" t="n"/>
      <c r="K23" s="295" t="n"/>
    </row>
    <row r="24">
      <c r="A24" s="279" t="n">
        <v>9</v>
      </c>
      <c r="B24" s="353" t="n"/>
      <c r="C24" s="287" t="inlineStr">
        <is>
          <t>01.3.01.06-0038</t>
        </is>
      </c>
      <c r="D24" s="286" t="inlineStr">
        <is>
          <t>Смазка защитная электросетевая</t>
        </is>
      </c>
      <c r="E24" s="383" t="inlineStr">
        <is>
          <t>кг</t>
        </is>
      </c>
      <c r="F24" s="383" t="n">
        <v>0.8</v>
      </c>
      <c r="G24" s="291" t="n">
        <v>14.4</v>
      </c>
      <c r="H24" s="291">
        <f>ROUND(F24*G24,2)</f>
        <v/>
      </c>
      <c r="I24" s="281" t="n"/>
      <c r="J24" s="295" t="n"/>
      <c r="K24" s="295" t="n"/>
    </row>
    <row r="25">
      <c r="A25" s="279" t="n">
        <v>10</v>
      </c>
      <c r="B25" s="353" t="n"/>
      <c r="C25" s="287" t="inlineStr">
        <is>
          <t>14.4.03.03-0102</t>
        </is>
      </c>
      <c r="D25" s="286" t="inlineStr">
        <is>
          <t>Лак битумный БТ-577</t>
        </is>
      </c>
      <c r="E25" s="383" t="inlineStr">
        <is>
          <t>т</t>
        </is>
      </c>
      <c r="F25" s="383" t="n">
        <v>0.0008</v>
      </c>
      <c r="G25" s="291" t="n">
        <v>9550.01</v>
      </c>
      <c r="H25" s="291">
        <f>ROUND(F25*G25,2)</f>
        <v/>
      </c>
      <c r="I25" s="281" t="n"/>
      <c r="J25" s="295" t="n"/>
      <c r="K25" s="295" t="n"/>
    </row>
    <row r="26">
      <c r="A26" s="279" t="n">
        <v>11</v>
      </c>
      <c r="B26" s="353" t="n"/>
      <c r="C26" s="287" t="inlineStr">
        <is>
          <t>01.3.01.06-0051</t>
        </is>
      </c>
      <c r="D26" s="286" t="inlineStr">
        <is>
          <t>Смазка солидол жировой Ж</t>
        </is>
      </c>
      <c r="E26" s="383" t="inlineStr">
        <is>
          <t>кг</t>
        </is>
      </c>
      <c r="F26" s="383" t="n">
        <v>0.24</v>
      </c>
      <c r="G26" s="291" t="n">
        <v>7.2</v>
      </c>
      <c r="H26" s="291">
        <f>ROUND(F26*G26,2)</f>
        <v/>
      </c>
      <c r="I26" s="281" t="n"/>
      <c r="J26" s="295" t="n"/>
      <c r="K26" s="295" t="n"/>
    </row>
    <row r="27">
      <c r="A27" s="279" t="n">
        <v>12</v>
      </c>
      <c r="B27" s="353" t="n"/>
      <c r="C27" s="287" t="inlineStr">
        <is>
          <t>01.7.20.08-0051</t>
        </is>
      </c>
      <c r="D27" s="286" t="inlineStr">
        <is>
          <t>Ветошь</t>
        </is>
      </c>
      <c r="E27" s="383" t="inlineStr">
        <is>
          <t>кг</t>
        </is>
      </c>
      <c r="F27" s="383" t="n">
        <v>0.16</v>
      </c>
      <c r="G27" s="291" t="n">
        <v>1.82</v>
      </c>
      <c r="H27" s="291">
        <f>ROUND(F27*G27,2)</f>
        <v/>
      </c>
      <c r="I27" s="281" t="n"/>
      <c r="J27" s="295" t="n"/>
      <c r="K27" s="295" t="n"/>
    </row>
    <row r="30">
      <c r="B30" s="316" t="inlineStr">
        <is>
          <t>Составил ______________________     А.П. Николаева</t>
        </is>
      </c>
    </row>
    <row r="31">
      <c r="B31" s="241" t="inlineStr">
        <is>
          <t xml:space="preserve">                         (подпись, инициалы, фамилия)</t>
        </is>
      </c>
    </row>
    <row r="33">
      <c r="B33" s="316" t="inlineStr">
        <is>
          <t>Проверил ______________________        А.В. Костянецкая</t>
        </is>
      </c>
    </row>
    <row r="34">
      <c r="B34" s="2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78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32" t="inlineStr">
        <is>
          <t>Ресурсная модель</t>
        </is>
      </c>
    </row>
    <row r="6">
      <c r="B6" s="268" t="n"/>
      <c r="C6" s="320" t="n"/>
      <c r="D6" s="320" t="n"/>
      <c r="E6" s="320" t="n"/>
    </row>
    <row r="7" ht="25.5" customHeight="1" s="313">
      <c r="B7" s="341" t="inlineStr">
        <is>
          <t>Наименование разрабатываемого показателя УНЦ — Опоры ВЛ 0,4 - 750 кВ. Одноцепная, все типы опор за исключением многогранных 0,4 кВ.</t>
        </is>
      </c>
    </row>
    <row r="8">
      <c r="B8" s="357" t="inlineStr">
        <is>
          <t>Единица измерения  — 1 км</t>
        </is>
      </c>
    </row>
    <row r="9">
      <c r="B9" s="268" t="n"/>
      <c r="C9" s="320" t="n"/>
      <c r="D9" s="320" t="n"/>
      <c r="E9" s="320" t="n"/>
    </row>
    <row r="10" ht="51" customHeight="1" s="313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ОБ'!J15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ОБ'!J21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ОБ'!J23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ОБ'!J17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ОБ'!J35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ОБ'!J42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ОБ'!D46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ОБ'!D45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313">
      <c r="B25" s="260" t="inlineStr">
        <is>
          <t>ВСЕГО стоимость оборудования, в том числе</t>
        </is>
      </c>
      <c r="C25" s="261">
        <f>'Прил.5 Расчет СМР и ОБ'!J29</f>
        <v/>
      </c>
      <c r="D25" s="262" t="n"/>
      <c r="E25" s="262">
        <f>C25/$C$40</f>
        <v/>
      </c>
    </row>
    <row r="26" ht="25.5" customHeight="1" s="313">
      <c r="B26" s="260" t="inlineStr">
        <is>
          <t>стоимость оборудования технологического</t>
        </is>
      </c>
      <c r="C26" s="261">
        <f>'Прил.5 Расчет СМР и ОБ'!J30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</row>
    <row r="28" ht="33" customHeight="1" s="313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  <c r="F28" s="263" t="n"/>
    </row>
    <row r="29" ht="25.5" customHeight="1" s="313">
      <c r="B29" s="260" t="inlineStr">
        <is>
          <t>Временные здания и сооружения - 2,5%</t>
        </is>
      </c>
      <c r="C29" s="264">
        <f>ROUND(C24*2.5%,2)</f>
        <v/>
      </c>
      <c r="D29" s="260" t="n"/>
      <c r="E29" s="262">
        <f>C29/$C$40</f>
        <v/>
      </c>
    </row>
    <row r="30" ht="38.25" customHeight="1" s="313">
      <c r="B30" s="260" t="inlineStr">
        <is>
          <t>Дополнительные затраты при производстве строительно-монтажных работ в зимнее время - 1,9%</t>
        </is>
      </c>
      <c r="C30" s="264">
        <f>ROUND((C24+C29)*1.9%,2)</f>
        <v/>
      </c>
      <c r="D30" s="260" t="n"/>
      <c r="E30" s="262">
        <f>C30/$C$40</f>
        <v/>
      </c>
      <c r="F30" s="263" t="n"/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13">
      <c r="B32" s="260" t="inlineStr">
        <is>
          <t>Затраты по перевозке работников к месту работы и обратно</t>
        </is>
      </c>
      <c r="C32" s="264">
        <f>ROUND(C27*0%,2)</f>
        <v/>
      </c>
      <c r="D32" s="260" t="n"/>
      <c r="E32" s="262">
        <f>C32/$C$40</f>
        <v/>
      </c>
    </row>
    <row r="33" ht="25.5" customHeight="1" s="313">
      <c r="B33" s="260" t="inlineStr">
        <is>
          <t>Затраты, связанные с осуществлением работ вахтовым методом</t>
        </is>
      </c>
      <c r="C33" s="264">
        <f>ROUND(C28*0%,2)</f>
        <v/>
      </c>
      <c r="D33" s="260" t="n"/>
      <c r="E33" s="262">
        <f>C33/$C$40</f>
        <v/>
      </c>
    </row>
    <row r="34" ht="51" customHeight="1" s="313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>
        <f>ROUND(C29*0%,2)</f>
        <v/>
      </c>
      <c r="D34" s="260" t="n"/>
      <c r="E34" s="262">
        <f>C34/$C$40</f>
        <v/>
      </c>
      <c r="H34" s="281" t="n"/>
    </row>
    <row r="35" ht="76.5" customHeight="1" s="313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ROUND(C30*0%,2)</f>
        <v/>
      </c>
      <c r="D35" s="260" t="n"/>
      <c r="E35" s="262">
        <f>C35/$C$40</f>
        <v/>
      </c>
    </row>
    <row r="36" ht="25.5" customHeight="1" s="313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13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313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ОБ'!E49</f>
        <v/>
      </c>
      <c r="D41" s="260" t="n"/>
      <c r="E41" s="260" t="n"/>
    </row>
    <row r="42">
      <c r="B42" s="259" t="n"/>
      <c r="C42" s="320" t="n"/>
      <c r="D42" s="320" t="n"/>
      <c r="E42" s="320" t="n"/>
    </row>
    <row r="43">
      <c r="B43" s="259" t="inlineStr">
        <is>
          <t>Составил ____________________________ А.П. Николаева</t>
        </is>
      </c>
      <c r="C43" s="320" t="n"/>
      <c r="D43" s="320" t="n"/>
      <c r="E43" s="320" t="n"/>
    </row>
    <row r="44">
      <c r="B44" s="259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59" t="n"/>
      <c r="C45" s="320" t="n"/>
      <c r="D45" s="320" t="n"/>
      <c r="E45" s="320" t="n"/>
    </row>
    <row r="46">
      <c r="B46" s="259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5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2" workbookViewId="0">
      <selection activeCell="B50" sqref="B50"/>
    </sheetView>
  </sheetViews>
  <sheetFormatPr baseColWidth="8" defaultColWidth="9.109375" defaultRowHeight="14.4" outlineLevelRow="1"/>
  <cols>
    <col width="5.6640625" customWidth="1" style="321" min="1" max="1"/>
    <col width="22.554687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44140625" customWidth="1" style="321" min="7" max="7"/>
    <col width="12.6640625" customWidth="1" style="321" min="8" max="8"/>
    <col width="13.88671875" customWidth="1" style="321" min="9" max="9"/>
    <col width="17.5546875" customWidth="1" style="321" min="10" max="10"/>
    <col width="10.88671875" customWidth="1" style="321" min="11" max="11"/>
    <col width="9.109375" customWidth="1" style="321" min="12" max="12"/>
    <col width="9.109375" customWidth="1" style="313" min="13" max="13"/>
  </cols>
  <sheetData>
    <row r="1" s="31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13">
      <c r="A2" s="321" t="n"/>
      <c r="B2" s="321" t="n"/>
      <c r="C2" s="321" t="n"/>
      <c r="D2" s="321" t="n"/>
      <c r="E2" s="321" t="n"/>
      <c r="F2" s="321" t="n"/>
      <c r="G2" s="321" t="n"/>
      <c r="H2" s="358" t="inlineStr">
        <is>
          <t>Приложение №5</t>
        </is>
      </c>
      <c r="K2" s="321" t="n"/>
      <c r="L2" s="321" t="n"/>
      <c r="M2" s="321" t="n"/>
      <c r="N2" s="321" t="n"/>
    </row>
    <row r="3" s="31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32" t="inlineStr">
        <is>
          <t>Расчет стоимости СМР и оборудования</t>
        </is>
      </c>
    </row>
    <row r="5" ht="12.75" customFormat="1" customHeight="1" s="320">
      <c r="A5" s="332" t="n"/>
      <c r="B5" s="332" t="n"/>
      <c r="C5" s="386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320">
      <c r="A6" s="233" t="inlineStr">
        <is>
          <t>Наименование разрабатываемого показателя УНЦ</t>
        </is>
      </c>
      <c r="B6" s="232" t="n"/>
      <c r="C6" s="232" t="n"/>
      <c r="D6" s="364" t="inlineStr">
        <is>
          <t>Опоры ВЛ 0,4 - 750 кВ. Одноцепная, все типы опор за исключением многогранных 0,4 кВ.</t>
        </is>
      </c>
    </row>
    <row r="7" ht="12.75" customFormat="1" customHeight="1" s="320">
      <c r="A7" s="335" t="inlineStr">
        <is>
          <t>Единица измерения  — 1 км</t>
        </is>
      </c>
      <c r="I7" s="341" t="n"/>
      <c r="J7" s="341" t="n"/>
    </row>
    <row r="8" ht="13.5" customFormat="1" customHeight="1" s="320">
      <c r="A8" s="335" t="n"/>
    </row>
    <row r="9" ht="13.2" customFormat="1" customHeight="1" s="320"/>
    <row r="10" ht="27" customHeight="1" s="313">
      <c r="A10" s="361" t="inlineStr">
        <is>
          <t>№ пп.</t>
        </is>
      </c>
      <c r="B10" s="361" t="inlineStr">
        <is>
          <t>Код ресурса</t>
        </is>
      </c>
      <c r="C10" s="361" t="inlineStr">
        <is>
          <t>Наименование</t>
        </is>
      </c>
      <c r="D10" s="361" t="inlineStr">
        <is>
          <t>Ед. изм.</t>
        </is>
      </c>
      <c r="E10" s="361" t="inlineStr">
        <is>
          <t>Кол-во единиц по проектным данным</t>
        </is>
      </c>
      <c r="F10" s="361" t="inlineStr">
        <is>
          <t>Сметная стоимость в ценах на 01.01.2000 (руб.)</t>
        </is>
      </c>
      <c r="G10" s="430" t="n"/>
      <c r="H10" s="361" t="inlineStr">
        <is>
          <t>Удельный вес, %</t>
        </is>
      </c>
      <c r="I10" s="361" t="inlineStr">
        <is>
          <t>Сметная стоимость в ценах на 01.01.2023 (руб.)</t>
        </is>
      </c>
      <c r="J10" s="430" t="n"/>
      <c r="K10" s="321" t="n"/>
      <c r="L10" s="321" t="n"/>
      <c r="M10" s="321" t="n"/>
      <c r="N10" s="321" t="n"/>
    </row>
    <row r="11" ht="28.5" customHeight="1" s="313">
      <c r="A11" s="432" t="n"/>
      <c r="B11" s="432" t="n"/>
      <c r="C11" s="432" t="n"/>
      <c r="D11" s="432" t="n"/>
      <c r="E11" s="432" t="n"/>
      <c r="F11" s="361" t="inlineStr">
        <is>
          <t>на ед. изм.</t>
        </is>
      </c>
      <c r="G11" s="361" t="inlineStr">
        <is>
          <t>общая</t>
        </is>
      </c>
      <c r="H11" s="432" t="n"/>
      <c r="I11" s="361" t="inlineStr">
        <is>
          <t>на ед. изм.</t>
        </is>
      </c>
      <c r="J11" s="361" t="inlineStr">
        <is>
          <t>общая</t>
        </is>
      </c>
      <c r="K11" s="321" t="n"/>
      <c r="L11" s="321" t="n"/>
      <c r="M11" s="321" t="n"/>
      <c r="N11" s="321" t="n"/>
    </row>
    <row r="12" s="313">
      <c r="A12" s="361" t="n">
        <v>1</v>
      </c>
      <c r="B12" s="361" t="n">
        <v>2</v>
      </c>
      <c r="C12" s="361" t="n">
        <v>3</v>
      </c>
      <c r="D12" s="361" t="n">
        <v>4</v>
      </c>
      <c r="E12" s="361" t="n">
        <v>5</v>
      </c>
      <c r="F12" s="361" t="n">
        <v>6</v>
      </c>
      <c r="G12" s="361" t="n">
        <v>7</v>
      </c>
      <c r="H12" s="361" t="n">
        <v>8</v>
      </c>
      <c r="I12" s="362" t="n">
        <v>9</v>
      </c>
      <c r="J12" s="362" t="n">
        <v>10</v>
      </c>
      <c r="K12" s="321" t="n"/>
      <c r="L12" s="321" t="n"/>
      <c r="M12" s="321" t="n"/>
      <c r="N12" s="321" t="n"/>
    </row>
    <row r="13">
      <c r="A13" s="361" t="n"/>
      <c r="B13" s="369" t="inlineStr">
        <is>
          <t>Затраты труда рабочих-строителей</t>
        </is>
      </c>
      <c r="C13" s="429" t="n"/>
      <c r="D13" s="429" t="n"/>
      <c r="E13" s="429" t="n"/>
      <c r="F13" s="429" t="n"/>
      <c r="G13" s="429" t="n"/>
      <c r="H13" s="430" t="n"/>
      <c r="I13" s="217" t="n"/>
      <c r="J13" s="217" t="n"/>
    </row>
    <row r="14" ht="25.5" customHeight="1" s="313">
      <c r="A14" s="361" t="n">
        <v>1</v>
      </c>
      <c r="B14" s="230" t="inlineStr">
        <is>
          <t>1-3-3</t>
        </is>
      </c>
      <c r="C14" s="370" t="inlineStr">
        <is>
          <t>Затраты труда рабочих-строителей среднего разряда (3,3)</t>
        </is>
      </c>
      <c r="D14" s="361" t="inlineStr">
        <is>
          <t>чел.-ч.</t>
        </is>
      </c>
      <c r="E14" s="228">
        <f>G14/F14</f>
        <v/>
      </c>
      <c r="F14" s="226" t="n">
        <v>8.859999999999999</v>
      </c>
      <c r="G14" s="226">
        <f>'Прил. 3'!H11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21">
      <c r="A15" s="361" t="n"/>
      <c r="B15" s="361" t="n"/>
      <c r="C15" s="369" t="inlineStr">
        <is>
          <t>Итого по разделу "Затраты труда рабочих-строителей"</t>
        </is>
      </c>
      <c r="D15" s="361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73" t="n">
        <v>1</v>
      </c>
      <c r="I15" s="217" t="n"/>
      <c r="J15" s="226">
        <f>SUM(J14:J14)</f>
        <v/>
      </c>
    </row>
    <row r="16" ht="14.25" customFormat="1" customHeight="1" s="321">
      <c r="A16" s="361" t="n"/>
      <c r="B16" s="370" t="inlineStr">
        <is>
          <t>Затраты труда машинистов</t>
        </is>
      </c>
      <c r="C16" s="429" t="n"/>
      <c r="D16" s="429" t="n"/>
      <c r="E16" s="429" t="n"/>
      <c r="F16" s="429" t="n"/>
      <c r="G16" s="429" t="n"/>
      <c r="H16" s="430" t="n"/>
      <c r="I16" s="217" t="n"/>
      <c r="J16" s="217" t="n"/>
    </row>
    <row r="17" ht="14.25" customFormat="1" customHeight="1" s="321">
      <c r="A17" s="361" t="n">
        <v>2</v>
      </c>
      <c r="B17" s="361" t="n">
        <v>2</v>
      </c>
      <c r="C17" s="370" t="inlineStr">
        <is>
          <t>Затраты труда машинистов</t>
        </is>
      </c>
      <c r="D17" s="361" t="inlineStr">
        <is>
          <t>чел.-ч.</t>
        </is>
      </c>
      <c r="E17" s="228" t="n">
        <v>11.48</v>
      </c>
      <c r="F17" s="226">
        <f>G17/E17</f>
        <v/>
      </c>
      <c r="G17" s="226">
        <f>'Прил. 3'!H13</f>
        <v/>
      </c>
      <c r="H17" s="373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21">
      <c r="A18" s="361" t="n"/>
      <c r="B18" s="369" t="inlineStr">
        <is>
          <t>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217" t="n"/>
      <c r="J18" s="217" t="n"/>
    </row>
    <row r="19" ht="14.25" customFormat="1" customHeight="1" s="321">
      <c r="A19" s="361" t="n"/>
      <c r="B19" s="370" t="inlineStr">
        <is>
          <t>Основные машины и механизмы</t>
        </is>
      </c>
      <c r="C19" s="429" t="n"/>
      <c r="D19" s="429" t="n"/>
      <c r="E19" s="429" t="n"/>
      <c r="F19" s="429" t="n"/>
      <c r="G19" s="429" t="n"/>
      <c r="H19" s="430" t="n"/>
      <c r="I19" s="217" t="n"/>
      <c r="J19" s="217" t="n"/>
    </row>
    <row r="20" ht="25.5" customFormat="1" customHeight="1" s="321">
      <c r="A20" s="361" t="n">
        <v>3</v>
      </c>
      <c r="B20" s="230" t="inlineStr">
        <is>
          <t>91.04.01-031</t>
        </is>
      </c>
      <c r="C20" s="370" t="inlineStr">
        <is>
          <t>Машины бурильно-крановые на автомобиле, глубина бурения 3,5 м</t>
        </is>
      </c>
      <c r="D20" s="361" t="inlineStr">
        <is>
          <t>маш.час</t>
        </is>
      </c>
      <c r="E20" s="228" t="n">
        <v>9.119999999999999</v>
      </c>
      <c r="F20" s="372" t="n">
        <v>138.54</v>
      </c>
      <c r="G20" s="226">
        <f>ROUND(E20*F20,2)</f>
        <v/>
      </c>
      <c r="H20" s="229">
        <f>G20/$G$24</f>
        <v/>
      </c>
      <c r="I20" s="226">
        <f>ROUND(F20*'Прил. 10'!$D$12,2)</f>
        <v/>
      </c>
      <c r="J20" s="226">
        <f>ROUND(I20*E20,2)</f>
        <v/>
      </c>
    </row>
    <row r="21" ht="14.25" customFormat="1" customHeight="1" s="321">
      <c r="A21" s="361" t="n"/>
      <c r="B21" s="361" t="n"/>
      <c r="C21" s="370" t="inlineStr">
        <is>
          <t>Итого основные машины и механизмы</t>
        </is>
      </c>
      <c r="D21" s="361" t="n"/>
      <c r="E21" s="228" t="n"/>
      <c r="F21" s="226" t="n"/>
      <c r="G21" s="226">
        <f>SUM(G20:G20)</f>
        <v/>
      </c>
      <c r="H21" s="373">
        <f>G21/G24</f>
        <v/>
      </c>
      <c r="I21" s="218" t="n"/>
      <c r="J21" s="226">
        <f>SUM(J20:J20)</f>
        <v/>
      </c>
    </row>
    <row r="22" hidden="1" outlineLevel="1" ht="25.5" customFormat="1" customHeight="1" s="321">
      <c r="A22" s="361" t="n">
        <v>4</v>
      </c>
      <c r="B22" s="230" t="inlineStr">
        <is>
          <t>91.14.02-001</t>
        </is>
      </c>
      <c r="C22" s="370" t="inlineStr">
        <is>
          <t>Автомобили бортовые, грузоподъемность до 5 т</t>
        </is>
      </c>
      <c r="D22" s="361" t="inlineStr">
        <is>
          <t>маш.час</t>
        </is>
      </c>
      <c r="E22" s="228" t="n">
        <v>2.36</v>
      </c>
      <c r="F22" s="372" t="n">
        <v>65.70999999999999</v>
      </c>
      <c r="G22" s="226">
        <f>ROUND(E22*F22,2)</f>
        <v/>
      </c>
      <c r="H22" s="229">
        <f>G22/$G$24</f>
        <v/>
      </c>
      <c r="I22" s="226">
        <f>ROUND(F22*'Прил. 10'!$D$12,2)</f>
        <v/>
      </c>
      <c r="J22" s="226">
        <f>ROUND(I22*E22,2)</f>
        <v/>
      </c>
    </row>
    <row r="23" collapsed="1" ht="14.25" customFormat="1" customHeight="1" s="321">
      <c r="A23" s="361" t="n"/>
      <c r="B23" s="361" t="n"/>
      <c r="C23" s="370" t="inlineStr">
        <is>
          <t>Итого прочие машины и механизмы</t>
        </is>
      </c>
      <c r="D23" s="361" t="n"/>
      <c r="E23" s="371" t="n"/>
      <c r="F23" s="226" t="n"/>
      <c r="G23" s="218">
        <f>SUM(G22:G22)</f>
        <v/>
      </c>
      <c r="H23" s="229">
        <f>G23/G24</f>
        <v/>
      </c>
      <c r="I23" s="226" t="n"/>
      <c r="J23" s="226">
        <f>SUM(J22:J22)</f>
        <v/>
      </c>
    </row>
    <row r="24" ht="25.5" customFormat="1" customHeight="1" s="321">
      <c r="A24" s="361" t="n"/>
      <c r="B24" s="361" t="n"/>
      <c r="C24" s="369" t="inlineStr">
        <is>
          <t>Итого по разделу «Машины и механизмы»</t>
        </is>
      </c>
      <c r="D24" s="361" t="n"/>
      <c r="E24" s="371" t="n"/>
      <c r="F24" s="226" t="n"/>
      <c r="G24" s="226">
        <f>G23+G21</f>
        <v/>
      </c>
      <c r="H24" s="211" t="n">
        <v>1</v>
      </c>
      <c r="I24" s="212" t="n"/>
      <c r="J24" s="213">
        <f>J23+J21</f>
        <v/>
      </c>
    </row>
    <row r="25" ht="14.25" customFormat="1" customHeight="1" s="321">
      <c r="A25" s="361" t="n"/>
      <c r="B25" s="369" t="inlineStr">
        <is>
          <t>Оборудование</t>
        </is>
      </c>
      <c r="C25" s="429" t="n"/>
      <c r="D25" s="429" t="n"/>
      <c r="E25" s="429" t="n"/>
      <c r="F25" s="429" t="n"/>
      <c r="G25" s="429" t="n"/>
      <c r="H25" s="430" t="n"/>
      <c r="I25" s="217" t="n"/>
      <c r="J25" s="217" t="n"/>
    </row>
    <row r="26">
      <c r="A26" s="361" t="n"/>
      <c r="B26" s="370" t="inlineStr">
        <is>
          <t>Основное оборудование</t>
        </is>
      </c>
      <c r="C26" s="429" t="n"/>
      <c r="D26" s="429" t="n"/>
      <c r="E26" s="429" t="n"/>
      <c r="F26" s="429" t="n"/>
      <c r="G26" s="429" t="n"/>
      <c r="H26" s="430" t="n"/>
      <c r="I26" s="217" t="n"/>
      <c r="J26" s="217" t="n"/>
      <c r="K26" s="321" t="n"/>
      <c r="L26" s="321" t="n"/>
    </row>
    <row r="27">
      <c r="A27" s="361" t="n"/>
      <c r="B27" s="361" t="n"/>
      <c r="C27" s="370" t="inlineStr">
        <is>
          <t>Итого основное оборудование</t>
        </is>
      </c>
      <c r="D27" s="361" t="n"/>
      <c r="E27" s="297" t="n"/>
      <c r="F27" s="372" t="n"/>
      <c r="G27" s="226" t="n">
        <v>0</v>
      </c>
      <c r="H27" s="229" t="n">
        <v>0</v>
      </c>
      <c r="I27" s="218" t="n"/>
      <c r="J27" s="226" t="n">
        <v>0</v>
      </c>
      <c r="K27" s="321" t="n"/>
      <c r="L27" s="321" t="n"/>
    </row>
    <row r="28">
      <c r="A28" s="361" t="n"/>
      <c r="B28" s="361" t="n"/>
      <c r="C28" s="370" t="inlineStr">
        <is>
          <t>Итого прочее оборудование</t>
        </is>
      </c>
      <c r="D28" s="361" t="n"/>
      <c r="E28" s="228" t="n"/>
      <c r="F28" s="372" t="n"/>
      <c r="G28" s="226" t="n">
        <v>0</v>
      </c>
      <c r="H28" s="229" t="n">
        <v>0</v>
      </c>
      <c r="I28" s="218" t="n"/>
      <c r="J28" s="226" t="n">
        <v>0</v>
      </c>
      <c r="K28" s="321" t="n"/>
      <c r="L28" s="321" t="n"/>
    </row>
    <row r="29">
      <c r="A29" s="361" t="n"/>
      <c r="B29" s="361" t="n"/>
      <c r="C29" s="369" t="inlineStr">
        <is>
          <t>Итого по разделу «Оборудование»</t>
        </is>
      </c>
      <c r="D29" s="361" t="n"/>
      <c r="E29" s="371" t="n"/>
      <c r="F29" s="372" t="n"/>
      <c r="G29" s="226" t="n">
        <v>0</v>
      </c>
      <c r="H29" s="229" t="n">
        <v>0</v>
      </c>
      <c r="I29" s="218" t="n"/>
      <c r="J29" s="226">
        <f>J28+J27</f>
        <v/>
      </c>
      <c r="K29" s="321" t="n"/>
      <c r="L29" s="321" t="n"/>
    </row>
    <row r="30" ht="25.5" customHeight="1" s="313">
      <c r="A30" s="361" t="n"/>
      <c r="B30" s="361" t="n"/>
      <c r="C30" s="370" t="inlineStr">
        <is>
          <t>в том числе технологическое оборудование</t>
        </is>
      </c>
      <c r="D30" s="361" t="n"/>
      <c r="E30" s="297" t="n"/>
      <c r="F30" s="372" t="n"/>
      <c r="G30" s="226">
        <f>'Прил.6 Расчет ОБ'!G12</f>
        <v/>
      </c>
      <c r="H30" s="373" t="n"/>
      <c r="I30" s="218" t="n"/>
      <c r="J30" s="226">
        <f>J29</f>
        <v/>
      </c>
      <c r="K30" s="321" t="n"/>
      <c r="L30" s="321" t="n"/>
    </row>
    <row r="31" ht="14.25" customFormat="1" customHeight="1" s="321">
      <c r="A31" s="361" t="n"/>
      <c r="B31" s="369" t="inlineStr">
        <is>
          <t>Материалы</t>
        </is>
      </c>
      <c r="C31" s="429" t="n"/>
      <c r="D31" s="429" t="n"/>
      <c r="E31" s="429" t="n"/>
      <c r="F31" s="429" t="n"/>
      <c r="G31" s="429" t="n"/>
      <c r="H31" s="430" t="n"/>
      <c r="I31" s="217" t="n"/>
      <c r="J31" s="217" t="n"/>
    </row>
    <row r="32" ht="14.25" customFormat="1" customHeight="1" s="321">
      <c r="A32" s="362" t="n"/>
      <c r="B32" s="365" t="inlineStr">
        <is>
          <t>Основные материалы</t>
        </is>
      </c>
      <c r="C32" s="435" t="n"/>
      <c r="D32" s="435" t="n"/>
      <c r="E32" s="435" t="n"/>
      <c r="F32" s="435" t="n"/>
      <c r="G32" s="435" t="n"/>
      <c r="H32" s="436" t="n"/>
      <c r="I32" s="235" t="n"/>
      <c r="J32" s="235" t="n"/>
    </row>
    <row r="33" ht="25.5" customFormat="1" customHeight="1" s="321">
      <c r="A33" s="361" t="n">
        <v>5</v>
      </c>
      <c r="B33" s="299" t="inlineStr">
        <is>
          <t>БЦ.100.15</t>
        </is>
      </c>
      <c r="C33" s="300" t="inlineStr">
        <is>
          <t>Стойка опоры СВ 110-3,5</t>
        </is>
      </c>
      <c r="D33" s="299" t="inlineStr">
        <is>
          <t>т</t>
        </is>
      </c>
      <c r="E33" s="301">
        <f>6*1.125</f>
        <v/>
      </c>
      <c r="F33" s="302">
        <f>ROUND(I33/'Прил. 10'!$D$13,2)</f>
        <v/>
      </c>
      <c r="G33" s="305">
        <f>ROUND(E33*F33,2)</f>
        <v/>
      </c>
      <c r="H33" s="304">
        <f>G33/$G$43</f>
        <v/>
      </c>
      <c r="I33" s="305" t="n">
        <v>16263.4</v>
      </c>
      <c r="J33" s="305">
        <f>ROUND(I33*E33,2)</f>
        <v/>
      </c>
    </row>
    <row r="34" ht="25.5" customFormat="1" customHeight="1" s="321">
      <c r="A34" s="361" t="n">
        <v>6</v>
      </c>
      <c r="B34" s="299" t="inlineStr">
        <is>
          <t>БЦ.100.12</t>
        </is>
      </c>
      <c r="C34" s="300" t="inlineStr">
        <is>
          <t>Стойка опоры СВ 95-2</t>
        </is>
      </c>
      <c r="D34" s="299" t="inlineStr">
        <is>
          <t>т</t>
        </is>
      </c>
      <c r="E34" s="301">
        <f>8*0.76</f>
        <v/>
      </c>
      <c r="F34" s="302">
        <f>ROUND(I34/'Прил. 10'!$D$13,2)</f>
        <v/>
      </c>
      <c r="G34" s="305">
        <f>ROUND(E34*F34,2)</f>
        <v/>
      </c>
      <c r="H34" s="304">
        <f>G34/$G$43</f>
        <v/>
      </c>
      <c r="I34" s="305" t="n">
        <v>11321.18</v>
      </c>
      <c r="J34" s="305">
        <f>ROUND(I34*E34,2)</f>
        <v/>
      </c>
    </row>
    <row r="35" ht="14.25" customFormat="1" customHeight="1" s="321">
      <c r="A35" s="363" t="n"/>
      <c r="B35" s="306" t="n"/>
      <c r="C35" s="307" t="inlineStr">
        <is>
          <t>Итого основные материалы</t>
        </is>
      </c>
      <c r="D35" s="308" t="n"/>
      <c r="E35" s="309" t="n"/>
      <c r="F35" s="311" t="n"/>
      <c r="G35" s="311">
        <f>SUM(G33:G34)</f>
        <v/>
      </c>
      <c r="H35" s="304">
        <f>G35/$G$43</f>
        <v/>
      </c>
      <c r="I35" s="305" t="n"/>
      <c r="J35" s="311">
        <f>SUM(J33:J34)</f>
        <v/>
      </c>
    </row>
    <row r="36" hidden="1" outlineLevel="1" ht="14.25" customFormat="1" customHeight="1" s="321">
      <c r="A36" s="361" t="n">
        <v>7</v>
      </c>
      <c r="B36" s="299" t="inlineStr">
        <is>
          <t>20.2.02.04-0006</t>
        </is>
      </c>
      <c r="C36" s="300" t="inlineStr">
        <is>
          <t>Колпачки полиэтиленовые</t>
        </is>
      </c>
      <c r="D36" s="299" t="inlineStr">
        <is>
          <t>100 шт</t>
        </is>
      </c>
      <c r="E36" s="301" t="n">
        <v>0.48</v>
      </c>
      <c r="F36" s="302" t="n">
        <v>610</v>
      </c>
      <c r="G36" s="305">
        <f>ROUND(E36*F36,2)</f>
        <v/>
      </c>
      <c r="H36" s="304">
        <f>G36/$G$43</f>
        <v/>
      </c>
      <c r="I36" s="305">
        <f>ROUND(F36*'Прил. 10'!$D$13,2)</f>
        <v/>
      </c>
      <c r="J36" s="305">
        <f>ROUND(I36*E36,2)</f>
        <v/>
      </c>
    </row>
    <row r="37" hidden="1" outlineLevel="1" ht="25.5" customFormat="1" customHeight="1" s="321">
      <c r="A37" s="361" t="n">
        <v>8</v>
      </c>
      <c r="B37" s="299" t="inlineStr">
        <is>
          <t>14.4.02.04-0015</t>
        </is>
      </c>
      <c r="C37" s="300" t="inlineStr">
        <is>
          <t>Краска масляная для внутренних работ МА-015, черная густотертая</t>
        </is>
      </c>
      <c r="D37" s="299" t="inlineStr">
        <is>
          <t>т</t>
        </is>
      </c>
      <c r="E37" s="301" t="n">
        <v>0.0032</v>
      </c>
      <c r="F37" s="302" t="n">
        <v>15707</v>
      </c>
      <c r="G37" s="305">
        <f>ROUND(E37*F37,2)</f>
        <v/>
      </c>
      <c r="H37" s="304">
        <f>G37/$G$43</f>
        <v/>
      </c>
      <c r="I37" s="305">
        <f>ROUND(F37*'Прил. 10'!$D$13,2)</f>
        <v/>
      </c>
      <c r="J37" s="305">
        <f>ROUND(I37*E37,2)</f>
        <v/>
      </c>
    </row>
    <row r="38" hidden="1" outlineLevel="1" ht="14.25" customFormat="1" customHeight="1" s="321">
      <c r="A38" s="361" t="n">
        <v>9</v>
      </c>
      <c r="B38" s="299" t="inlineStr">
        <is>
          <t>01.3.01.06-0038</t>
        </is>
      </c>
      <c r="C38" s="300" t="inlineStr">
        <is>
          <t>Смазка защитная электросетевая</t>
        </is>
      </c>
      <c r="D38" s="299" t="inlineStr">
        <is>
          <t>кг</t>
        </is>
      </c>
      <c r="E38" s="301" t="n">
        <v>0.8</v>
      </c>
      <c r="F38" s="302" t="n">
        <v>14.4</v>
      </c>
      <c r="G38" s="305">
        <f>ROUND(E38*F38,2)</f>
        <v/>
      </c>
      <c r="H38" s="304">
        <f>G38/$G$43</f>
        <v/>
      </c>
      <c r="I38" s="305">
        <f>ROUND(F38*'Прил. 10'!$D$13,2)</f>
        <v/>
      </c>
      <c r="J38" s="305">
        <f>ROUND(I38*E38,2)</f>
        <v/>
      </c>
    </row>
    <row r="39" hidden="1" outlineLevel="1" ht="14.25" customFormat="1" customHeight="1" s="321">
      <c r="A39" s="361" t="n">
        <v>10</v>
      </c>
      <c r="B39" s="361" t="inlineStr">
        <is>
          <t>14.4.03.03-0102</t>
        </is>
      </c>
      <c r="C39" s="370" t="inlineStr">
        <is>
          <t>Лак битумный БТ-577</t>
        </is>
      </c>
      <c r="D39" s="361" t="inlineStr">
        <is>
          <t>т</t>
        </is>
      </c>
      <c r="E39" s="297" t="n">
        <v>0.0008</v>
      </c>
      <c r="F39" s="372" t="n">
        <v>9550.01</v>
      </c>
      <c r="G39" s="226">
        <f>ROUND(E39*F39,2)</f>
        <v/>
      </c>
      <c r="H39" s="229">
        <f>G39/$G$43</f>
        <v/>
      </c>
      <c r="I39" s="226">
        <f>ROUND(F39*'Прил. 10'!$D$13,2)</f>
        <v/>
      </c>
      <c r="J39" s="226">
        <f>ROUND(I39*E39,2)</f>
        <v/>
      </c>
    </row>
    <row r="40" hidden="1" outlineLevel="1" ht="14.25" customFormat="1" customHeight="1" s="321">
      <c r="A40" s="361" t="n">
        <v>11</v>
      </c>
      <c r="B40" s="361" t="inlineStr">
        <is>
          <t>01.3.01.06-0051</t>
        </is>
      </c>
      <c r="C40" s="370" t="inlineStr">
        <is>
          <t>Смазка солидол жировой Ж</t>
        </is>
      </c>
      <c r="D40" s="361" t="inlineStr">
        <is>
          <t>кг</t>
        </is>
      </c>
      <c r="E40" s="297" t="n">
        <v>0.24</v>
      </c>
      <c r="F40" s="372" t="n">
        <v>7.2</v>
      </c>
      <c r="G40" s="226">
        <f>ROUND(E40*F40,2)</f>
        <v/>
      </c>
      <c r="H40" s="229">
        <f>G40/$G$43</f>
        <v/>
      </c>
      <c r="I40" s="226">
        <f>ROUND(F40*'Прил. 10'!$D$13,2)</f>
        <v/>
      </c>
      <c r="J40" s="226">
        <f>ROUND(I40*E40,2)</f>
        <v/>
      </c>
    </row>
    <row r="41" hidden="1" outlineLevel="1" ht="14.25" customFormat="1" customHeight="1" s="321">
      <c r="A41" s="361" t="n">
        <v>12</v>
      </c>
      <c r="B41" s="361" t="inlineStr">
        <is>
          <t>01.7.20.08-0051</t>
        </is>
      </c>
      <c r="C41" s="370" t="inlineStr">
        <is>
          <t>Ветошь</t>
        </is>
      </c>
      <c r="D41" s="361" t="inlineStr">
        <is>
          <t>кг</t>
        </is>
      </c>
      <c r="E41" s="297" t="n">
        <v>0.16</v>
      </c>
      <c r="F41" s="372" t="n">
        <v>1.82</v>
      </c>
      <c r="G41" s="226">
        <f>ROUND(E41*F41,2)</f>
        <v/>
      </c>
      <c r="H41" s="229">
        <f>G41/$G$43</f>
        <v/>
      </c>
      <c r="I41" s="226">
        <f>ROUND(F41*'Прил. 10'!$D$13,2)</f>
        <v/>
      </c>
      <c r="J41" s="226">
        <f>ROUND(I41*E41,2)</f>
        <v/>
      </c>
    </row>
    <row r="42" collapsed="1" ht="14.25" customFormat="1" customHeight="1" s="321">
      <c r="A42" s="361" t="n"/>
      <c r="B42" s="361" t="n"/>
      <c r="C42" s="370" t="inlineStr">
        <is>
          <t>Итого прочие материалы</t>
        </is>
      </c>
      <c r="D42" s="361" t="n"/>
      <c r="E42" s="297" t="n"/>
      <c r="F42" s="372" t="n"/>
      <c r="G42" s="226">
        <f>SUM(G36:G41)</f>
        <v/>
      </c>
      <c r="H42" s="229">
        <f>G42/$G$43</f>
        <v/>
      </c>
      <c r="I42" s="226" t="n"/>
      <c r="J42" s="226">
        <f>SUM(J36:J41)</f>
        <v/>
      </c>
    </row>
    <row r="43" ht="14.25" customFormat="1" customHeight="1" s="321">
      <c r="A43" s="361" t="n"/>
      <c r="B43" s="361" t="n"/>
      <c r="C43" s="369" t="inlineStr">
        <is>
          <t>Итого по разделу «Материалы»</t>
        </is>
      </c>
      <c r="D43" s="361" t="n"/>
      <c r="E43" s="371" t="n"/>
      <c r="F43" s="372" t="n"/>
      <c r="G43" s="226">
        <f>G35+G42</f>
        <v/>
      </c>
      <c r="H43" s="373">
        <f>G43/$G$43</f>
        <v/>
      </c>
      <c r="I43" s="226" t="n"/>
      <c r="J43" s="226">
        <f>J35+J42</f>
        <v/>
      </c>
    </row>
    <row r="44" ht="14.25" customFormat="1" customHeight="1" s="321">
      <c r="A44" s="361" t="n"/>
      <c r="B44" s="361" t="n"/>
      <c r="C44" s="370" t="inlineStr">
        <is>
          <t>ИТОГО ПО РМ</t>
        </is>
      </c>
      <c r="D44" s="361" t="n"/>
      <c r="E44" s="371" t="n"/>
      <c r="F44" s="372" t="n"/>
      <c r="G44" s="226">
        <f>G15+G24+G43</f>
        <v/>
      </c>
      <c r="H44" s="373" t="n"/>
      <c r="I44" s="226" t="n"/>
      <c r="J44" s="226">
        <f>J15+J24+J43</f>
        <v/>
      </c>
    </row>
    <row r="45" ht="14.25" customFormat="1" customHeight="1" s="321">
      <c r="A45" s="361" t="n"/>
      <c r="B45" s="361" t="n"/>
      <c r="C45" s="370" t="inlineStr">
        <is>
          <t>Накладные расходы</t>
        </is>
      </c>
      <c r="D45" s="220">
        <f>ROUND(G45/(G$17+$G$15),2)</f>
        <v/>
      </c>
      <c r="E45" s="371" t="n"/>
      <c r="F45" s="372" t="n"/>
      <c r="G45" s="226" t="n">
        <v>467.12</v>
      </c>
      <c r="H45" s="373" t="n"/>
      <c r="I45" s="226" t="n"/>
      <c r="J45" s="226">
        <f>ROUND(D45*(J15+J17),2)</f>
        <v/>
      </c>
    </row>
    <row r="46" ht="14.25" customFormat="1" customHeight="1" s="321">
      <c r="A46" s="361" t="n"/>
      <c r="B46" s="361" t="n"/>
      <c r="C46" s="370" t="inlineStr">
        <is>
          <t>Сметная прибыль</t>
        </is>
      </c>
      <c r="D46" s="220">
        <f>ROUND(G46/(G$15+G$17),2)</f>
        <v/>
      </c>
      <c r="E46" s="371" t="n"/>
      <c r="F46" s="372" t="n"/>
      <c r="G46" s="226" t="n">
        <v>272.11</v>
      </c>
      <c r="H46" s="373" t="n"/>
      <c r="I46" s="226" t="n"/>
      <c r="J46" s="226">
        <f>ROUND(D46*(J15+J17),2)</f>
        <v/>
      </c>
    </row>
    <row r="47" ht="14.25" customFormat="1" customHeight="1" s="321">
      <c r="A47" s="361" t="n"/>
      <c r="B47" s="361" t="n"/>
      <c r="C47" s="370" t="inlineStr">
        <is>
          <t>Итого СМР (с НР и СП)</t>
        </is>
      </c>
      <c r="D47" s="361" t="n"/>
      <c r="E47" s="371" t="n"/>
      <c r="F47" s="372" t="n"/>
      <c r="G47" s="226">
        <f>G15+G24+G43+G45+G46</f>
        <v/>
      </c>
      <c r="H47" s="373" t="n"/>
      <c r="I47" s="226" t="n"/>
      <c r="J47" s="226">
        <f>J15+J24+J43+J45+J46</f>
        <v/>
      </c>
    </row>
    <row r="48" ht="14.25" customFormat="1" customHeight="1" s="321">
      <c r="A48" s="361" t="n"/>
      <c r="B48" s="361" t="n"/>
      <c r="C48" s="370" t="inlineStr">
        <is>
          <t>ВСЕГО СМР + ОБОРУДОВАНИЕ</t>
        </is>
      </c>
      <c r="D48" s="361" t="n"/>
      <c r="E48" s="371" t="n"/>
      <c r="F48" s="372" t="n"/>
      <c r="G48" s="226">
        <f>G47+G29</f>
        <v/>
      </c>
      <c r="H48" s="373" t="n"/>
      <c r="I48" s="226" t="n"/>
      <c r="J48" s="226">
        <f>J47+J29</f>
        <v/>
      </c>
    </row>
    <row r="49" ht="34.5" customFormat="1" customHeight="1" s="321">
      <c r="A49" s="361" t="n"/>
      <c r="B49" s="361" t="n"/>
      <c r="C49" s="370" t="inlineStr">
        <is>
          <t>ИТОГО ПОКАЗАТЕЛЬ НА ЕД. ИЗМ.</t>
        </is>
      </c>
      <c r="D49" s="361" t="inlineStr">
        <is>
          <t>1 км</t>
        </is>
      </c>
      <c r="E49" s="298" t="n">
        <v>0.286</v>
      </c>
      <c r="F49" s="372" t="n"/>
      <c r="G49" s="226">
        <f>G48/E49</f>
        <v/>
      </c>
      <c r="H49" s="373" t="n"/>
      <c r="I49" s="226" t="n"/>
      <c r="J49" s="226">
        <f>J48/E49</f>
        <v/>
      </c>
    </row>
    <row r="51" ht="14.25" customFormat="1" customHeight="1" s="321">
      <c r="A51" s="320" t="inlineStr">
        <is>
          <t>Составил ______________________    А.П. Николаева</t>
        </is>
      </c>
    </row>
    <row r="52" ht="14.25" customFormat="1" customHeight="1" s="321">
      <c r="A52" s="323" t="inlineStr">
        <is>
          <t xml:space="preserve">                         (подпись, инициалы, фамилия)</t>
        </is>
      </c>
    </row>
    <row r="53" ht="14.25" customFormat="1" customHeight="1" s="321">
      <c r="A53" s="320" t="n"/>
    </row>
    <row r="54" ht="14.25" customFormat="1" customHeight="1" s="321">
      <c r="A54" s="320" t="inlineStr">
        <is>
          <t>Проверил ______________________        А.В. Костянецкая</t>
        </is>
      </c>
    </row>
    <row r="55" ht="14.25" customFormat="1" customHeight="1" s="321">
      <c r="A55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8" t="inlineStr">
        <is>
          <t>Приложение №6</t>
        </is>
      </c>
    </row>
    <row r="2" ht="21.75" customHeight="1" s="313">
      <c r="A2" s="378" t="n"/>
      <c r="B2" s="378" t="n"/>
      <c r="C2" s="378" t="n"/>
      <c r="D2" s="378" t="n"/>
      <c r="E2" s="378" t="n"/>
      <c r="F2" s="378" t="n"/>
      <c r="G2" s="378" t="n"/>
    </row>
    <row r="3">
      <c r="A3" s="332" t="inlineStr">
        <is>
          <t>Расчет стоимости оборудования</t>
        </is>
      </c>
    </row>
    <row r="4" ht="25.5" customHeight="1" s="313">
      <c r="A4" s="335" t="inlineStr">
        <is>
          <t>Наименование разрабатываемого показателя УНЦ — Опоры ВЛ 0,4 - 750 кВ. Одноцепная, все типы опор за исключением многогранных 0,4 кВ.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13">
      <c r="A6" s="383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61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13">
      <c r="A9" s="260" t="n"/>
      <c r="B9" s="370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13">
      <c r="A10" s="361" t="n"/>
      <c r="B10" s="369" t="n"/>
      <c r="C10" s="370" t="inlineStr">
        <is>
          <t>ИТОГО ИНЖЕНЕРНОЕ ОБОРУДОВАНИЕ</t>
        </is>
      </c>
      <c r="D10" s="369" t="n"/>
      <c r="E10" s="148" t="n"/>
      <c r="F10" s="372" t="n"/>
      <c r="G10" s="372" t="n">
        <v>0</v>
      </c>
    </row>
    <row r="11">
      <c r="A11" s="361" t="n"/>
      <c r="B11" s="370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25.5" customHeight="1" s="313">
      <c r="A12" s="361" t="n"/>
      <c r="B12" s="370" t="n"/>
      <c r="C12" s="370" t="inlineStr">
        <is>
          <t>ИТОГО ТЕХНОЛОГИЧЕСКОЕ ОБОРУДОВАНИЕ</t>
        </is>
      </c>
      <c r="D12" s="370" t="n"/>
      <c r="E12" s="382" t="n"/>
      <c r="F12" s="372" t="n"/>
      <c r="G12" s="226" t="n">
        <v>0</v>
      </c>
    </row>
    <row r="13" ht="19.5" customHeight="1" s="313">
      <c r="A13" s="361" t="n"/>
      <c r="B13" s="370" t="n"/>
      <c r="C13" s="370" t="inlineStr">
        <is>
          <t>Всего по разделу «Оборудование»</t>
        </is>
      </c>
      <c r="D13" s="370" t="n"/>
      <c r="E13" s="382" t="n"/>
      <c r="F13" s="372" t="n"/>
      <c r="G13" s="226">
        <f>G10+G12</f>
        <v/>
      </c>
    </row>
    <row r="14">
      <c r="A14" s="322" t="n"/>
      <c r="B14" s="151" t="n"/>
      <c r="C14" s="322" t="n"/>
      <c r="D14" s="322" t="n"/>
      <c r="E14" s="322" t="n"/>
      <c r="F14" s="322" t="n"/>
      <c r="G14" s="322" t="n"/>
    </row>
    <row r="15">
      <c r="A15" s="320" t="inlineStr">
        <is>
          <t>Составил ______________________    А.П. Николаева</t>
        </is>
      </c>
      <c r="B15" s="321" t="n"/>
      <c r="C15" s="321" t="n"/>
      <c r="D15" s="322" t="n"/>
      <c r="E15" s="322" t="n"/>
      <c r="F15" s="322" t="n"/>
      <c r="G15" s="322" t="n"/>
    </row>
    <row r="16">
      <c r="A16" s="323" t="inlineStr">
        <is>
          <t xml:space="preserve">                         (подпись, инициалы, фамилия)</t>
        </is>
      </c>
      <c r="B16" s="321" t="n"/>
      <c r="C16" s="321" t="n"/>
      <c r="D16" s="322" t="n"/>
      <c r="E16" s="322" t="n"/>
      <c r="F16" s="322" t="n"/>
      <c r="G16" s="322" t="n"/>
    </row>
    <row r="17">
      <c r="A17" s="320" t="n"/>
      <c r="B17" s="321" t="n"/>
      <c r="C17" s="321" t="n"/>
      <c r="D17" s="322" t="n"/>
      <c r="E17" s="322" t="n"/>
      <c r="F17" s="322" t="n"/>
      <c r="G17" s="322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22" t="n"/>
      <c r="E18" s="322" t="n"/>
      <c r="F18" s="322" t="n"/>
      <c r="G18" s="322" t="n"/>
    </row>
    <row r="19">
      <c r="A19" s="323" t="inlineStr">
        <is>
          <t xml:space="preserve">                        (подпись, инициалы, фамилия)</t>
        </is>
      </c>
      <c r="B19" s="321" t="n"/>
      <c r="C19" s="321" t="n"/>
      <c r="D19" s="322" t="n"/>
      <c r="E19" s="322" t="n"/>
      <c r="F19" s="322" t="n"/>
      <c r="G19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6" t="n"/>
      <c r="B1" s="316" t="n"/>
      <c r="C1" s="316" t="n"/>
      <c r="D1" s="316" t="inlineStr">
        <is>
          <t>Приложение №7</t>
        </is>
      </c>
    </row>
    <row r="2" ht="15.75" customHeight="1" s="313">
      <c r="A2" s="316" t="n"/>
      <c r="B2" s="316" t="n"/>
      <c r="C2" s="316" t="n"/>
      <c r="D2" s="316" t="n"/>
    </row>
    <row r="3" ht="15.75" customHeight="1" s="313">
      <c r="A3" s="316" t="n"/>
      <c r="B3" s="314" t="inlineStr">
        <is>
          <t>Расчет показателя УНЦ</t>
        </is>
      </c>
      <c r="C3" s="316" t="n"/>
      <c r="D3" s="316" t="n"/>
    </row>
    <row r="4" ht="15.75" customHeight="1" s="313">
      <c r="A4" s="316" t="n"/>
      <c r="B4" s="316" t="n"/>
      <c r="C4" s="316" t="n"/>
      <c r="D4" s="316" t="n"/>
    </row>
    <row r="5" ht="31.5" customHeight="1" s="313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5.75" customHeight="1" s="313">
      <c r="A6" s="316" t="inlineStr">
        <is>
          <t>Единица измерения  — 1 км</t>
        </is>
      </c>
      <c r="B6" s="316" t="n"/>
      <c r="C6" s="316" t="n"/>
      <c r="D6" s="316" t="n"/>
    </row>
    <row r="7" ht="15.75" customHeight="1" s="313">
      <c r="A7" s="316" t="n"/>
      <c r="B7" s="316" t="n"/>
      <c r="C7" s="316" t="n"/>
      <c r="D7" s="316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32" t="n"/>
      <c r="B9" s="432" t="n"/>
      <c r="C9" s="432" t="n"/>
      <c r="D9" s="432" t="n"/>
    </row>
    <row r="10" ht="15.75" customHeight="1" s="313">
      <c r="A10" s="347" t="n">
        <v>1</v>
      </c>
      <c r="B10" s="347" t="n">
        <v>2</v>
      </c>
      <c r="C10" s="347" t="n">
        <v>3</v>
      </c>
      <c r="D10" s="347" t="n">
        <v>4</v>
      </c>
    </row>
    <row r="11" ht="47.25" customHeight="1" s="313">
      <c r="A11" s="347" t="inlineStr">
        <is>
          <t>Л3-01-1</t>
        </is>
      </c>
      <c r="B11" s="347" t="inlineStr">
        <is>
          <t xml:space="preserve">УНЦ опор ВЛ 0,4 - 750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 А.П. Николаева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13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3"/>
  <sheetViews>
    <sheetView view="pageBreakPreview" zoomScale="60" zoomScaleNormal="85" workbookViewId="0">
      <selection activeCell="B24" sqref="B24"/>
    </sheetView>
  </sheetViews>
  <sheetFormatPr baseColWidth="8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42" t="inlineStr">
        <is>
          <t>Приложение № 10</t>
        </is>
      </c>
    </row>
    <row r="5" ht="18.75" customHeight="1" s="313">
      <c r="B5" s="189" t="n"/>
    </row>
    <row r="6" ht="15.75" customHeight="1" s="313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3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13">
      <c r="B10" s="347" t="n">
        <v>1</v>
      </c>
      <c r="C10" s="347" t="n">
        <v>2</v>
      </c>
      <c r="D10" s="347" t="n">
        <v>3</v>
      </c>
    </row>
    <row r="11" ht="45" customHeight="1" s="313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прил.1</t>
        </is>
      </c>
      <c r="D11" s="347" t="n">
        <v>44.29</v>
      </c>
    </row>
    <row r="12" ht="31.5" customHeight="1" s="313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прил.1</t>
        </is>
      </c>
      <c r="D12" s="347" t="n">
        <v>11.72</v>
      </c>
    </row>
    <row r="13" ht="31.5" customHeight="1" s="313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прил.1</t>
        </is>
      </c>
      <c r="D13" s="347" t="n">
        <v>7.74</v>
      </c>
    </row>
    <row r="14" ht="30.75" customHeight="1" s="313">
      <c r="B14" s="34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313">
      <c r="B15" s="347" t="inlineStr">
        <is>
          <t>Временные здания и сооружения</t>
        </is>
      </c>
      <c r="C15" s="34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0.025</v>
      </c>
    </row>
    <row r="16" ht="78.75" customHeight="1" s="313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0.019</v>
      </c>
    </row>
    <row r="17" ht="31.5" customHeight="1" s="313">
      <c r="B17" s="347" t="inlineStr">
        <is>
          <t>Строительный контроль</t>
        </is>
      </c>
      <c r="C17" s="347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13">
      <c r="B18" s="347" t="inlineStr">
        <is>
          <t>Авторский надзор - 0,2%</t>
        </is>
      </c>
      <c r="C18" s="347" t="inlineStr">
        <is>
          <t>Приказ от 4.08.2020 № 421/пр п.173</t>
        </is>
      </c>
      <c r="D18" s="192" t="n">
        <v>0.002</v>
      </c>
    </row>
    <row r="19" ht="24" customHeight="1" s="313">
      <c r="B19" s="347" t="inlineStr">
        <is>
          <t>Непредвиденные расходы</t>
        </is>
      </c>
      <c r="C19" s="347" t="inlineStr">
        <is>
          <t>Приказ от 4.08.2020 № 421/пр п.179</t>
        </is>
      </c>
      <c r="D19" s="192" t="n">
        <v>0.03</v>
      </c>
    </row>
    <row r="20" ht="18.75" customHeight="1" s="313">
      <c r="B20" s="274" t="n"/>
    </row>
    <row r="21" ht="18.75" customHeight="1" s="313">
      <c r="B21" s="274" t="n"/>
    </row>
    <row r="22" ht="18.75" customHeight="1" s="313">
      <c r="B22" s="274" t="n"/>
    </row>
    <row r="23" ht="18.75" customHeight="1" s="313">
      <c r="B23" s="274" t="n"/>
    </row>
    <row r="24"/>
    <row r="25">
      <c r="B25" s="320" t="inlineStr">
        <is>
          <t>Составил ______________________     А.П. Николаева</t>
        </is>
      </c>
    </row>
    <row r="26">
      <c r="B26" s="323" t="inlineStr">
        <is>
          <t xml:space="preserve">                         (подпись, инициалы, фамилия)</t>
        </is>
      </c>
      <c r="C26" s="321" t="n"/>
    </row>
    <row r="27" s="313">
      <c r="B27" s="320" t="n"/>
      <c r="C27" s="321" t="n"/>
      <c r="D27" s="322" t="n"/>
    </row>
    <row r="28">
      <c r="B28" s="320" t="inlineStr">
        <is>
          <t>Проверил ______________________        А.В. Костянецкая</t>
        </is>
      </c>
      <c r="C28" s="321" t="n"/>
    </row>
    <row r="29">
      <c r="B29" s="323" t="inlineStr">
        <is>
          <t xml:space="preserve">                        (подпись, инициалы, фамилия)</t>
        </is>
      </c>
      <c r="C29" s="321" t="n"/>
    </row>
    <row r="30">
      <c r="C30" s="321" t="n"/>
    </row>
    <row r="31"/>
    <row r="32"/>
    <row r="33"/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topLeftCell="A7" workbookViewId="0">
      <selection activeCell="C25" sqref="C25"/>
    </sheetView>
  </sheetViews>
  <sheetFormatPr baseColWidth="8" defaultRowHeight="14.4"/>
  <cols>
    <col width="9.109375" customWidth="1" style="313" min="1" max="1"/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  <col width="9.109375" customWidth="1" style="313" min="7" max="7"/>
  </cols>
  <sheetData>
    <row r="2" ht="17.25" customHeight="1" s="313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1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1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3">
      <c r="A9" s="176" t="inlineStr">
        <is>
          <t>1.3</t>
        </is>
      </c>
      <c r="B9" s="180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19" t="n">
        <v>1</v>
      </c>
      <c r="F9" s="180" t="n"/>
      <c r="G9" s="182" t="n"/>
    </row>
    <row r="10" ht="15.75" customHeight="1" s="313">
      <c r="A10" s="176" t="inlineStr">
        <is>
          <t>1.4</t>
        </is>
      </c>
      <c r="B10" s="180" t="inlineStr">
        <is>
          <t>Средний разряд работ</t>
        </is>
      </c>
      <c r="C10" s="347" t="n"/>
      <c r="D10" s="347" t="n"/>
      <c r="E10" s="183" t="n">
        <v>3.3</v>
      </c>
      <c r="F10" s="180" t="inlineStr">
        <is>
          <t>РТМ</t>
        </is>
      </c>
      <c r="G10" s="182" t="n"/>
    </row>
    <row r="11" ht="78.75" customHeight="1" s="31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270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3">
      <c r="A12" s="176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2025-01-24T12:10:01Z</dcterms:modified>
  <cp:lastModifiedBy>user1</cp:lastModifiedBy>
</cp:coreProperties>
</file>