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171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17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72" fontId="18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7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172" fontId="18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16" min="1" max="2"/>
    <col width="51.6640625" customWidth="1" style="316" min="3" max="3"/>
    <col width="47" customWidth="1" style="316" min="4" max="4"/>
    <col width="37.44140625" customWidth="1" style="316" min="5" max="5"/>
    <col width="9.109375" customWidth="1" style="316" min="6" max="6"/>
  </cols>
  <sheetData>
    <row r="3">
      <c r="B3" s="338" t="inlineStr">
        <is>
          <t>Приложение № 1</t>
        </is>
      </c>
    </row>
    <row r="4">
      <c r="B4" s="339" t="inlineStr">
        <is>
          <t>Сравнительная таблица отбора объекта-представителя</t>
        </is>
      </c>
    </row>
    <row r="5" ht="84" customHeight="1" s="313">
      <c r="B5" s="3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78" t="n"/>
      <c r="C6" s="278" t="n"/>
      <c r="D6" s="278" t="n"/>
    </row>
    <row r="7" ht="64.5" customHeight="1" s="313">
      <c r="B7" s="340" t="inlineStr">
        <is>
          <t>Наименование разрабатываемого показателя УНЦ - Опоры ВЛ 0,4 - 750 кВ. Двухцепная, все типы опор за исключением многогранных 6-20 кВ.</t>
        </is>
      </c>
    </row>
    <row r="8" ht="31.5" customHeight="1" s="313">
      <c r="B8" s="340" t="inlineStr">
        <is>
          <t>Сопоставимый уровень цен: 3 кв. 2018 г</t>
        </is>
      </c>
    </row>
    <row r="9" ht="15.75" customHeight="1" s="313">
      <c r="B9" s="340" t="inlineStr">
        <is>
          <t>Единица измерения  — 1 км</t>
        </is>
      </c>
    </row>
    <row r="10">
      <c r="B10" s="340" t="n"/>
    </row>
    <row r="11">
      <c r="B11" s="344" t="inlineStr">
        <is>
          <t>№ п/п</t>
        </is>
      </c>
      <c r="C11" s="344" t="inlineStr">
        <is>
          <t>Параметр</t>
        </is>
      </c>
      <c r="D11" s="344" t="inlineStr">
        <is>
          <t xml:space="preserve">Объект-представитель </t>
        </is>
      </c>
      <c r="E11" s="254" t="n"/>
    </row>
    <row r="12" ht="96.75" customHeight="1" s="313">
      <c r="B12" s="344" t="n">
        <v>1</v>
      </c>
      <c r="C12" s="249" t="inlineStr">
        <is>
          <t>Наименование объекта-представителя</t>
        </is>
      </c>
      <c r="D12" s="344" t="inlineStr">
        <is>
          <t xml:space="preserve">ВЛ 10 ПС 35 Н.Хуторное </t>
        </is>
      </c>
    </row>
    <row r="13">
      <c r="B13" s="344" t="n">
        <v>2</v>
      </c>
      <c r="C13" s="249" t="inlineStr">
        <is>
          <t>Наименование субъекта Российской Федерации</t>
        </is>
      </c>
      <c r="D13" s="344" t="inlineStr">
        <is>
          <t>Белгородская область</t>
        </is>
      </c>
    </row>
    <row r="14">
      <c r="B14" s="344" t="n">
        <v>3</v>
      </c>
      <c r="C14" s="249" t="inlineStr">
        <is>
          <t>Климатический район и подрайон</t>
        </is>
      </c>
      <c r="D14" s="344" t="inlineStr">
        <is>
          <t>IIВ</t>
        </is>
      </c>
    </row>
    <row r="15">
      <c r="B15" s="344" t="n">
        <v>4</v>
      </c>
      <c r="C15" s="249" t="inlineStr">
        <is>
          <t>Мощность объекта</t>
        </is>
      </c>
      <c r="D15" s="344" t="n">
        <v>0.886</v>
      </c>
    </row>
    <row r="16" ht="116.25" customHeight="1" s="313">
      <c r="B16" s="34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 xml:space="preserve">Стойка СВ110-5, провод ВЛ 10 кВ </t>
        </is>
      </c>
    </row>
    <row r="17" ht="79.5" customHeight="1" s="313">
      <c r="B17" s="34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2">
        <f>SUM(D18:D21)</f>
        <v/>
      </c>
      <c r="E17" s="277" t="n"/>
    </row>
    <row r="18">
      <c r="B18" s="253" t="inlineStr">
        <is>
          <t>6.1</t>
        </is>
      </c>
      <c r="C18" s="249" t="inlineStr">
        <is>
          <t>строительно-монтажные работы</t>
        </is>
      </c>
      <c r="D18" s="302">
        <f>'Прил.2 Расч стоим'!F14</f>
        <v/>
      </c>
    </row>
    <row r="19" ht="15.75" customHeight="1" s="313">
      <c r="B19" s="253" t="inlineStr">
        <is>
          <t>6.2</t>
        </is>
      </c>
      <c r="C19" s="249" t="inlineStr">
        <is>
          <t>оборудование и инвентарь</t>
        </is>
      </c>
      <c r="D19" s="302" t="n"/>
    </row>
    <row r="20" ht="16.5" customHeight="1" s="313">
      <c r="B20" s="253" t="inlineStr">
        <is>
          <t>6.3</t>
        </is>
      </c>
      <c r="C20" s="249" t="inlineStr">
        <is>
          <t>пусконаладочные работы</t>
        </is>
      </c>
      <c r="D20" s="302" t="n"/>
    </row>
    <row r="21" ht="35.25" customHeight="1" s="313">
      <c r="B21" s="253" t="inlineStr">
        <is>
          <t>6.4</t>
        </is>
      </c>
      <c r="C21" s="252" t="inlineStr">
        <is>
          <t>прочие и лимитированные затраты</t>
        </is>
      </c>
      <c r="D21" s="302" t="n"/>
    </row>
    <row r="22">
      <c r="B22" s="344" t="n">
        <v>7</v>
      </c>
      <c r="C22" s="252" t="inlineStr">
        <is>
          <t>Сопоставимый уровень цен</t>
        </is>
      </c>
      <c r="D22" s="303" t="inlineStr">
        <is>
          <t>3 кв. 2018 г</t>
        </is>
      </c>
      <c r="E22" s="250" t="n"/>
    </row>
    <row r="23" ht="123" customHeight="1" s="313">
      <c r="B23" s="344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2">
        <f>D17</f>
        <v/>
      </c>
      <c r="E23" s="277" t="n"/>
    </row>
    <row r="24" ht="60.75" customHeight="1" s="313">
      <c r="B24" s="34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2">
        <f>D23/D15</f>
        <v/>
      </c>
      <c r="E24" s="250" t="n"/>
    </row>
    <row r="25" ht="48" customHeight="1" s="313">
      <c r="B25" s="344" t="n">
        <v>10</v>
      </c>
      <c r="C25" s="249" t="inlineStr">
        <is>
          <t>Примечание</t>
        </is>
      </c>
      <c r="D25" s="344" t="n"/>
    </row>
    <row r="26">
      <c r="B26" s="248" t="n"/>
      <c r="C26" s="247" t="n"/>
      <c r="D26" s="247" t="n"/>
    </row>
    <row r="27" ht="37.5" customHeight="1" s="313">
      <c r="B27" s="246" t="n"/>
    </row>
    <row r="28">
      <c r="B28" s="316" t="inlineStr">
        <is>
          <t>Составил ______________________    А.П. Николаева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16" min="1" max="1"/>
    <col width="9.109375" customWidth="1" style="316" min="2" max="2"/>
    <col width="35.33203125" customWidth="1" style="316" min="3" max="3"/>
    <col width="13.88671875" customWidth="1" style="316" min="4" max="4"/>
    <col width="24.88671875" customWidth="1" style="316" min="5" max="5"/>
    <col width="15.5546875" customWidth="1" style="316" min="6" max="6"/>
    <col width="14.88671875" customWidth="1" style="316" min="7" max="7"/>
    <col width="16.6640625" customWidth="1" style="316" min="8" max="8"/>
    <col width="13" customWidth="1" style="316" min="9" max="10"/>
    <col width="18" customWidth="1" style="316" min="11" max="11"/>
    <col width="9.109375" customWidth="1" style="316" min="12" max="12"/>
  </cols>
  <sheetData>
    <row r="3">
      <c r="B3" s="338" t="inlineStr">
        <is>
          <t>Приложение № 2</t>
        </is>
      </c>
      <c r="K3" s="246" t="n"/>
    </row>
    <row r="4">
      <c r="B4" s="339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313">
      <c r="B6" s="340">
        <f>'Прил.1 Сравнит табл'!B7:D7</f>
        <v/>
      </c>
    </row>
    <row r="7">
      <c r="B7" s="340">
        <f>'Прил.1 Сравнит табл'!B9:D9</f>
        <v/>
      </c>
    </row>
    <row r="8" ht="18.75" customHeight="1" s="313">
      <c r="B8" s="280" t="n"/>
    </row>
    <row r="9" ht="15.75" customHeight="1" s="313">
      <c r="B9" s="344" t="inlineStr">
        <is>
          <t>№ п/п</t>
        </is>
      </c>
      <c r="C9" s="3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4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313">
      <c r="B10" s="429" t="n"/>
      <c r="C10" s="429" t="n"/>
      <c r="D10" s="344" t="inlineStr">
        <is>
          <t>Номер сметы</t>
        </is>
      </c>
      <c r="E10" s="344" t="inlineStr">
        <is>
          <t>Наименование сметы</t>
        </is>
      </c>
      <c r="F10" s="344" t="inlineStr">
        <is>
          <t>Сметная стоимость в уровне цен 3 кв. 2018 г., тыс. руб.</t>
        </is>
      </c>
      <c r="G10" s="427" t="n"/>
      <c r="H10" s="427" t="n"/>
      <c r="I10" s="427" t="n"/>
      <c r="J10" s="428" t="n"/>
    </row>
    <row r="11" ht="31.5" customHeight="1" s="313">
      <c r="B11" s="430" t="n"/>
      <c r="C11" s="430" t="n"/>
      <c r="D11" s="430" t="n"/>
      <c r="E11" s="430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 ht="15" customHeight="1" s="313">
      <c r="B12" s="324" t="n"/>
      <c r="C12" s="324" t="n"/>
      <c r="D12" s="324" t="n"/>
      <c r="E12" s="324" t="n"/>
      <c r="F12" s="431" t="n">
        <v>972.3207200000001</v>
      </c>
      <c r="G12" s="428" t="n"/>
      <c r="H12" s="324" t="n"/>
      <c r="I12" s="324" t="n"/>
      <c r="J12" s="324">
        <f>SUM(F12:I12)</f>
        <v/>
      </c>
    </row>
    <row r="13" ht="15.75" customHeight="1" s="313">
      <c r="B13" s="342" t="inlineStr">
        <is>
          <t>Всего по объекту:</t>
        </is>
      </c>
      <c r="C13" s="432" t="n"/>
      <c r="D13" s="432" t="n"/>
      <c r="E13" s="433" t="n"/>
      <c r="F13" s="325" t="n"/>
      <c r="G13" s="325" t="n"/>
      <c r="H13" s="325" t="n"/>
      <c r="I13" s="325" t="n"/>
      <c r="J13" s="324" t="n"/>
    </row>
    <row r="14" ht="15.75" customHeight="1" s="313">
      <c r="B14" s="343" t="inlineStr">
        <is>
          <t>Всего по объекту в сопоставимом уровне цен 3 кв. 2018 г:</t>
        </is>
      </c>
      <c r="C14" s="427" t="n"/>
      <c r="D14" s="427" t="n"/>
      <c r="E14" s="428" t="n"/>
      <c r="F14" s="434">
        <f>F12</f>
        <v/>
      </c>
      <c r="G14" s="428" t="n"/>
      <c r="H14" s="326" t="n"/>
      <c r="I14" s="326" t="n"/>
      <c r="J14" s="326">
        <f>SUM(F14:I14)</f>
        <v/>
      </c>
    </row>
    <row r="15" ht="15" customHeight="1" s="313"/>
    <row r="16" ht="15" customHeight="1" s="313"/>
    <row r="17" ht="15" customHeight="1" s="313"/>
    <row r="18" ht="15" customHeight="1" s="313">
      <c r="C18" s="320" t="inlineStr">
        <is>
          <t>Составил ______________________     А.П. Николаева</t>
        </is>
      </c>
      <c r="D18" s="321" t="n"/>
      <c r="E18" s="321" t="n"/>
    </row>
    <row r="19" ht="15" customHeight="1" s="313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13">
      <c r="C20" s="320" t="n"/>
      <c r="D20" s="321" t="n"/>
      <c r="E20" s="321" t="n"/>
    </row>
    <row r="21" ht="15" customHeight="1" s="313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13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13"/>
    <row r="24" ht="15" customHeight="1" s="313"/>
    <row r="25" ht="15" customHeight="1" s="313"/>
    <row r="26" ht="15" customHeight="1" s="313"/>
    <row r="27" ht="15" customHeight="1" s="313"/>
    <row r="28" ht="15" customHeight="1" s="31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4"/>
  <sheetViews>
    <sheetView view="pageBreakPreview" zoomScale="55" workbookViewId="0">
      <selection activeCell="C30" sqref="C30"/>
    </sheetView>
  </sheetViews>
  <sheetFormatPr baseColWidth="8" defaultColWidth="9.109375" defaultRowHeight="15.6"/>
  <cols>
    <col width="9.109375" customWidth="1" style="316" min="1" max="1"/>
    <col width="12.5546875" customWidth="1" style="316" min="2" max="2"/>
    <col width="22.44140625" customWidth="1" style="316" min="3" max="3"/>
    <col width="49.6640625" customWidth="1" style="316" min="4" max="4"/>
    <col width="10.109375" customWidth="1" style="316" min="5" max="5"/>
    <col width="20.6640625" customWidth="1" style="316" min="6" max="6"/>
    <col width="20" customWidth="1" style="316" min="7" max="7"/>
    <col width="16.6640625" customWidth="1" style="316" min="8" max="8"/>
    <col hidden="1" width="9.109375" customWidth="1" style="316" min="9" max="10"/>
    <col hidden="1" width="15" customWidth="1" style="316" min="11" max="11"/>
    <col hidden="1" width="9.109375" customWidth="1" style="316" min="12" max="13"/>
    <col width="16.6640625" customWidth="1" style="316" min="14" max="14"/>
  </cols>
  <sheetData>
    <row r="2">
      <c r="A2" s="338" t="inlineStr">
        <is>
          <t xml:space="preserve">Приложение № 3 </t>
        </is>
      </c>
    </row>
    <row r="3">
      <c r="A3" s="339" t="inlineStr">
        <is>
          <t>Объектная ресурсная ведомость</t>
        </is>
      </c>
    </row>
    <row r="4" ht="18.75" customHeight="1" s="313">
      <c r="A4" s="299" t="n"/>
      <c r="B4" s="299" t="n"/>
      <c r="C4" s="3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0" t="n"/>
    </row>
    <row r="6">
      <c r="A6" s="353" t="inlineStr">
        <is>
          <t>Наименование разрабатываемого показателя УНЦ -  Опоры ВЛ 0,4 - 750 кВ. Двухцепная, все типы опор за исключением многогранных 6-20 кВ.</t>
        </is>
      </c>
    </row>
    <row r="7">
      <c r="A7" s="353" t="n"/>
      <c r="B7" s="353" t="n"/>
      <c r="C7" s="353" t="n"/>
      <c r="D7" s="353" t="n"/>
      <c r="E7" s="353" t="n"/>
      <c r="F7" s="353" t="n"/>
      <c r="G7" s="353" t="n"/>
      <c r="H7" s="353" t="n"/>
    </row>
    <row r="8" ht="38.25" customHeight="1" s="313">
      <c r="A8" s="344" t="inlineStr">
        <is>
          <t>п/п</t>
        </is>
      </c>
      <c r="B8" s="344" t="inlineStr">
        <is>
          <t>№ЛСР</t>
        </is>
      </c>
      <c r="C8" s="344" t="inlineStr">
        <is>
          <t>Код ресурса</t>
        </is>
      </c>
      <c r="D8" s="344" t="inlineStr">
        <is>
          <t>Наименование ресурса</t>
        </is>
      </c>
      <c r="E8" s="344" t="inlineStr">
        <is>
          <t>Ед. изм.</t>
        </is>
      </c>
      <c r="F8" s="344" t="inlineStr">
        <is>
          <t>Кол-во единиц по данным объекта-представителя</t>
        </is>
      </c>
      <c r="G8" s="344" t="inlineStr">
        <is>
          <t>Сметная стоимость в ценах на 01.01.2000 (руб.)</t>
        </is>
      </c>
      <c r="H8" s="428" t="n"/>
    </row>
    <row r="9" ht="40.5" customHeight="1" s="313">
      <c r="A9" s="430" t="n"/>
      <c r="B9" s="430" t="n"/>
      <c r="C9" s="430" t="n"/>
      <c r="D9" s="430" t="n"/>
      <c r="E9" s="430" t="n"/>
      <c r="F9" s="430" t="n"/>
      <c r="G9" s="344" t="inlineStr">
        <is>
          <t>на ед.изм.</t>
        </is>
      </c>
      <c r="H9" s="344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14">
      <c r="A11" s="350" t="inlineStr">
        <is>
          <t>Затраты труда рабочих</t>
        </is>
      </c>
      <c r="B11" s="427" t="n"/>
      <c r="C11" s="427" t="n"/>
      <c r="D11" s="427" t="n"/>
      <c r="E11" s="428" t="n"/>
      <c r="F11" s="288">
        <f>SUM(F12:F12)</f>
        <v/>
      </c>
      <c r="G11" s="289" t="n"/>
      <c r="H11" s="288">
        <f>SUM(H12:H12)</f>
        <v/>
      </c>
    </row>
    <row r="12">
      <c r="A12" s="381" t="n">
        <v>1</v>
      </c>
      <c r="B12" s="261" t="n"/>
      <c r="C12" s="293" t="inlineStr">
        <is>
          <t>1-3-3</t>
        </is>
      </c>
      <c r="D12" s="292" t="inlineStr">
        <is>
          <t>Затраты труда рабочих (ср 3,3)</t>
        </is>
      </c>
      <c r="E12" s="381" t="inlineStr">
        <is>
          <t>чел.-ч</t>
        </is>
      </c>
      <c r="F12" s="298" t="n">
        <v>129.2</v>
      </c>
      <c r="G12" s="297" t="n">
        <v>8.859999999999999</v>
      </c>
      <c r="H12" s="297">
        <f>ROUND(F12*G12,2)</f>
        <v/>
      </c>
      <c r="J12" s="316" t="n">
        <v>3.3</v>
      </c>
      <c r="K12" s="316">
        <f>F12*J12</f>
        <v/>
      </c>
      <c r="M12" s="300">
        <f>(SUM(K12:K12)/F11)</f>
        <v/>
      </c>
    </row>
    <row r="13" ht="15.75" customHeight="1" s="313">
      <c r="A13" s="350" t="inlineStr">
        <is>
          <t>Затраты труда машинистов</t>
        </is>
      </c>
      <c r="B13" s="427" t="n"/>
      <c r="C13" s="427" t="n"/>
      <c r="D13" s="427" t="n"/>
      <c r="E13" s="428" t="n"/>
      <c r="F13" s="350" t="n"/>
      <c r="G13" s="259" t="n"/>
      <c r="H13" s="288">
        <f>H14</f>
        <v/>
      </c>
    </row>
    <row r="14">
      <c r="A14" s="381" t="n">
        <v>2</v>
      </c>
      <c r="B14" s="351" t="n"/>
      <c r="C14" s="293" t="n">
        <v>2</v>
      </c>
      <c r="D14" s="292" t="inlineStr">
        <is>
          <t>Затраты труда машинистов(справочно)</t>
        </is>
      </c>
      <c r="E14" s="381" t="inlineStr">
        <is>
          <t>чел.-ч</t>
        </is>
      </c>
      <c r="F14" s="298" t="n">
        <v>43.69</v>
      </c>
      <c r="G14" s="297" t="n"/>
      <c r="H14" s="295" t="n">
        <v>506.81</v>
      </c>
    </row>
    <row r="15" customFormat="1" s="314">
      <c r="A15" s="350" t="inlineStr">
        <is>
          <t>Машины и механизмы</t>
        </is>
      </c>
      <c r="B15" s="427" t="n"/>
      <c r="C15" s="427" t="n"/>
      <c r="D15" s="427" t="n"/>
      <c r="E15" s="428" t="n"/>
      <c r="F15" s="350" t="n"/>
      <c r="G15" s="259" t="n"/>
      <c r="H15" s="288">
        <f>SUM(H16:H17)</f>
        <v/>
      </c>
      <c r="N15" s="435">
        <f>H11+H13+H15+H19</f>
        <v/>
      </c>
    </row>
    <row r="16" ht="25.5" customHeight="1" s="313">
      <c r="A16" s="381" t="n">
        <v>3</v>
      </c>
      <c r="B16" s="351" t="n"/>
      <c r="C16" s="293" t="inlineStr">
        <is>
          <t>91.04.01-031</t>
        </is>
      </c>
      <c r="D16" s="292" t="inlineStr">
        <is>
          <t>Машины бурильно-крановые на автомобиле, глубина бурения 3,5 м</t>
        </is>
      </c>
      <c r="E16" s="381" t="inlineStr">
        <is>
          <t>маш.час</t>
        </is>
      </c>
      <c r="F16" s="381" t="n">
        <v>35.08</v>
      </c>
      <c r="G16" s="290" t="n">
        <v>138.54</v>
      </c>
      <c r="H16" s="297">
        <f>ROUND(F16*G16,2)</f>
        <v/>
      </c>
      <c r="I16" s="301" t="n"/>
      <c r="J16" s="301">
        <f>H16/$H$15</f>
        <v/>
      </c>
      <c r="L16" s="301" t="n"/>
    </row>
    <row r="17" customFormat="1" s="314">
      <c r="A17" s="381" t="n">
        <v>4</v>
      </c>
      <c r="B17" s="351" t="n"/>
      <c r="C17" s="293" t="inlineStr">
        <is>
          <t>91.14.02-001</t>
        </is>
      </c>
      <c r="D17" s="292" t="inlineStr">
        <is>
          <t>Автомобили бортовые, грузоподъемность до 5 т</t>
        </is>
      </c>
      <c r="E17" s="381" t="inlineStr">
        <is>
          <t>маш.час</t>
        </is>
      </c>
      <c r="F17" s="381" t="n">
        <v>8.609999999999999</v>
      </c>
      <c r="G17" s="290" t="n">
        <v>65.70999999999999</v>
      </c>
      <c r="H17" s="297">
        <f>ROUND(F17*G17,2)</f>
        <v/>
      </c>
      <c r="I17" s="301" t="n"/>
      <c r="J17" s="301" t="n"/>
      <c r="L17" s="301" t="n"/>
    </row>
    <row r="18" ht="15" customHeight="1" s="313">
      <c r="A18" s="350" t="inlineStr">
        <is>
          <t>Оборудование</t>
        </is>
      </c>
      <c r="B18" s="427" t="n"/>
      <c r="C18" s="427" t="n"/>
      <c r="D18" s="427" t="n"/>
      <c r="E18" s="428" t="n"/>
      <c r="F18" s="289" t="n"/>
      <c r="G18" s="289" t="n"/>
      <c r="H18" s="288" t="n">
        <v>0</v>
      </c>
    </row>
    <row r="19">
      <c r="A19" s="350" t="inlineStr">
        <is>
          <t>Материалы</t>
        </is>
      </c>
      <c r="B19" s="427" t="n"/>
      <c r="C19" s="427" t="n"/>
      <c r="D19" s="427" t="n"/>
      <c r="E19" s="428" t="n"/>
      <c r="F19" s="350" t="n"/>
      <c r="G19" s="259" t="n"/>
      <c r="H19" s="288">
        <f>SUM(H20:H27)</f>
        <v/>
      </c>
    </row>
    <row r="20" ht="25.5" customHeight="1" s="313">
      <c r="A20" s="285" t="n">
        <v>5</v>
      </c>
      <c r="B20" s="351" t="n"/>
      <c r="C20" s="293" t="inlineStr">
        <is>
          <t>05.1.02.07-0075</t>
        </is>
      </c>
      <c r="D20" s="292" t="inlineStr">
        <is>
          <t>Стойка опоры СВ 110-3,5</t>
        </is>
      </c>
      <c r="E20" s="381" t="inlineStr">
        <is>
          <t>т</t>
        </is>
      </c>
      <c r="F20" s="381" t="n">
        <v>48.375</v>
      </c>
      <c r="G20" s="297" t="n">
        <v>2101.21</v>
      </c>
      <c r="H20" s="297">
        <f>ROUND(F20*G20,2)</f>
        <v/>
      </c>
      <c r="I20" s="287" t="n"/>
      <c r="J20" s="301">
        <f>H20/$H$19</f>
        <v/>
      </c>
      <c r="K20" s="301" t="n"/>
    </row>
    <row r="21">
      <c r="A21" s="285" t="n">
        <v>6</v>
      </c>
      <c r="B21" s="351" t="n"/>
      <c r="C21" s="293" t="inlineStr">
        <is>
          <t>07.2.02.05-0021</t>
        </is>
      </c>
      <c r="D21" s="292" t="inlineStr">
        <is>
          <t>Траверсы стальные</t>
        </is>
      </c>
      <c r="E21" s="381" t="inlineStr">
        <is>
          <t>т</t>
        </is>
      </c>
      <c r="F21" s="381" t="n">
        <v>1.32384</v>
      </c>
      <c r="G21" s="297" t="n">
        <v>10832.93</v>
      </c>
      <c r="H21" s="297">
        <f>ROUND(F21*G21,2)</f>
        <v/>
      </c>
      <c r="I21" s="287" t="n"/>
      <c r="J21" s="301">
        <f>H21/$H$19</f>
        <v/>
      </c>
      <c r="K21" s="301" t="n"/>
    </row>
    <row r="22">
      <c r="A22" s="285" t="n">
        <v>7</v>
      </c>
      <c r="B22" s="351" t="n"/>
      <c r="C22" s="293" t="inlineStr">
        <is>
          <t>20.2.02.04-0006</t>
        </is>
      </c>
      <c r="D22" s="292" t="inlineStr">
        <is>
          <t>Колпачки полиэтиленовые</t>
        </is>
      </c>
      <c r="E22" s="381" t="inlineStr">
        <is>
          <t>100 шт</t>
        </is>
      </c>
      <c r="F22" s="381" t="n">
        <v>1.26</v>
      </c>
      <c r="G22" s="297" t="n">
        <v>610</v>
      </c>
      <c r="H22" s="297">
        <f>ROUND(F22*G22,2)</f>
        <v/>
      </c>
      <c r="I22" s="287" t="n"/>
      <c r="J22" s="301" t="n"/>
      <c r="K22" s="301" t="n"/>
    </row>
    <row r="23" ht="25.5" customHeight="1" s="313">
      <c r="A23" s="285" t="n">
        <v>8</v>
      </c>
      <c r="B23" s="351" t="n"/>
      <c r="C23" s="293" t="inlineStr">
        <is>
          <t>14.4.02.04-0015</t>
        </is>
      </c>
      <c r="D23" s="292" t="inlineStr">
        <is>
          <t>Краска масляная для внутренних работ МА-015, черная густотертая</t>
        </is>
      </c>
      <c r="E23" s="381" t="inlineStr">
        <is>
          <t>т</t>
        </is>
      </c>
      <c r="F23" s="381" t="n">
        <v>0.008399999999999999</v>
      </c>
      <c r="G23" s="297" t="n">
        <v>15707</v>
      </c>
      <c r="H23" s="297">
        <f>ROUND(F23*G23,2)</f>
        <v/>
      </c>
      <c r="I23" s="287" t="n"/>
      <c r="J23" s="301" t="n"/>
      <c r="K23" s="301" t="n"/>
    </row>
    <row r="24">
      <c r="A24" s="285" t="n">
        <v>9</v>
      </c>
      <c r="B24" s="351" t="n"/>
      <c r="C24" s="293" t="inlineStr">
        <is>
          <t>01.3.01.06-0038</t>
        </is>
      </c>
      <c r="D24" s="292" t="inlineStr">
        <is>
          <t>Смазка защитная электросетевая</t>
        </is>
      </c>
      <c r="E24" s="381" t="inlineStr">
        <is>
          <t>кг</t>
        </is>
      </c>
      <c r="F24" s="381" t="n">
        <v>2.1</v>
      </c>
      <c r="G24" s="297" t="n">
        <v>14.4</v>
      </c>
      <c r="H24" s="297">
        <f>ROUND(F24*G24,2)</f>
        <v/>
      </c>
      <c r="I24" s="287" t="n"/>
      <c r="J24" s="301" t="n"/>
      <c r="K24" s="301" t="n"/>
    </row>
    <row r="25">
      <c r="A25" s="285" t="n">
        <v>10</v>
      </c>
      <c r="B25" s="351" t="n"/>
      <c r="C25" s="293" t="inlineStr">
        <is>
          <t>14.4.03.03-0102</t>
        </is>
      </c>
      <c r="D25" s="292" t="inlineStr">
        <is>
          <t>Лак битумный БТ-577</t>
        </is>
      </c>
      <c r="E25" s="381" t="inlineStr">
        <is>
          <t>т</t>
        </is>
      </c>
      <c r="F25" s="381" t="n">
        <v>0.0021</v>
      </c>
      <c r="G25" s="297" t="n">
        <v>9550.01</v>
      </c>
      <c r="H25" s="297">
        <f>ROUND(F25*G25,2)</f>
        <v/>
      </c>
      <c r="I25" s="287" t="n"/>
      <c r="J25" s="301" t="n"/>
      <c r="K25" s="301" t="n"/>
    </row>
    <row r="26">
      <c r="A26" s="285" t="n">
        <v>11</v>
      </c>
      <c r="B26" s="351" t="n"/>
      <c r="C26" s="293" t="inlineStr">
        <is>
          <t>01.3.01.06-0051</t>
        </is>
      </c>
      <c r="D26" s="292" t="inlineStr">
        <is>
          <t>Смазка солидол жировой Ж</t>
        </is>
      </c>
      <c r="E26" s="381" t="inlineStr">
        <is>
          <t>кг</t>
        </is>
      </c>
      <c r="F26" s="381" t="n">
        <v>0.63</v>
      </c>
      <c r="G26" s="297" t="n">
        <v>7.2</v>
      </c>
      <c r="H26" s="297">
        <f>ROUND(F26*G26,2)</f>
        <v/>
      </c>
      <c r="I26" s="287" t="n"/>
      <c r="J26" s="301" t="n"/>
      <c r="K26" s="301" t="n"/>
    </row>
    <row r="27">
      <c r="A27" s="285" t="n">
        <v>12</v>
      </c>
      <c r="B27" s="351" t="n"/>
      <c r="C27" s="293" t="inlineStr">
        <is>
          <t>01.7.20.08-0051</t>
        </is>
      </c>
      <c r="D27" s="292" t="inlineStr">
        <is>
          <t>Ветошь</t>
        </is>
      </c>
      <c r="E27" s="381" t="inlineStr">
        <is>
          <t>кг</t>
        </is>
      </c>
      <c r="F27" s="381" t="n">
        <v>0.42</v>
      </c>
      <c r="G27" s="297" t="n">
        <v>1.82</v>
      </c>
      <c r="H27" s="297">
        <f>ROUND(F27*G27,2)</f>
        <v/>
      </c>
      <c r="I27" s="287" t="n"/>
      <c r="J27" s="301" t="n"/>
      <c r="K27" s="301" t="n"/>
    </row>
    <row r="30">
      <c r="B30" s="316" t="inlineStr">
        <is>
          <t>Составил ______________________     А.П. Николаева</t>
        </is>
      </c>
    </row>
    <row r="31">
      <c r="B31" s="246" t="inlineStr">
        <is>
          <t xml:space="preserve">                         (подпись, инициалы, фамилия)</t>
        </is>
      </c>
    </row>
    <row r="33">
      <c r="B33" s="316" t="inlineStr">
        <is>
          <t>Проверил ______________________        А.В. Костянецкая</t>
        </is>
      </c>
    </row>
    <row r="34">
      <c r="B34" s="24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RowHeight="14.4"/>
  <cols>
    <col width="4.109375" customWidth="1" style="313" min="1" max="1"/>
    <col width="36.33203125" customWidth="1" style="313" min="2" max="2"/>
    <col width="18.88671875" customWidth="1" style="313" min="3" max="3"/>
    <col width="18.33203125" customWidth="1" style="313" min="4" max="4"/>
    <col width="18.88671875" customWidth="1" style="313" min="5" max="5"/>
    <col width="11.44140625" customWidth="1" style="313" min="6" max="6"/>
    <col width="14.44140625" customWidth="1" style="313" min="7" max="7"/>
    <col width="9.109375" customWidth="1" style="313" min="8" max="11"/>
    <col width="13.5546875" customWidth="1" style="313" min="12" max="12"/>
    <col width="9.109375" customWidth="1" style="313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7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28" t="inlineStr">
        <is>
          <t>Ресурсная модель</t>
        </is>
      </c>
    </row>
    <row r="6">
      <c r="B6" s="273" t="n"/>
      <c r="C6" s="320" t="n"/>
      <c r="D6" s="320" t="n"/>
      <c r="E6" s="320" t="n"/>
    </row>
    <row r="7" ht="25.5" customHeight="1" s="313">
      <c r="B7" s="337" t="inlineStr">
        <is>
          <t>Наименование разрабатываемого показателя УНЦ — Опоры ВЛ 0,4 - 750 кВ. Двухцепная, все типы опор за исключением многогранных 6-20 кВ.</t>
        </is>
      </c>
    </row>
    <row r="8">
      <c r="B8" s="355" t="inlineStr">
        <is>
          <t>Единица измерения  — 1 км</t>
        </is>
      </c>
    </row>
    <row r="9">
      <c r="B9" s="273" t="n"/>
      <c r="C9" s="320" t="n"/>
      <c r="D9" s="320" t="n"/>
      <c r="E9" s="320" t="n"/>
    </row>
    <row r="10" ht="51" customHeight="1" s="313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65" t="inlineStr">
        <is>
          <t>Оплата труда рабочих</t>
        </is>
      </c>
      <c r="C11" s="266">
        <f>'Прил.5 Расчет СМР и ОБ'!J15</f>
        <v/>
      </c>
      <c r="D11" s="267">
        <f>C11/$C$24</f>
        <v/>
      </c>
      <c r="E11" s="267">
        <f>C11/$C$40</f>
        <v/>
      </c>
    </row>
    <row r="12">
      <c r="B12" s="265" t="inlineStr">
        <is>
          <t>Эксплуатация машин основных</t>
        </is>
      </c>
      <c r="C12" s="266">
        <f>'Прил.5 Расчет СМР и ОБ'!J21</f>
        <v/>
      </c>
      <c r="D12" s="267">
        <f>C12/$C$24</f>
        <v/>
      </c>
      <c r="E12" s="267">
        <f>C12/$C$40</f>
        <v/>
      </c>
    </row>
    <row r="13">
      <c r="B13" s="265" t="inlineStr">
        <is>
          <t>Эксплуатация машин прочих</t>
        </is>
      </c>
      <c r="C13" s="266">
        <f>'Прил.5 Расчет СМР и ОБ'!J23</f>
        <v/>
      </c>
      <c r="D13" s="267">
        <f>C13/$C$24</f>
        <v/>
      </c>
      <c r="E13" s="267">
        <f>C13/$C$40</f>
        <v/>
      </c>
    </row>
    <row r="14">
      <c r="B14" s="265" t="inlineStr">
        <is>
          <t>ЭКСПЛУАТАЦИЯ МАШИН, ВСЕГО:</t>
        </is>
      </c>
      <c r="C14" s="266">
        <f>C13+C12</f>
        <v/>
      </c>
      <c r="D14" s="267">
        <f>C14/$C$24</f>
        <v/>
      </c>
      <c r="E14" s="267">
        <f>C14/$C$40</f>
        <v/>
      </c>
    </row>
    <row r="15">
      <c r="B15" s="265" t="inlineStr">
        <is>
          <t>в том числе зарплата машинистов</t>
        </is>
      </c>
      <c r="C15" s="266">
        <f>'Прил.5 Расчет СМР и ОБ'!J17</f>
        <v/>
      </c>
      <c r="D15" s="267">
        <f>C15/$C$24</f>
        <v/>
      </c>
      <c r="E15" s="267">
        <f>C15/$C$40</f>
        <v/>
      </c>
    </row>
    <row r="16">
      <c r="B16" s="265" t="inlineStr">
        <is>
          <t>Материалы основные</t>
        </is>
      </c>
      <c r="C16" s="266">
        <f>'Прил.5 Расчет СМР и ОБ'!J35</f>
        <v/>
      </c>
      <c r="D16" s="267">
        <f>C16/$C$24</f>
        <v/>
      </c>
      <c r="E16" s="267">
        <f>C16/$C$40</f>
        <v/>
      </c>
    </row>
    <row r="17">
      <c r="B17" s="265" t="inlineStr">
        <is>
          <t>Материалы прочие</t>
        </is>
      </c>
      <c r="C17" s="266">
        <f>'Прил.5 Расчет СМР и ОБ'!J42</f>
        <v/>
      </c>
      <c r="D17" s="267">
        <f>C17/$C$24</f>
        <v/>
      </c>
      <c r="E17" s="267">
        <f>C17/$C$40</f>
        <v/>
      </c>
      <c r="G17" s="271" t="n"/>
    </row>
    <row r="18">
      <c r="B18" s="265" t="inlineStr">
        <is>
          <t>МАТЕРИАЛЫ, ВСЕГО:</t>
        </is>
      </c>
      <c r="C18" s="266">
        <f>C17+C16</f>
        <v/>
      </c>
      <c r="D18" s="267">
        <f>C18/$C$24</f>
        <v/>
      </c>
      <c r="E18" s="267">
        <f>C18/$C$40</f>
        <v/>
      </c>
    </row>
    <row r="19">
      <c r="B19" s="265" t="inlineStr">
        <is>
          <t>ИТОГО</t>
        </is>
      </c>
      <c r="C19" s="266">
        <f>C18+C14+C11</f>
        <v/>
      </c>
      <c r="D19" s="267" t="n"/>
      <c r="E19" s="265" t="n"/>
    </row>
    <row r="20">
      <c r="B20" s="265" t="inlineStr">
        <is>
          <t>Сметная прибыль, руб.</t>
        </is>
      </c>
      <c r="C20" s="266">
        <f>ROUND(C21*(C11+C15),2)</f>
        <v/>
      </c>
      <c r="D20" s="267">
        <f>C20/$C$24</f>
        <v/>
      </c>
      <c r="E20" s="267">
        <f>C20/$C$40</f>
        <v/>
      </c>
    </row>
    <row r="21">
      <c r="B21" s="265" t="inlineStr">
        <is>
          <t>Сметная прибыль, %</t>
        </is>
      </c>
      <c r="C21" s="270">
        <f>'Прил.5 Расчет СМР и ОБ'!D46</f>
        <v/>
      </c>
      <c r="D21" s="267" t="n"/>
      <c r="E21" s="265" t="n"/>
    </row>
    <row r="22">
      <c r="B22" s="265" t="inlineStr">
        <is>
          <t>Накладные расходы, руб.</t>
        </is>
      </c>
      <c r="C22" s="266">
        <f>ROUND(C23*(C11+C15),2)</f>
        <v/>
      </c>
      <c r="D22" s="267">
        <f>C22/$C$24</f>
        <v/>
      </c>
      <c r="E22" s="267">
        <f>C22/$C$40</f>
        <v/>
      </c>
    </row>
    <row r="23">
      <c r="B23" s="265" t="inlineStr">
        <is>
          <t>Накладные расходы, %</t>
        </is>
      </c>
      <c r="C23" s="270">
        <f>'Прил.5 Расчет СМР и ОБ'!D45</f>
        <v/>
      </c>
      <c r="D23" s="267" t="n"/>
      <c r="E23" s="265" t="n"/>
    </row>
    <row r="24">
      <c r="B24" s="265" t="inlineStr">
        <is>
          <t>ВСЕГО СМР с НР и СП</t>
        </is>
      </c>
      <c r="C24" s="266">
        <f>C19+C20+C22</f>
        <v/>
      </c>
      <c r="D24" s="267">
        <f>C24/$C$24</f>
        <v/>
      </c>
      <c r="E24" s="267">
        <f>C24/$C$40</f>
        <v/>
      </c>
    </row>
    <row r="25" ht="25.5" customHeight="1" s="313">
      <c r="B25" s="265" t="inlineStr">
        <is>
          <t>ВСЕГО стоимость оборудования, в том числе</t>
        </is>
      </c>
      <c r="C25" s="266">
        <f>'Прил.5 Расчет СМР и ОБ'!J29</f>
        <v/>
      </c>
      <c r="D25" s="267" t="n"/>
      <c r="E25" s="267">
        <f>C25/$C$40</f>
        <v/>
      </c>
    </row>
    <row r="26" ht="25.5" customHeight="1" s="313">
      <c r="B26" s="265" t="inlineStr">
        <is>
          <t>стоимость оборудования технологического</t>
        </is>
      </c>
      <c r="C26" s="266">
        <f>'Прил.5 Расчет СМР и ОБ'!J30</f>
        <v/>
      </c>
      <c r="D26" s="267" t="n"/>
      <c r="E26" s="267">
        <f>C26/$C$40</f>
        <v/>
      </c>
    </row>
    <row r="27">
      <c r="B27" s="265" t="inlineStr">
        <is>
          <t>ИТОГО (СМР + ОБОРУДОВАНИЕ)</t>
        </is>
      </c>
      <c r="C27" s="307">
        <f>C24+C25</f>
        <v/>
      </c>
      <c r="D27" s="267" t="n"/>
      <c r="E27" s="267">
        <f>C27/$C$40</f>
        <v/>
      </c>
    </row>
    <row r="28" ht="33" customHeight="1" s="313">
      <c r="B28" s="265" t="inlineStr">
        <is>
          <t>ПРОЧ. ЗАТР., УЧТЕННЫЕ ПОКАЗАТЕЛЕМ,  в том числе</t>
        </is>
      </c>
      <c r="C28" s="265" t="n"/>
      <c r="D28" s="265" t="n"/>
      <c r="E28" s="265" t="n"/>
      <c r="F28" s="268" t="n"/>
    </row>
    <row r="29" ht="25.5" customHeight="1" s="313">
      <c r="B29" s="265" t="inlineStr">
        <is>
          <t>Временные здания и сооружения - 2,5%</t>
        </is>
      </c>
      <c r="C29" s="307">
        <f>ROUND(C24*2.5%,2)</f>
        <v/>
      </c>
      <c r="D29" s="265" t="n"/>
      <c r="E29" s="267">
        <f>C29/$C$40</f>
        <v/>
      </c>
    </row>
    <row r="30" ht="38.25" customHeight="1" s="313">
      <c r="B30" s="265" t="inlineStr">
        <is>
          <t>Дополнительные затраты при производстве строительно-монтажных работ в зимнее время - 1,9%</t>
        </is>
      </c>
      <c r="C30" s="307">
        <f>ROUND((C24+C29)*1.9%,2)</f>
        <v/>
      </c>
      <c r="D30" s="265" t="n"/>
      <c r="E30" s="267">
        <f>C30/$C$40</f>
        <v/>
      </c>
      <c r="F30" s="268" t="n"/>
    </row>
    <row r="31">
      <c r="B31" s="265" t="inlineStr">
        <is>
          <t>Пусконаладочные работы</t>
        </is>
      </c>
      <c r="C31" s="307" t="n">
        <v>0</v>
      </c>
      <c r="D31" s="265" t="n"/>
      <c r="E31" s="267">
        <f>C31/$C$40</f>
        <v/>
      </c>
    </row>
    <row r="32" ht="25.5" customHeight="1" s="313">
      <c r="B32" s="265" t="inlineStr">
        <is>
          <t>Затраты по перевозке работников к месту работы и обратно</t>
        </is>
      </c>
      <c r="C32" s="307">
        <f>ROUND(C27*0%,2)</f>
        <v/>
      </c>
      <c r="D32" s="265" t="n"/>
      <c r="E32" s="267">
        <f>C32/$C$40</f>
        <v/>
      </c>
    </row>
    <row r="33" ht="25.5" customHeight="1" s="313">
      <c r="B33" s="265" t="inlineStr">
        <is>
          <t>Затраты, связанные с осуществлением работ вахтовым методом</t>
        </is>
      </c>
      <c r="C33" s="307">
        <f>ROUND(C28*0%,2)</f>
        <v/>
      </c>
      <c r="D33" s="265" t="n"/>
      <c r="E33" s="267">
        <f>C33/$C$40</f>
        <v/>
      </c>
    </row>
    <row r="34" ht="51" customHeight="1" s="313">
      <c r="B34" s="2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7">
        <f>ROUND(C29*0%,2)</f>
        <v/>
      </c>
      <c r="D34" s="265" t="n"/>
      <c r="E34" s="267">
        <f>C34/$C$40</f>
        <v/>
      </c>
      <c r="H34" s="287" t="n"/>
    </row>
    <row r="35" ht="76.5" customHeight="1" s="313">
      <c r="B35" s="2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7">
        <f>ROUND(C30*0%,2)</f>
        <v/>
      </c>
      <c r="D35" s="265" t="n"/>
      <c r="E35" s="267">
        <f>C35/$C$40</f>
        <v/>
      </c>
    </row>
    <row r="36" ht="25.5" customHeight="1" s="313">
      <c r="B36" s="265" t="inlineStr">
        <is>
          <t>Строительный контроль и содержание службы заказчика - 2,14%</t>
        </is>
      </c>
      <c r="C36" s="307">
        <f>ROUND((C27+C32+C33+C34+C35+C29+C31+C30)*2.14%,2)</f>
        <v/>
      </c>
      <c r="D36" s="265" t="n"/>
      <c r="E36" s="267">
        <f>C36/$C$40</f>
        <v/>
      </c>
      <c r="L36" s="268" t="n"/>
    </row>
    <row r="37">
      <c r="B37" s="265" t="inlineStr">
        <is>
          <t>Авторский надзор - 0,2%</t>
        </is>
      </c>
      <c r="C37" s="307">
        <f>ROUND((C27+C32+C33+C34+C35+C29+C31+C30)*0.2%,2)</f>
        <v/>
      </c>
      <c r="D37" s="265" t="n"/>
      <c r="E37" s="267">
        <f>C37/$C$40</f>
        <v/>
      </c>
      <c r="L37" s="268" t="n"/>
    </row>
    <row r="38" ht="38.25" customHeight="1" s="313">
      <c r="B38" s="265" t="inlineStr">
        <is>
          <t>ИТОГО (СМР+ОБОРУДОВАНИЕ+ПРОЧ. ЗАТР., УЧТЕННЫЕ ПОКАЗАТЕЛЕМ)</t>
        </is>
      </c>
      <c r="C38" s="266">
        <f>C27+C32+C33+C34+C35+C29+C31+C30+C36+C37</f>
        <v/>
      </c>
      <c r="D38" s="265" t="n"/>
      <c r="E38" s="267">
        <f>C38/$C$40</f>
        <v/>
      </c>
    </row>
    <row r="39" ht="13.5" customHeight="1" s="313">
      <c r="B39" s="265" t="inlineStr">
        <is>
          <t>Непредвиденные расходы</t>
        </is>
      </c>
      <c r="C39" s="266">
        <f>ROUND(C38*3%,2)</f>
        <v/>
      </c>
      <c r="D39" s="265" t="n"/>
      <c r="E39" s="267">
        <f>C39/$C$38</f>
        <v/>
      </c>
    </row>
    <row r="40">
      <c r="B40" s="265" t="inlineStr">
        <is>
          <t>ВСЕГО:</t>
        </is>
      </c>
      <c r="C40" s="266">
        <f>C39+C38</f>
        <v/>
      </c>
      <c r="D40" s="265" t="n"/>
      <c r="E40" s="267">
        <f>C40/$C$40</f>
        <v/>
      </c>
    </row>
    <row r="41">
      <c r="B41" s="265" t="inlineStr">
        <is>
          <t>ИТОГО ПОКАЗАТЕЛЬ НА ЕД. ИЗМ.</t>
        </is>
      </c>
      <c r="C41" s="266">
        <f>C40/'Прил.5 Расчет СМР и ОБ'!E49</f>
        <v/>
      </c>
      <c r="D41" s="265" t="n"/>
      <c r="E41" s="265" t="n"/>
    </row>
    <row r="42">
      <c r="B42" s="264" t="n"/>
      <c r="C42" s="320" t="n"/>
      <c r="D42" s="320" t="n"/>
      <c r="E42" s="320" t="n"/>
    </row>
    <row r="43">
      <c r="B43" s="264" t="inlineStr">
        <is>
          <t>Составил ____________________________ А.П. Николаева</t>
        </is>
      </c>
      <c r="C43" s="320" t="n"/>
      <c r="D43" s="320" t="n"/>
      <c r="E43" s="320" t="n"/>
    </row>
    <row r="44">
      <c r="B44" s="26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64" t="n"/>
      <c r="C45" s="320" t="n"/>
      <c r="D45" s="320" t="n"/>
      <c r="E45" s="320" t="n"/>
    </row>
    <row r="46">
      <c r="B46" s="26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55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4" zoomScale="55" workbookViewId="0">
      <selection activeCell="B50" sqref="B50"/>
    </sheetView>
  </sheetViews>
  <sheetFormatPr baseColWidth="8" defaultColWidth="9.109375" defaultRowHeight="14.4" outlineLevelRow="1"/>
  <cols>
    <col width="5.6640625" customWidth="1" style="321" min="1" max="1"/>
    <col width="22.554687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44140625" customWidth="1" style="321" min="7" max="7"/>
    <col width="12.6640625" customWidth="1" style="321" min="8" max="8"/>
    <col width="13.88671875" customWidth="1" style="321" min="9" max="9"/>
    <col width="17.5546875" customWidth="1" style="321" min="10" max="10"/>
    <col width="10.88671875" customWidth="1" style="321" min="11" max="11"/>
    <col width="9.109375" customWidth="1" style="321" min="12" max="12"/>
    <col width="9.109375" customWidth="1" style="313" min="13" max="13"/>
  </cols>
  <sheetData>
    <row r="1" s="313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13">
      <c r="A2" s="321" t="n"/>
      <c r="B2" s="321" t="n"/>
      <c r="C2" s="321" t="n"/>
      <c r="D2" s="321" t="n"/>
      <c r="E2" s="321" t="n"/>
      <c r="F2" s="321" t="n"/>
      <c r="G2" s="321" t="n"/>
      <c r="H2" s="356" t="inlineStr">
        <is>
          <t>Приложение №5</t>
        </is>
      </c>
      <c r="K2" s="321" t="n"/>
      <c r="L2" s="321" t="n"/>
      <c r="M2" s="321" t="n"/>
      <c r="N2" s="321" t="n"/>
    </row>
    <row r="3" s="313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28" t="inlineStr">
        <is>
          <t>Расчет стоимости СМР и оборудования</t>
        </is>
      </c>
    </row>
    <row r="5" ht="12.75" customFormat="1" customHeight="1" s="320">
      <c r="A5" s="328" t="n"/>
      <c r="B5" s="328" t="n"/>
      <c r="C5" s="384" t="n"/>
      <c r="D5" s="328" t="n"/>
      <c r="E5" s="328" t="n"/>
      <c r="F5" s="328" t="n"/>
      <c r="G5" s="328" t="n"/>
      <c r="H5" s="328" t="n"/>
      <c r="I5" s="328" t="n"/>
      <c r="J5" s="328" t="n"/>
    </row>
    <row r="6" ht="12.75" customFormat="1" customHeight="1" s="320">
      <c r="A6" s="233" t="inlineStr">
        <is>
          <t>Наименование разрабатываемого показателя УНЦ</t>
        </is>
      </c>
      <c r="B6" s="232" t="n"/>
      <c r="C6" s="232" t="n"/>
      <c r="D6" s="362" t="inlineStr">
        <is>
          <t>Опоры ВЛ 0,4 - 750 кВ. Двухцепная, все типы опор за исключением многогранных 6-20 кВ.</t>
        </is>
      </c>
    </row>
    <row r="7" ht="12.75" customFormat="1" customHeight="1" s="320">
      <c r="A7" s="331" t="inlineStr">
        <is>
          <t>Единица измерения  — 1 км</t>
        </is>
      </c>
      <c r="I7" s="337" t="n"/>
      <c r="J7" s="337" t="n"/>
    </row>
    <row r="8" ht="13.5" customFormat="1" customHeight="1" s="320">
      <c r="A8" s="331" t="n"/>
    </row>
    <row r="9" ht="13.2" customFormat="1" customHeight="1" s="320"/>
    <row r="10" ht="27" customHeight="1" s="313">
      <c r="A10" s="359" t="inlineStr">
        <is>
          <t>№ пп.</t>
        </is>
      </c>
      <c r="B10" s="359" t="inlineStr">
        <is>
          <t>Код ресурса</t>
        </is>
      </c>
      <c r="C10" s="359" t="inlineStr">
        <is>
          <t>Наименование</t>
        </is>
      </c>
      <c r="D10" s="359" t="inlineStr">
        <is>
          <t>Ед. изм.</t>
        </is>
      </c>
      <c r="E10" s="359" t="inlineStr">
        <is>
          <t>Кол-во единиц по проектным данным</t>
        </is>
      </c>
      <c r="F10" s="359" t="inlineStr">
        <is>
          <t>Сметная стоимость в ценах на 01.01.2000 (руб.)</t>
        </is>
      </c>
      <c r="G10" s="428" t="n"/>
      <c r="H10" s="359" t="inlineStr">
        <is>
          <t>Удельный вес, %</t>
        </is>
      </c>
      <c r="I10" s="359" t="inlineStr">
        <is>
          <t>Сметная стоимость в ценах на 01.01.2023 (руб.)</t>
        </is>
      </c>
      <c r="J10" s="428" t="n"/>
      <c r="K10" s="321" t="n"/>
      <c r="L10" s="321" t="n"/>
      <c r="M10" s="321" t="n"/>
      <c r="N10" s="321" t="n"/>
    </row>
    <row r="11" ht="28.5" customHeight="1" s="313">
      <c r="A11" s="430" t="n"/>
      <c r="B11" s="430" t="n"/>
      <c r="C11" s="430" t="n"/>
      <c r="D11" s="430" t="n"/>
      <c r="E11" s="430" t="n"/>
      <c r="F11" s="359" t="inlineStr">
        <is>
          <t>на ед. изм.</t>
        </is>
      </c>
      <c r="G11" s="359" t="inlineStr">
        <is>
          <t>общая</t>
        </is>
      </c>
      <c r="H11" s="430" t="n"/>
      <c r="I11" s="359" t="inlineStr">
        <is>
          <t>на ед. изм.</t>
        </is>
      </c>
      <c r="J11" s="359" t="inlineStr">
        <is>
          <t>общая</t>
        </is>
      </c>
      <c r="K11" s="321" t="n"/>
      <c r="L11" s="321" t="n"/>
      <c r="M11" s="321" t="n"/>
      <c r="N11" s="321" t="n"/>
    </row>
    <row r="12" s="313">
      <c r="A12" s="359" t="n">
        <v>1</v>
      </c>
      <c r="B12" s="359" t="n">
        <v>2</v>
      </c>
      <c r="C12" s="359" t="n">
        <v>3</v>
      </c>
      <c r="D12" s="359" t="n">
        <v>4</v>
      </c>
      <c r="E12" s="359" t="n">
        <v>5</v>
      </c>
      <c r="F12" s="359" t="n">
        <v>6</v>
      </c>
      <c r="G12" s="359" t="n">
        <v>7</v>
      </c>
      <c r="H12" s="359" t="n">
        <v>8</v>
      </c>
      <c r="I12" s="360" t="n">
        <v>9</v>
      </c>
      <c r="J12" s="360" t="n">
        <v>10</v>
      </c>
      <c r="K12" s="321" t="n"/>
      <c r="L12" s="321" t="n"/>
      <c r="M12" s="321" t="n"/>
      <c r="N12" s="321" t="n"/>
    </row>
    <row r="13">
      <c r="A13" s="359" t="n"/>
      <c r="B13" s="367" t="inlineStr">
        <is>
          <t>Затраты труда рабочих-строителей</t>
        </is>
      </c>
      <c r="C13" s="427" t="n"/>
      <c r="D13" s="427" t="n"/>
      <c r="E13" s="427" t="n"/>
      <c r="F13" s="427" t="n"/>
      <c r="G13" s="427" t="n"/>
      <c r="H13" s="428" t="n"/>
      <c r="I13" s="217" t="n"/>
      <c r="J13" s="217" t="n"/>
    </row>
    <row r="14" ht="25.5" customHeight="1" s="313">
      <c r="A14" s="359" t="n">
        <v>1</v>
      </c>
      <c r="B14" s="230" t="inlineStr">
        <is>
          <t>1-3-3</t>
        </is>
      </c>
      <c r="C14" s="368" t="inlineStr">
        <is>
          <t>Затраты труда рабочих-строителей среднего разряда (3,3)</t>
        </is>
      </c>
      <c r="D14" s="359" t="inlineStr">
        <is>
          <t>чел.-ч.</t>
        </is>
      </c>
      <c r="E14" s="228">
        <f>G14/F14</f>
        <v/>
      </c>
      <c r="F14" s="226" t="n">
        <v>8.859999999999999</v>
      </c>
      <c r="G14" s="226">
        <f>'Прил. 3'!H11</f>
        <v/>
      </c>
      <c r="H14" s="229">
        <f>G14/G15</f>
        <v/>
      </c>
      <c r="I14" s="226">
        <f>ФОТр.тек.!E13</f>
        <v/>
      </c>
      <c r="J14" s="226">
        <f>ROUND(I14*E14,2)</f>
        <v/>
      </c>
    </row>
    <row r="15" ht="25.5" customFormat="1" customHeight="1" s="321">
      <c r="A15" s="359" t="n"/>
      <c r="B15" s="359" t="n"/>
      <c r="C15" s="367" t="inlineStr">
        <is>
          <t>Итого по разделу "Затраты труда рабочих-строителей"</t>
        </is>
      </c>
      <c r="D15" s="359" t="inlineStr">
        <is>
          <t>чел.-ч.</t>
        </is>
      </c>
      <c r="E15" s="228">
        <f>SUM(E14:E14)</f>
        <v/>
      </c>
      <c r="F15" s="226" t="n"/>
      <c r="G15" s="226">
        <f>SUM(G14:G14)</f>
        <v/>
      </c>
      <c r="H15" s="371" t="n">
        <v>1</v>
      </c>
      <c r="I15" s="217" t="n"/>
      <c r="J15" s="226">
        <f>SUM(J14:J14)</f>
        <v/>
      </c>
    </row>
    <row r="16" ht="14.25" customFormat="1" customHeight="1" s="321">
      <c r="A16" s="359" t="n"/>
      <c r="B16" s="368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17" t="n"/>
      <c r="J16" s="217" t="n"/>
    </row>
    <row r="17" ht="14.25" customFormat="1" customHeight="1" s="321">
      <c r="A17" s="359" t="n">
        <v>2</v>
      </c>
      <c r="B17" s="359" t="n">
        <v>2</v>
      </c>
      <c r="C17" s="368" t="inlineStr">
        <is>
          <t>Затраты труда машинистов</t>
        </is>
      </c>
      <c r="D17" s="359" t="inlineStr">
        <is>
          <t>чел.-ч.</t>
        </is>
      </c>
      <c r="E17" s="228" t="n">
        <v>43.69</v>
      </c>
      <c r="F17" s="226">
        <f>G17/E17</f>
        <v/>
      </c>
      <c r="G17" s="226">
        <f>'Прил. 3'!H13</f>
        <v/>
      </c>
      <c r="H17" s="371" t="n">
        <v>1</v>
      </c>
      <c r="I17" s="226">
        <f>ROUND(F17*'Прил. 10'!D11,2)</f>
        <v/>
      </c>
      <c r="J17" s="226">
        <f>ROUND(I17*E17,2)</f>
        <v/>
      </c>
    </row>
    <row r="18" ht="14.25" customFormat="1" customHeight="1" s="321">
      <c r="A18" s="359" t="n"/>
      <c r="B18" s="367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217" t="n"/>
      <c r="J18" s="217" t="n"/>
    </row>
    <row r="19" ht="14.25" customFormat="1" customHeight="1" s="321">
      <c r="A19" s="359" t="n"/>
      <c r="B19" s="368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17" t="n"/>
      <c r="J19" s="217" t="n"/>
    </row>
    <row r="20" ht="25.5" customFormat="1" customHeight="1" s="321">
      <c r="A20" s="359" t="n">
        <v>3</v>
      </c>
      <c r="B20" s="230" t="inlineStr">
        <is>
          <t>91.04.01-031</t>
        </is>
      </c>
      <c r="C20" s="368" t="inlineStr">
        <is>
          <t>Машины бурильно-крановые на автомобиле, глубина бурения 3,5 м</t>
        </is>
      </c>
      <c r="D20" s="359" t="inlineStr">
        <is>
          <t>маш.час</t>
        </is>
      </c>
      <c r="E20" s="228" t="n">
        <v>35.08</v>
      </c>
      <c r="F20" s="370" t="n">
        <v>138.54</v>
      </c>
      <c r="G20" s="226">
        <f>ROUND(E20*F20,2)</f>
        <v/>
      </c>
      <c r="H20" s="229">
        <f>G20/$G$24</f>
        <v/>
      </c>
      <c r="I20" s="226">
        <f>ROUND(F20*'Прил. 10'!$D$12,2)</f>
        <v/>
      </c>
      <c r="J20" s="226">
        <f>ROUND(I20*E20,2)</f>
        <v/>
      </c>
    </row>
    <row r="21" ht="14.25" customFormat="1" customHeight="1" s="321">
      <c r="A21" s="359" t="n"/>
      <c r="B21" s="359" t="n"/>
      <c r="C21" s="368" t="inlineStr">
        <is>
          <t>Итого основные машины и механизмы</t>
        </is>
      </c>
      <c r="D21" s="359" t="n"/>
      <c r="E21" s="228" t="n"/>
      <c r="F21" s="226" t="n"/>
      <c r="G21" s="226">
        <f>SUM(G20:G20)</f>
        <v/>
      </c>
      <c r="H21" s="371">
        <f>G21/G24</f>
        <v/>
      </c>
      <c r="I21" s="218" t="n"/>
      <c r="J21" s="226">
        <f>SUM(J20:J20)</f>
        <v/>
      </c>
    </row>
    <row r="22" outlineLevel="1" ht="25.5" customFormat="1" customHeight="1" s="321">
      <c r="A22" s="359" t="n">
        <v>4</v>
      </c>
      <c r="B22" s="230" t="inlineStr">
        <is>
          <t>91.14.02-001</t>
        </is>
      </c>
      <c r="C22" s="368" t="inlineStr">
        <is>
          <t>Автомобили бортовые, грузоподъемность до 5 т</t>
        </is>
      </c>
      <c r="D22" s="359" t="inlineStr">
        <is>
          <t>маш.час</t>
        </is>
      </c>
      <c r="E22" s="228" t="n">
        <v>8.609999999999999</v>
      </c>
      <c r="F22" s="370" t="n">
        <v>65.70999999999999</v>
      </c>
      <c r="G22" s="226">
        <f>ROUND(E22*F22,2)</f>
        <v/>
      </c>
      <c r="H22" s="229">
        <f>G22/$G$24</f>
        <v/>
      </c>
      <c r="I22" s="226">
        <f>ROUND(F22*'Прил. 10'!$D$12,2)</f>
        <v/>
      </c>
      <c r="J22" s="226">
        <f>ROUND(I22*E22,2)</f>
        <v/>
      </c>
    </row>
    <row r="23" ht="14.25" customFormat="1" customHeight="1" s="321">
      <c r="A23" s="359" t="n"/>
      <c r="B23" s="359" t="n"/>
      <c r="C23" s="368" t="inlineStr">
        <is>
          <t>Итого прочие машины и механизмы</t>
        </is>
      </c>
      <c r="D23" s="359" t="n"/>
      <c r="E23" s="369" t="n"/>
      <c r="F23" s="226" t="n"/>
      <c r="G23" s="218">
        <f>SUM(G22:G22)</f>
        <v/>
      </c>
      <c r="H23" s="229">
        <f>G23/G24</f>
        <v/>
      </c>
      <c r="I23" s="226" t="n"/>
      <c r="J23" s="226">
        <f>SUM(J22:J22)</f>
        <v/>
      </c>
    </row>
    <row r="24" ht="25.5" customFormat="1" customHeight="1" s="321">
      <c r="A24" s="359" t="n"/>
      <c r="B24" s="359" t="n"/>
      <c r="C24" s="367" t="inlineStr">
        <is>
          <t>Итого по разделу «Машины и механизмы»</t>
        </is>
      </c>
      <c r="D24" s="359" t="n"/>
      <c r="E24" s="369" t="n"/>
      <c r="F24" s="226" t="n"/>
      <c r="G24" s="226">
        <f>G23+G21</f>
        <v/>
      </c>
      <c r="H24" s="211" t="n">
        <v>1</v>
      </c>
      <c r="I24" s="212" t="n"/>
      <c r="J24" s="241">
        <f>J23+J21</f>
        <v/>
      </c>
    </row>
    <row r="25" ht="14.25" customFormat="1" customHeight="1" s="321">
      <c r="A25" s="359" t="n"/>
      <c r="B25" s="367" t="inlineStr">
        <is>
          <t>Оборудование</t>
        </is>
      </c>
      <c r="C25" s="427" t="n"/>
      <c r="D25" s="427" t="n"/>
      <c r="E25" s="427" t="n"/>
      <c r="F25" s="427" t="n"/>
      <c r="G25" s="427" t="n"/>
      <c r="H25" s="428" t="n"/>
      <c r="I25" s="217" t="n"/>
      <c r="J25" s="217" t="n"/>
    </row>
    <row r="26">
      <c r="A26" s="359" t="n"/>
      <c r="B26" s="368" t="inlineStr">
        <is>
          <t>Основное оборудование</t>
        </is>
      </c>
      <c r="C26" s="427" t="n"/>
      <c r="D26" s="427" t="n"/>
      <c r="E26" s="427" t="n"/>
      <c r="F26" s="427" t="n"/>
      <c r="G26" s="427" t="n"/>
      <c r="H26" s="428" t="n"/>
      <c r="I26" s="217" t="n"/>
      <c r="J26" s="217" t="n"/>
      <c r="K26" s="321" t="n"/>
      <c r="L26" s="321" t="n"/>
    </row>
    <row r="27">
      <c r="A27" s="359" t="n"/>
      <c r="B27" s="359" t="n"/>
      <c r="C27" s="368" t="inlineStr">
        <is>
          <t>Итого основное оборудование</t>
        </is>
      </c>
      <c r="D27" s="359" t="n"/>
      <c r="E27" s="305" t="n"/>
      <c r="F27" s="370" t="n"/>
      <c r="G27" s="226" t="n">
        <v>0</v>
      </c>
      <c r="H27" s="229" t="n">
        <v>0</v>
      </c>
      <c r="I27" s="218" t="n"/>
      <c r="J27" s="226" t="n">
        <v>0</v>
      </c>
      <c r="K27" s="321" t="n"/>
      <c r="L27" s="321" t="n"/>
    </row>
    <row r="28">
      <c r="A28" s="359" t="n"/>
      <c r="B28" s="359" t="n"/>
      <c r="C28" s="368" t="inlineStr">
        <is>
          <t>Итого прочее оборудование</t>
        </is>
      </c>
      <c r="D28" s="359" t="n"/>
      <c r="E28" s="228" t="n"/>
      <c r="F28" s="370" t="n"/>
      <c r="G28" s="226" t="n">
        <v>0</v>
      </c>
      <c r="H28" s="229" t="n">
        <v>0</v>
      </c>
      <c r="I28" s="218" t="n"/>
      <c r="J28" s="226" t="n">
        <v>0</v>
      </c>
      <c r="K28" s="321" t="n"/>
      <c r="L28" s="321" t="n"/>
    </row>
    <row r="29">
      <c r="A29" s="359" t="n"/>
      <c r="B29" s="359" t="n"/>
      <c r="C29" s="367" t="inlineStr">
        <is>
          <t>Итого по разделу «Оборудование»</t>
        </is>
      </c>
      <c r="D29" s="359" t="n"/>
      <c r="E29" s="369" t="n"/>
      <c r="F29" s="370" t="n"/>
      <c r="G29" s="226" t="n">
        <v>0</v>
      </c>
      <c r="H29" s="229" t="n">
        <v>0</v>
      </c>
      <c r="I29" s="218" t="n"/>
      <c r="J29" s="226">
        <f>J28+J27</f>
        <v/>
      </c>
      <c r="K29" s="321" t="n"/>
      <c r="L29" s="321" t="n"/>
    </row>
    <row r="30" ht="25.5" customHeight="1" s="313">
      <c r="A30" s="359" t="n"/>
      <c r="B30" s="359" t="n"/>
      <c r="C30" s="368" t="inlineStr">
        <is>
          <t>в том числе технологическое оборудование</t>
        </is>
      </c>
      <c r="D30" s="359" t="n"/>
      <c r="E30" s="305" t="n"/>
      <c r="F30" s="370" t="n"/>
      <c r="G30" s="226">
        <f>'Прил.6 Расчет ОБ'!G12</f>
        <v/>
      </c>
      <c r="H30" s="371" t="n"/>
      <c r="I30" s="218" t="n"/>
      <c r="J30" s="226">
        <f>J29</f>
        <v/>
      </c>
      <c r="K30" s="321" t="n"/>
      <c r="L30" s="321" t="n"/>
    </row>
    <row r="31" ht="14.25" customFormat="1" customHeight="1" s="321">
      <c r="A31" s="359" t="n"/>
      <c r="B31" s="367" t="inlineStr">
        <is>
          <t>Материалы</t>
        </is>
      </c>
      <c r="C31" s="427" t="n"/>
      <c r="D31" s="427" t="n"/>
      <c r="E31" s="427" t="n"/>
      <c r="F31" s="427" t="n"/>
      <c r="G31" s="427" t="n"/>
      <c r="H31" s="428" t="n"/>
      <c r="I31" s="217" t="n"/>
      <c r="J31" s="217" t="n"/>
    </row>
    <row r="32" ht="14.25" customFormat="1" customHeight="1" s="321">
      <c r="A32" s="360" t="n"/>
      <c r="B32" s="363" t="inlineStr">
        <is>
          <t>Основные материалы</t>
        </is>
      </c>
      <c r="C32" s="436" t="n"/>
      <c r="D32" s="436" t="n"/>
      <c r="E32" s="436" t="n"/>
      <c r="F32" s="436" t="n"/>
      <c r="G32" s="436" t="n"/>
      <c r="H32" s="437" t="n"/>
      <c r="I32" s="235" t="n"/>
      <c r="J32" s="235" t="n"/>
    </row>
    <row r="33" ht="25.5" customFormat="1" customHeight="1" s="321">
      <c r="A33" s="359" t="n">
        <v>5</v>
      </c>
      <c r="B33" s="311" t="inlineStr">
        <is>
          <t>БЦ.100.15</t>
        </is>
      </c>
      <c r="C33" s="368" t="inlineStr">
        <is>
          <t>Стойка опоры СВ 110-3,5</t>
        </is>
      </c>
      <c r="D33" s="359" t="inlineStr">
        <is>
          <t>т</t>
        </is>
      </c>
      <c r="E33" s="305" t="n">
        <v>48.375</v>
      </c>
      <c r="F33" s="370">
        <f>ROUND(I33/'Прил. 10'!$D$13,2)</f>
        <v/>
      </c>
      <c r="G33" s="226">
        <f>ROUND(E33*F33,2)</f>
        <v/>
      </c>
      <c r="H33" s="229">
        <f>G33/$G$43</f>
        <v/>
      </c>
      <c r="I33" s="226" t="n">
        <v>16263.4</v>
      </c>
      <c r="J33" s="226">
        <f>ROUND(I33*E33,2)</f>
        <v/>
      </c>
    </row>
    <row r="34" ht="14.25" customFormat="1" customHeight="1" s="321">
      <c r="A34" s="359" t="n">
        <v>6</v>
      </c>
      <c r="B34" s="359" t="inlineStr">
        <is>
          <t>07.2.02.05-0021</t>
        </is>
      </c>
      <c r="C34" s="368" t="inlineStr">
        <is>
          <t>Траверсы стальные</t>
        </is>
      </c>
      <c r="D34" s="359" t="inlineStr">
        <is>
          <t>т</t>
        </is>
      </c>
      <c r="E34" s="305" t="n">
        <v>1.32384</v>
      </c>
      <c r="F34" s="370" t="n">
        <v>10832.93</v>
      </c>
      <c r="G34" s="226">
        <f>ROUND(E34*F34,2)</f>
        <v/>
      </c>
      <c r="H34" s="229">
        <f>G34/$G$43</f>
        <v/>
      </c>
      <c r="I34" s="226">
        <f>ROUND(F34*'Прил. 10'!$D$13,2)</f>
        <v/>
      </c>
      <c r="J34" s="226">
        <f>ROUND(I34*E34,2)</f>
        <v/>
      </c>
    </row>
    <row r="35" ht="14.25" customFormat="1" customHeight="1" s="321">
      <c r="A35" s="361" t="n"/>
      <c r="B35" s="237" t="n"/>
      <c r="C35" s="238" t="inlineStr">
        <is>
          <t>Итого основные материалы</t>
        </is>
      </c>
      <c r="D35" s="361" t="n"/>
      <c r="E35" s="306" t="n"/>
      <c r="F35" s="241" t="n"/>
      <c r="G35" s="241">
        <f>SUM(G33:G34)</f>
        <v/>
      </c>
      <c r="H35" s="229">
        <f>G35/$G$43</f>
        <v/>
      </c>
      <c r="I35" s="226" t="n"/>
      <c r="J35" s="241">
        <f>SUM(J33:J34)</f>
        <v/>
      </c>
    </row>
    <row r="36" outlineLevel="1" ht="14.25" customFormat="1" customHeight="1" s="321">
      <c r="A36" s="359" t="n">
        <v>7</v>
      </c>
      <c r="B36" s="359" t="inlineStr">
        <is>
          <t>20.2.02.04-0006</t>
        </is>
      </c>
      <c r="C36" s="368" t="inlineStr">
        <is>
          <t>Колпачки полиэтиленовые</t>
        </is>
      </c>
      <c r="D36" s="359" t="inlineStr">
        <is>
          <t>100 шт</t>
        </is>
      </c>
      <c r="E36" s="305" t="n">
        <v>1.26</v>
      </c>
      <c r="F36" s="370" t="n">
        <v>610</v>
      </c>
      <c r="G36" s="226">
        <f>ROUND(E36*F36,2)</f>
        <v/>
      </c>
      <c r="H36" s="229">
        <f>G36/$G$43</f>
        <v/>
      </c>
      <c r="I36" s="226">
        <f>ROUND(F36*'Прил. 10'!$D$13,2)</f>
        <v/>
      </c>
      <c r="J36" s="226">
        <f>ROUND(I36*E36,2)</f>
        <v/>
      </c>
    </row>
    <row r="37" outlineLevel="1" ht="25.5" customFormat="1" customHeight="1" s="321">
      <c r="A37" s="359" t="n">
        <v>8</v>
      </c>
      <c r="B37" s="359" t="inlineStr">
        <is>
          <t>14.4.02.04-0015</t>
        </is>
      </c>
      <c r="C37" s="368" t="inlineStr">
        <is>
          <t>Краска масляная для внутренних работ МА-015, черная густотертая</t>
        </is>
      </c>
      <c r="D37" s="359" t="inlineStr">
        <is>
          <t>т</t>
        </is>
      </c>
      <c r="E37" s="305" t="n">
        <v>0.008399999999999999</v>
      </c>
      <c r="F37" s="370" t="n">
        <v>15707</v>
      </c>
      <c r="G37" s="226">
        <f>ROUND(E37*F37,2)</f>
        <v/>
      </c>
      <c r="H37" s="229">
        <f>G37/$G$43</f>
        <v/>
      </c>
      <c r="I37" s="226">
        <f>ROUND(F37*'Прил. 10'!$D$13,2)</f>
        <v/>
      </c>
      <c r="J37" s="226">
        <f>ROUND(I37*E37,2)</f>
        <v/>
      </c>
    </row>
    <row r="38" outlineLevel="1" ht="14.25" customFormat="1" customHeight="1" s="321">
      <c r="A38" s="359" t="n">
        <v>9</v>
      </c>
      <c r="B38" s="359" t="inlineStr">
        <is>
          <t>01.3.01.06-0038</t>
        </is>
      </c>
      <c r="C38" s="368" t="inlineStr">
        <is>
          <t>Смазка защитная электросетевая</t>
        </is>
      </c>
      <c r="D38" s="359" t="inlineStr">
        <is>
          <t>кг</t>
        </is>
      </c>
      <c r="E38" s="305" t="n">
        <v>2.1</v>
      </c>
      <c r="F38" s="370" t="n">
        <v>14.4</v>
      </c>
      <c r="G38" s="226">
        <f>ROUND(E38*F38,2)</f>
        <v/>
      </c>
      <c r="H38" s="229">
        <f>G38/$G$43</f>
        <v/>
      </c>
      <c r="I38" s="226">
        <f>ROUND(F38*'Прил. 10'!$D$13,2)</f>
        <v/>
      </c>
      <c r="J38" s="226">
        <f>ROUND(I38*E38,2)</f>
        <v/>
      </c>
    </row>
    <row r="39" outlineLevel="1" ht="14.25" customFormat="1" customHeight="1" s="321">
      <c r="A39" s="359" t="n">
        <v>10</v>
      </c>
      <c r="B39" s="359" t="inlineStr">
        <is>
          <t>14.4.03.03-0102</t>
        </is>
      </c>
      <c r="C39" s="368" t="inlineStr">
        <is>
          <t>Лак битумный БТ-577</t>
        </is>
      </c>
      <c r="D39" s="359" t="inlineStr">
        <is>
          <t>т</t>
        </is>
      </c>
      <c r="E39" s="305" t="n">
        <v>0.0021</v>
      </c>
      <c r="F39" s="370" t="n">
        <v>9550.01</v>
      </c>
      <c r="G39" s="226">
        <f>ROUND(E39*F39,2)</f>
        <v/>
      </c>
      <c r="H39" s="229">
        <f>G39/$G$43</f>
        <v/>
      </c>
      <c r="I39" s="226">
        <f>ROUND(F39*'Прил. 10'!$D$13,2)</f>
        <v/>
      </c>
      <c r="J39" s="226">
        <f>ROUND(I39*E39,2)</f>
        <v/>
      </c>
    </row>
    <row r="40" outlineLevel="1" ht="14.25" customFormat="1" customHeight="1" s="321">
      <c r="A40" s="359" t="n">
        <v>11</v>
      </c>
      <c r="B40" s="359" t="inlineStr">
        <is>
          <t>01.3.01.06-0051</t>
        </is>
      </c>
      <c r="C40" s="368" t="inlineStr">
        <is>
          <t>Смазка солидол жировой Ж</t>
        </is>
      </c>
      <c r="D40" s="359" t="inlineStr">
        <is>
          <t>кг</t>
        </is>
      </c>
      <c r="E40" s="305" t="n">
        <v>0.63</v>
      </c>
      <c r="F40" s="370" t="n">
        <v>7.2</v>
      </c>
      <c r="G40" s="226">
        <f>ROUND(E40*F40,2)</f>
        <v/>
      </c>
      <c r="H40" s="229">
        <f>G40/$G$43</f>
        <v/>
      </c>
      <c r="I40" s="226">
        <f>ROUND(F40*'Прил. 10'!$D$13,2)</f>
        <v/>
      </c>
      <c r="J40" s="226">
        <f>ROUND(I40*E40,2)</f>
        <v/>
      </c>
    </row>
    <row r="41" outlineLevel="1" ht="14.25" customFormat="1" customHeight="1" s="321">
      <c r="A41" s="359" t="n">
        <v>12</v>
      </c>
      <c r="B41" s="359" t="inlineStr">
        <is>
          <t>01.7.20.08-0051</t>
        </is>
      </c>
      <c r="C41" s="368" t="inlineStr">
        <is>
          <t>Ветошь</t>
        </is>
      </c>
      <c r="D41" s="359" t="inlineStr">
        <is>
          <t>кг</t>
        </is>
      </c>
      <c r="E41" s="305" t="n">
        <v>0.42</v>
      </c>
      <c r="F41" s="370" t="n">
        <v>1.82</v>
      </c>
      <c r="G41" s="226">
        <f>ROUND(E41*F41,2)</f>
        <v/>
      </c>
      <c r="H41" s="229">
        <f>G41/$G$43</f>
        <v/>
      </c>
      <c r="I41" s="226">
        <f>ROUND(F41*'Прил. 10'!$D$13,2)</f>
        <v/>
      </c>
      <c r="J41" s="226">
        <f>ROUND(I41*E41,2)</f>
        <v/>
      </c>
    </row>
    <row r="42" ht="14.25" customFormat="1" customHeight="1" s="321">
      <c r="A42" s="359" t="n"/>
      <c r="B42" s="359" t="n"/>
      <c r="C42" s="368" t="inlineStr">
        <is>
          <t>Итого прочие материалы</t>
        </is>
      </c>
      <c r="D42" s="359" t="n"/>
      <c r="E42" s="305" t="n"/>
      <c r="F42" s="370" t="n"/>
      <c r="G42" s="226">
        <f>SUM(G36:G41)</f>
        <v/>
      </c>
      <c r="H42" s="229">
        <f>G42/$G$43</f>
        <v/>
      </c>
      <c r="I42" s="226" t="n"/>
      <c r="J42" s="226">
        <f>SUM(J36:J41)</f>
        <v/>
      </c>
    </row>
    <row r="43" ht="14.25" customFormat="1" customHeight="1" s="321">
      <c r="A43" s="359" t="n"/>
      <c r="B43" s="359" t="n"/>
      <c r="C43" s="367" t="inlineStr">
        <is>
          <t>Итого по разделу «Материалы»</t>
        </is>
      </c>
      <c r="D43" s="359" t="n"/>
      <c r="E43" s="369" t="n"/>
      <c r="F43" s="370" t="n"/>
      <c r="G43" s="226">
        <f>G35+G42</f>
        <v/>
      </c>
      <c r="H43" s="371">
        <f>G43/$G$43</f>
        <v/>
      </c>
      <c r="I43" s="226" t="n"/>
      <c r="J43" s="226">
        <f>J35+J42</f>
        <v/>
      </c>
    </row>
    <row r="44" ht="14.25" customFormat="1" customHeight="1" s="321">
      <c r="A44" s="359" t="n"/>
      <c r="B44" s="359" t="n"/>
      <c r="C44" s="368" t="inlineStr">
        <is>
          <t>ИТОГО ПО РМ</t>
        </is>
      </c>
      <c r="D44" s="359" t="n"/>
      <c r="E44" s="369" t="n"/>
      <c r="F44" s="370" t="n"/>
      <c r="G44" s="226">
        <f>G15+G24+G43</f>
        <v/>
      </c>
      <c r="H44" s="371" t="n"/>
      <c r="I44" s="226" t="n"/>
      <c r="J44" s="226">
        <f>J15+J24+J43</f>
        <v/>
      </c>
    </row>
    <row r="45" ht="14.25" customFormat="1" customHeight="1" s="321">
      <c r="A45" s="359" t="n"/>
      <c r="B45" s="359" t="n"/>
      <c r="C45" s="368" t="inlineStr">
        <is>
          <t>Накладные расходы</t>
        </is>
      </c>
      <c r="D45" s="220">
        <f>ROUND(G45/(G$17+$G$15),2)</f>
        <v/>
      </c>
      <c r="E45" s="369" t="n"/>
      <c r="F45" s="370" t="n"/>
      <c r="G45" s="226" t="n">
        <v>1701.05</v>
      </c>
      <c r="H45" s="371" t="n"/>
      <c r="I45" s="226" t="n"/>
      <c r="J45" s="226">
        <f>ROUND(D45*(J15+J17),2)</f>
        <v/>
      </c>
    </row>
    <row r="46" ht="14.25" customFormat="1" customHeight="1" s="321">
      <c r="A46" s="359" t="n"/>
      <c r="B46" s="359" t="n"/>
      <c r="C46" s="368" t="inlineStr">
        <is>
          <t>Сметная прибыль</t>
        </is>
      </c>
      <c r="D46" s="220">
        <f>ROUND(G46/(G$15+G$17),2)</f>
        <v/>
      </c>
      <c r="E46" s="369" t="n"/>
      <c r="F46" s="370" t="n"/>
      <c r="G46" s="226" t="n">
        <v>990.9</v>
      </c>
      <c r="H46" s="371" t="n"/>
      <c r="I46" s="226" t="n"/>
      <c r="J46" s="226">
        <f>ROUND(D46*(J15+J17),2)</f>
        <v/>
      </c>
    </row>
    <row r="47" ht="14.25" customFormat="1" customHeight="1" s="321">
      <c r="A47" s="359" t="n"/>
      <c r="B47" s="359" t="n"/>
      <c r="C47" s="368" t="inlineStr">
        <is>
          <t>Итого СМР (с НР и СП)</t>
        </is>
      </c>
      <c r="D47" s="359" t="n"/>
      <c r="E47" s="369" t="n"/>
      <c r="F47" s="370" t="n"/>
      <c r="G47" s="226">
        <f>G15+G24+G43+G45+G46</f>
        <v/>
      </c>
      <c r="H47" s="371" t="n"/>
      <c r="I47" s="226" t="n"/>
      <c r="J47" s="226">
        <f>J15+J24+J43+J45+J46</f>
        <v/>
      </c>
    </row>
    <row r="48" ht="14.25" customFormat="1" customHeight="1" s="321">
      <c r="A48" s="359" t="n"/>
      <c r="B48" s="359" t="n"/>
      <c r="C48" s="368" t="inlineStr">
        <is>
          <t>ВСЕГО СМР + ОБОРУДОВАНИЕ</t>
        </is>
      </c>
      <c r="D48" s="359" t="n"/>
      <c r="E48" s="369" t="n"/>
      <c r="F48" s="370" t="n"/>
      <c r="G48" s="226">
        <f>G47+G29</f>
        <v/>
      </c>
      <c r="H48" s="371" t="n"/>
      <c r="I48" s="226" t="n"/>
      <c r="J48" s="226">
        <f>J47+J29</f>
        <v/>
      </c>
    </row>
    <row r="49" ht="34.5" customFormat="1" customHeight="1" s="321">
      <c r="A49" s="359" t="n"/>
      <c r="B49" s="359" t="n"/>
      <c r="C49" s="368" t="inlineStr">
        <is>
          <t>ИТОГО ПОКАЗАТЕЛЬ НА ЕД. ИЗМ.</t>
        </is>
      </c>
      <c r="D49" s="359" t="inlineStr">
        <is>
          <t>1 км</t>
        </is>
      </c>
      <c r="E49" s="308" t="n">
        <v>0.886</v>
      </c>
      <c r="F49" s="370" t="n"/>
      <c r="G49" s="226">
        <f>G48/E49</f>
        <v/>
      </c>
      <c r="H49" s="371" t="n"/>
      <c r="I49" s="226" t="n"/>
      <c r="J49" s="226">
        <f>J48/E49</f>
        <v/>
      </c>
    </row>
    <row r="51" ht="14.25" customFormat="1" customHeight="1" s="321">
      <c r="A51" s="320" t="inlineStr">
        <is>
          <t>Составил ______________________    А.П. Николаева</t>
        </is>
      </c>
    </row>
    <row r="52" ht="14.25" customFormat="1" customHeight="1" s="321">
      <c r="A52" s="323" t="inlineStr">
        <is>
          <t xml:space="preserve">                         (подпись, инициалы, фамилия)</t>
        </is>
      </c>
    </row>
    <row r="53" ht="14.25" customFormat="1" customHeight="1" s="321">
      <c r="A53" s="320" t="n"/>
    </row>
    <row r="54" ht="14.25" customFormat="1" customHeight="1" s="321">
      <c r="A54" s="320" t="inlineStr">
        <is>
          <t>Проверил ______________________        А.В. Костянецкая</t>
        </is>
      </c>
    </row>
    <row r="55" ht="14.25" customFormat="1" customHeight="1" s="321">
      <c r="A55" s="32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3" min="1" max="1"/>
    <col width="17.5546875" customWidth="1" style="313" min="2" max="2"/>
    <col width="39.109375" customWidth="1" style="313" min="3" max="3"/>
    <col width="10.6640625" customWidth="1" style="313" min="4" max="4"/>
    <col width="13.88671875" customWidth="1" style="313" min="5" max="5"/>
    <col width="13.33203125" customWidth="1" style="313" min="6" max="6"/>
    <col width="14.109375" customWidth="1" style="313" min="7" max="7"/>
  </cols>
  <sheetData>
    <row r="1">
      <c r="A1" s="376" t="inlineStr">
        <is>
          <t>Приложение №6</t>
        </is>
      </c>
    </row>
    <row r="2" ht="21.75" customHeight="1" s="313">
      <c r="A2" s="376" t="n"/>
      <c r="B2" s="376" t="n"/>
      <c r="C2" s="376" t="n"/>
      <c r="D2" s="376" t="n"/>
      <c r="E2" s="376" t="n"/>
      <c r="F2" s="376" t="n"/>
      <c r="G2" s="376" t="n"/>
    </row>
    <row r="3">
      <c r="A3" s="328" t="inlineStr">
        <is>
          <t>Расчет стоимости оборудования</t>
        </is>
      </c>
    </row>
    <row r="4" ht="25.5" customHeight="1" s="313">
      <c r="A4" s="331" t="inlineStr">
        <is>
          <t>Наименование разрабатываемого показателя УНЦ — Опоры ВЛ 0,4 - 750 кВ. Двухцепная, все типы опор за исключением многогранных 6-20 кВ.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13">
      <c r="A6" s="381" t="inlineStr">
        <is>
          <t>№ пп.</t>
        </is>
      </c>
      <c r="B6" s="381" t="inlineStr">
        <is>
          <t>Код ресурса</t>
        </is>
      </c>
      <c r="C6" s="381" t="inlineStr">
        <is>
          <t>Наименование</t>
        </is>
      </c>
      <c r="D6" s="381" t="inlineStr">
        <is>
          <t>Ед. изм.</t>
        </is>
      </c>
      <c r="E6" s="359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313">
      <c r="A9" s="265" t="n"/>
      <c r="B9" s="368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313">
      <c r="A10" s="359" t="n"/>
      <c r="B10" s="367" t="n"/>
      <c r="C10" s="368" t="inlineStr">
        <is>
          <t>ИТОГО ИНЖЕНЕРНОЕ ОБОРУДОВАНИЕ</t>
        </is>
      </c>
      <c r="D10" s="367" t="n"/>
      <c r="E10" s="148" t="n"/>
      <c r="F10" s="370" t="n"/>
      <c r="G10" s="370" t="n">
        <v>0</v>
      </c>
    </row>
    <row r="11">
      <c r="A11" s="359" t="n"/>
      <c r="B11" s="368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313">
      <c r="A12" s="359" t="n"/>
      <c r="B12" s="368" t="n"/>
      <c r="C12" s="368" t="inlineStr">
        <is>
          <t>ИТОГО ТЕХНОЛОГИЧЕСКОЕ ОБОРУДОВАНИЕ</t>
        </is>
      </c>
      <c r="D12" s="368" t="n"/>
      <c r="E12" s="380" t="n"/>
      <c r="F12" s="370" t="n"/>
      <c r="G12" s="226" t="n">
        <v>0</v>
      </c>
    </row>
    <row r="13" ht="19.5" customHeight="1" s="313">
      <c r="A13" s="359" t="n"/>
      <c r="B13" s="368" t="n"/>
      <c r="C13" s="368" t="inlineStr">
        <is>
          <t>Всего по разделу «Оборудование»</t>
        </is>
      </c>
      <c r="D13" s="368" t="n"/>
      <c r="E13" s="380" t="n"/>
      <c r="F13" s="370" t="n"/>
      <c r="G13" s="226">
        <f>G10+G12</f>
        <v/>
      </c>
    </row>
    <row r="14">
      <c r="A14" s="322" t="n"/>
      <c r="B14" s="151" t="n"/>
      <c r="C14" s="322" t="n"/>
      <c r="D14" s="322" t="n"/>
      <c r="E14" s="322" t="n"/>
      <c r="F14" s="322" t="n"/>
      <c r="G14" s="322" t="n"/>
    </row>
    <row r="15">
      <c r="A15" s="320" t="inlineStr">
        <is>
          <t>Составил ______________________    А.П. Николаева</t>
        </is>
      </c>
      <c r="B15" s="321" t="n"/>
      <c r="C15" s="321" t="n"/>
      <c r="D15" s="322" t="n"/>
      <c r="E15" s="322" t="n"/>
      <c r="F15" s="322" t="n"/>
      <c r="G15" s="322" t="n"/>
    </row>
    <row r="16">
      <c r="A16" s="323" t="inlineStr">
        <is>
          <t xml:space="preserve">                         (подпись, инициалы, фамилия)</t>
        </is>
      </c>
      <c r="B16" s="321" t="n"/>
      <c r="C16" s="321" t="n"/>
      <c r="D16" s="322" t="n"/>
      <c r="E16" s="322" t="n"/>
      <c r="F16" s="322" t="n"/>
      <c r="G16" s="322" t="n"/>
    </row>
    <row r="17">
      <c r="A17" s="320" t="n"/>
      <c r="B17" s="321" t="n"/>
      <c r="C17" s="321" t="n"/>
      <c r="D17" s="322" t="n"/>
      <c r="E17" s="322" t="n"/>
      <c r="F17" s="322" t="n"/>
      <c r="G17" s="322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22" t="n"/>
      <c r="E18" s="322" t="n"/>
      <c r="F18" s="322" t="n"/>
      <c r="G18" s="322" t="n"/>
    </row>
    <row r="19">
      <c r="A19" s="323" t="inlineStr">
        <is>
          <t xml:space="preserve">                        (подпись, инициалы, фамилия)</t>
        </is>
      </c>
      <c r="B19" s="321" t="n"/>
      <c r="C19" s="321" t="n"/>
      <c r="D19" s="322" t="n"/>
      <c r="E19" s="322" t="n"/>
      <c r="F19" s="322" t="n"/>
      <c r="G19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13" min="1" max="1"/>
    <col width="22.44140625" customWidth="1" style="313" min="2" max="2"/>
    <col width="37.109375" customWidth="1" style="313" min="3" max="3"/>
    <col width="49" customWidth="1" style="313" min="4" max="4"/>
    <col width="9.109375" customWidth="1" style="313" min="5" max="5"/>
  </cols>
  <sheetData>
    <row r="1" ht="15.75" customHeight="1" s="313">
      <c r="A1" s="316" t="n"/>
      <c r="B1" s="316" t="n"/>
      <c r="C1" s="316" t="n"/>
      <c r="D1" s="316" t="inlineStr">
        <is>
          <t>Приложение №7</t>
        </is>
      </c>
    </row>
    <row r="2" ht="15.75" customHeight="1" s="313">
      <c r="A2" s="316" t="n"/>
      <c r="B2" s="316" t="n"/>
      <c r="C2" s="316" t="n"/>
      <c r="D2" s="316" t="n"/>
    </row>
    <row r="3" ht="15.75" customHeight="1" s="313">
      <c r="A3" s="316" t="n"/>
      <c r="B3" s="314" t="inlineStr">
        <is>
          <t>Расчет показателя УНЦ</t>
        </is>
      </c>
      <c r="C3" s="316" t="n"/>
      <c r="D3" s="316" t="n"/>
    </row>
    <row r="4" ht="15.75" customHeight="1" s="313">
      <c r="A4" s="316" t="n"/>
      <c r="B4" s="316" t="n"/>
      <c r="C4" s="316" t="n"/>
      <c r="D4" s="316" t="n"/>
    </row>
    <row r="5" ht="31.5" customHeight="1" s="313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313">
      <c r="A6" s="316" t="inlineStr">
        <is>
          <t>Единица измерения  — 1 км</t>
        </is>
      </c>
      <c r="B6" s="316" t="n"/>
      <c r="C6" s="316" t="n"/>
      <c r="D6" s="316" t="n"/>
    </row>
    <row r="7" ht="15.75" customHeight="1" s="313">
      <c r="A7" s="316" t="n"/>
      <c r="B7" s="316" t="n"/>
      <c r="C7" s="316" t="n"/>
      <c r="D7" s="316" t="n"/>
    </row>
    <row r="8">
      <c r="A8" s="344" t="inlineStr">
        <is>
          <t>Код показателя</t>
        </is>
      </c>
      <c r="B8" s="344" t="inlineStr">
        <is>
          <t>Наименование показателя</t>
        </is>
      </c>
      <c r="C8" s="344" t="inlineStr">
        <is>
          <t>Наименование РМ, входящих в состав показателя</t>
        </is>
      </c>
      <c r="D8" s="344" t="inlineStr">
        <is>
          <t>Норматив цены на 01.01.2023, тыс.руб.</t>
        </is>
      </c>
    </row>
    <row r="9">
      <c r="A9" s="430" t="n"/>
      <c r="B9" s="430" t="n"/>
      <c r="C9" s="430" t="n"/>
      <c r="D9" s="430" t="n"/>
    </row>
    <row r="10" ht="15.75" customHeight="1" s="313">
      <c r="A10" s="344" t="n">
        <v>1</v>
      </c>
      <c r="B10" s="344" t="n">
        <v>2</v>
      </c>
      <c r="C10" s="344" t="n">
        <v>3</v>
      </c>
      <c r="D10" s="344" t="n">
        <v>4</v>
      </c>
    </row>
    <row r="11" ht="63" customHeight="1" s="313">
      <c r="A11" s="344" t="inlineStr">
        <is>
          <t>Л3-02-2</t>
        </is>
      </c>
      <c r="B11" s="344" t="inlineStr">
        <is>
          <t xml:space="preserve">УНЦ опор ВЛ 0,4 - 750 кВ </t>
        </is>
      </c>
      <c r="C11" s="318">
        <f>D5</f>
        <v/>
      </c>
      <c r="D11" s="319">
        <f>'Прил.4 РМ'!C41/1000</f>
        <v/>
      </c>
    </row>
    <row r="13">
      <c r="A13" s="320" t="inlineStr">
        <is>
          <t>Составил ______________________    А.П. Николаева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 ht="20.25" customHeight="1" s="313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RowHeight="14.4"/>
  <cols>
    <col width="9.109375" customWidth="1" style="313" min="1" max="1"/>
    <col width="40.6640625" customWidth="1" style="313" min="2" max="2"/>
    <col width="37" customWidth="1" style="313" min="3" max="3"/>
    <col width="32" customWidth="1" style="313" min="4" max="4"/>
    <col width="9.109375" customWidth="1" style="313" min="5" max="5"/>
  </cols>
  <sheetData>
    <row r="4" ht="15.75" customHeight="1" s="313">
      <c r="B4" s="338" t="inlineStr">
        <is>
          <t>Приложение № 10</t>
        </is>
      </c>
    </row>
    <row r="5" ht="18.75" customHeight="1" s="313">
      <c r="B5" s="189" t="n"/>
    </row>
    <row r="6" ht="15.75" customHeight="1" s="313">
      <c r="B6" s="339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13">
      <c r="B9" s="344" t="inlineStr">
        <is>
          <t>Наименование индекса / норм сопутствующих затрат</t>
        </is>
      </c>
      <c r="C9" s="344" t="inlineStr">
        <is>
          <t>Дата применения и обоснование индекса / норм сопутствующих затрат</t>
        </is>
      </c>
      <c r="D9" s="344" t="inlineStr">
        <is>
          <t>Размер индекса / норма сопутствующих затрат</t>
        </is>
      </c>
    </row>
    <row r="10" ht="15.75" customHeight="1" s="313">
      <c r="B10" s="344" t="n">
        <v>1</v>
      </c>
      <c r="C10" s="344" t="n">
        <v>2</v>
      </c>
      <c r="D10" s="344" t="n">
        <v>3</v>
      </c>
    </row>
    <row r="11" ht="31.5" customHeight="1" s="313">
      <c r="B11" s="344" t="inlineStr">
        <is>
          <t xml:space="preserve">Индекс изменения сметной стоимости на 1 квартал 2023 года. ОЗП </t>
        </is>
      </c>
      <c r="C11" s="344" t="inlineStr">
        <is>
          <t>Письмо Минстроя России от 30.03.2023г. №17106-ИФ/09 прил.1</t>
        </is>
      </c>
      <c r="D11" s="344" t="n">
        <v>44.29</v>
      </c>
    </row>
    <row r="12" ht="31.5" customHeight="1" s="313">
      <c r="B12" s="344" t="inlineStr">
        <is>
          <t>Индекс изменения сметной стоимости на 1 квартал 2023 года. ЭМ</t>
        </is>
      </c>
      <c r="C12" s="344" t="inlineStr">
        <is>
          <t>Письмо Минстроя России от 30.03.2023г. №17106-ИФ/09 прил.1</t>
        </is>
      </c>
      <c r="D12" s="344" t="n">
        <v>11.72</v>
      </c>
    </row>
    <row r="13" ht="31.5" customHeight="1" s="313">
      <c r="B13" s="344" t="inlineStr">
        <is>
          <t>Индекс изменения сметной стоимости на 1 квартал 2023 года. МАТ</t>
        </is>
      </c>
      <c r="C13" s="344" t="inlineStr">
        <is>
          <t>Письмо Минстроя России от 30.03.2023г. №17106-ИФ/09 прил.1</t>
        </is>
      </c>
      <c r="D13" s="344" t="n">
        <v>7.74</v>
      </c>
    </row>
    <row r="14" ht="30.75" customHeight="1" s="313">
      <c r="B14" s="34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4" t="n">
        <v>6.26</v>
      </c>
    </row>
    <row r="15" ht="89.25" customHeight="1" s="313">
      <c r="B15" s="344" t="inlineStr">
        <is>
          <t>Временные здания и сооружения</t>
        </is>
      </c>
      <c r="C15" s="34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0.025</v>
      </c>
    </row>
    <row r="16" ht="78.75" customHeight="1" s="313">
      <c r="B16" s="344" t="inlineStr">
        <is>
          <t>Дополнительные затраты при производстве строительно-монтажных работ в зимнее время</t>
        </is>
      </c>
      <c r="C16" s="344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0.019</v>
      </c>
    </row>
    <row r="17" ht="31.5" customHeight="1" s="313">
      <c r="B17" s="344" t="inlineStr">
        <is>
          <t>Строительный контроль</t>
        </is>
      </c>
      <c r="C17" s="344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13">
      <c r="B18" s="344" t="inlineStr">
        <is>
          <t>Авторский надзор - 0,2%</t>
        </is>
      </c>
      <c r="C18" s="344" t="inlineStr">
        <is>
          <t>Приказ от 4.08.2020 № 421/пр п.173</t>
        </is>
      </c>
      <c r="D18" s="192" t="n">
        <v>0.002</v>
      </c>
    </row>
    <row r="19" ht="24" customHeight="1" s="313">
      <c r="B19" s="344" t="inlineStr">
        <is>
          <t>Непредвиденные расходы</t>
        </is>
      </c>
      <c r="C19" s="344" t="inlineStr">
        <is>
          <t>Приказ от 4.08.2020 № 421/пр п.179</t>
        </is>
      </c>
      <c r="D19" s="192" t="n">
        <v>0.03</v>
      </c>
    </row>
    <row r="20" ht="18.75" customHeight="1" s="313">
      <c r="B20" s="280" t="n"/>
    </row>
    <row r="21" ht="18.75" customHeight="1" s="313">
      <c r="B21" s="280" t="n"/>
    </row>
    <row r="22" ht="18.75" customHeight="1" s="313">
      <c r="B22" s="280" t="n"/>
    </row>
    <row r="23" ht="18.75" customHeight="1" s="313">
      <c r="B23" s="280" t="n"/>
    </row>
    <row r="26">
      <c r="B26" s="320" t="inlineStr">
        <is>
          <t>Составил ______________________        Е.А. Князева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G14" sqref="G14"/>
    </sheetView>
  </sheetViews>
  <sheetFormatPr baseColWidth="8" defaultRowHeight="14.4"/>
  <cols>
    <col width="9.109375" customWidth="1" style="313" min="1" max="1"/>
    <col width="44.88671875" customWidth="1" style="313" min="2" max="2"/>
    <col width="13" customWidth="1" style="313" min="3" max="3"/>
    <col width="22.88671875" customWidth="1" style="313" min="4" max="4"/>
    <col width="21.5546875" customWidth="1" style="313" min="5" max="5"/>
    <col width="43.88671875" customWidth="1" style="313" min="6" max="6"/>
    <col width="9.109375" customWidth="1" style="313" min="7" max="7"/>
  </cols>
  <sheetData>
    <row r="2" ht="17.25" customHeight="1" s="313">
      <c r="A2" s="3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3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6" t="n"/>
    </row>
    <row r="6" ht="15.75" customHeight="1" s="31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6" t="n"/>
    </row>
    <row r="7" ht="110.25" customHeight="1" s="31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4" t="inlineStr">
        <is>
          <t>С1ср</t>
        </is>
      </c>
      <c r="D7" s="344" t="inlineStr">
        <is>
          <t>-</t>
        </is>
      </c>
      <c r="E7" s="31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4" t="inlineStr">
        <is>
          <t>tср</t>
        </is>
      </c>
      <c r="D8" s="344" t="inlineStr">
        <is>
          <t>1973ч/12мес.</t>
        </is>
      </c>
      <c r="E8" s="31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3">
      <c r="A9" s="176" t="inlineStr">
        <is>
          <t>1.3</t>
        </is>
      </c>
      <c r="B9" s="180" t="inlineStr">
        <is>
          <t>Коэффициент увеличения</t>
        </is>
      </c>
      <c r="C9" s="344" t="inlineStr">
        <is>
          <t>Кув</t>
        </is>
      </c>
      <c r="D9" s="344" t="inlineStr">
        <is>
          <t>-</t>
        </is>
      </c>
      <c r="E9" s="319" t="n">
        <v>1</v>
      </c>
      <c r="F9" s="180" t="n"/>
      <c r="G9" s="182" t="n"/>
    </row>
    <row r="10" ht="15.75" customHeight="1" s="313">
      <c r="A10" s="176" t="inlineStr">
        <is>
          <t>1.4</t>
        </is>
      </c>
      <c r="B10" s="180" t="inlineStr">
        <is>
          <t>Средний разряд работ</t>
        </is>
      </c>
      <c r="C10" s="344" t="n"/>
      <c r="D10" s="344" t="n"/>
      <c r="E10" s="183" t="n">
        <v>3.3</v>
      </c>
      <c r="F10" s="180" t="inlineStr">
        <is>
          <t>РТМ</t>
        </is>
      </c>
      <c r="G10" s="182" t="n"/>
    </row>
    <row r="11" ht="78.75" customHeight="1" s="31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4" t="inlineStr">
        <is>
          <t>КТ</t>
        </is>
      </c>
      <c r="D11" s="344" t="inlineStr">
        <is>
          <t>-</t>
        </is>
      </c>
      <c r="E11" s="275" t="n">
        <v>1.232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3">
      <c r="A12" s="176" t="inlineStr">
        <is>
          <t>1.6</t>
        </is>
      </c>
      <c r="B12" s="249" t="inlineStr">
        <is>
          <t>Коэффициент инфляции, определяемый поквартально</t>
        </is>
      </c>
      <c r="C12" s="344" t="inlineStr">
        <is>
          <t>Кинф</t>
        </is>
      </c>
      <c r="D12" s="34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3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2025-01-24T12:10:02Z</dcterms:modified>
  <cp:lastModifiedBy>user1</cp:lastModifiedBy>
</cp:coreProperties>
</file>