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8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16" fillId="0" borderId="0" pivotButton="0" quotePrefix="0" xfId="0"/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168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G32"/>
  <sheetViews>
    <sheetView tabSelected="1" view="pageBreakPreview" topLeftCell="A16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13" min="1" max="2"/>
    <col width="36.88671875" customWidth="1" style="313" min="3" max="3"/>
    <col width="36.5546875" customWidth="1" style="313" min="4" max="4"/>
    <col width="26.6640625" customWidth="1" style="313" min="5" max="5"/>
    <col width="27" customWidth="1" style="313" min="6" max="6"/>
    <col width="37.44140625" customWidth="1" style="313" min="7" max="7"/>
    <col width="9.109375" customWidth="1" style="313" min="8" max="8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>
      <c r="B5" s="254" t="n"/>
      <c r="C5" s="254" t="n"/>
      <c r="D5" s="254" t="n"/>
      <c r="E5" s="254" t="n"/>
      <c r="F5" s="254" t="n"/>
    </row>
    <row r="6">
      <c r="B6" s="254" t="n"/>
      <c r="C6" s="254" t="n"/>
      <c r="D6" s="254" t="n"/>
      <c r="E6" s="254" t="n"/>
      <c r="F6" s="254" t="n"/>
    </row>
    <row r="7">
      <c r="B7" s="332" t="inlineStr">
        <is>
          <t>Наименование разрабатываемого показателя УНЦ — Опоры ВЛ 0,4 - 750 кВ. Одноцепная, все типы опор за исключением многогранных 35 кВ</t>
        </is>
      </c>
      <c r="G7" s="253" t="n"/>
    </row>
    <row r="8" ht="31.5" customHeight="1" s="310">
      <c r="B8" s="332" t="inlineStr">
        <is>
          <t>Сопоставимый уровень цен: 4 кв 2019</t>
        </is>
      </c>
    </row>
    <row r="9">
      <c r="B9" s="332" t="inlineStr">
        <is>
          <t>Единица измерения  — 1 км</t>
        </is>
      </c>
      <c r="G9" s="253" t="n"/>
    </row>
    <row r="10">
      <c r="B10" s="332" t="n"/>
    </row>
    <row r="11">
      <c r="B11" s="338" t="inlineStr">
        <is>
          <t>№ п/п</t>
        </is>
      </c>
      <c r="C11" s="338" t="inlineStr">
        <is>
          <t>Параметр</t>
        </is>
      </c>
      <c r="D11" s="248" t="inlineStr">
        <is>
          <t>Объект-представитель 1</t>
        </is>
      </c>
      <c r="E11" s="248" t="inlineStr">
        <is>
          <t>Объект-представитель 2</t>
        </is>
      </c>
      <c r="F11" s="248" t="inlineStr">
        <is>
          <t>Объект-представитель 3</t>
        </is>
      </c>
      <c r="G11" s="253" t="n"/>
    </row>
    <row r="12" ht="109.2" customHeight="1" s="310">
      <c r="B12" s="338" t="n">
        <v>1</v>
      </c>
      <c r="C12" s="248" t="inlineStr">
        <is>
          <t>Наименование объекта-представителя</t>
        </is>
      </c>
      <c r="D12" s="248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E12" s="248" t="n"/>
      <c r="F12" s="248" t="n"/>
    </row>
    <row r="13" ht="31.5" customHeight="1" s="310">
      <c r="B13" s="338" t="n">
        <v>2</v>
      </c>
      <c r="C13" s="248" t="inlineStr">
        <is>
          <t>Наименование субъекта Российской Федерации</t>
        </is>
      </c>
      <c r="D13" s="248" t="inlineStr">
        <is>
          <t>Оренбургская область</t>
        </is>
      </c>
      <c r="E13" s="248" t="n"/>
      <c r="F13" s="248" t="n"/>
    </row>
    <row r="14">
      <c r="B14" s="338" t="n">
        <v>3</v>
      </c>
      <c r="C14" s="248" t="inlineStr">
        <is>
          <t>Климатический район и подрайон</t>
        </is>
      </c>
      <c r="D14" s="248" t="inlineStr">
        <is>
          <t>IIIа</t>
        </is>
      </c>
      <c r="E14" s="248" t="n"/>
      <c r="F14" s="248" t="n"/>
    </row>
    <row r="15">
      <c r="B15" s="338" t="n">
        <v>4</v>
      </c>
      <c r="C15" s="248" t="inlineStr">
        <is>
          <t>Мощность объекта</t>
        </is>
      </c>
      <c r="D15" s="276" t="n">
        <v>2.53</v>
      </c>
      <c r="E15" s="276" t="n"/>
      <c r="F15" s="276" t="n"/>
    </row>
    <row r="16" ht="94.5" customHeight="1" s="310">
      <c r="B16" s="33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8" t="inlineStr">
        <is>
          <t>Опора  У35-1т+5  - 5шт (23,22 т)
Опора  У110-1+9 - 1шт (8,143 т)
Опора ПБ35-3.1т - 5 шт (24,095 т)</t>
        </is>
      </c>
      <c r="E16" s="248" t="n"/>
      <c r="F16" s="248" t="n"/>
    </row>
    <row r="17" ht="78.75" customHeight="1" s="310">
      <c r="B17" s="33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8">
        <f>SUM(D18:D21)</f>
        <v/>
      </c>
      <c r="E17" s="278" t="n"/>
      <c r="F17" s="278" t="n"/>
      <c r="G17" s="249" t="n"/>
    </row>
    <row r="18">
      <c r="B18" s="252" t="inlineStr">
        <is>
          <t>6.1</t>
        </is>
      </c>
      <c r="C18" s="248" t="inlineStr">
        <is>
          <t>строительно-монтажные работы</t>
        </is>
      </c>
      <c r="D18" s="278" t="n">
        <v>5112.7926892</v>
      </c>
      <c r="E18" s="278" t="n"/>
      <c r="F18" s="278" t="n"/>
    </row>
    <row r="19" ht="15.75" customHeight="1" s="310">
      <c r="B19" s="252" t="inlineStr">
        <is>
          <t>6.2</t>
        </is>
      </c>
      <c r="C19" s="248" t="inlineStr">
        <is>
          <t>оборудование и инвентарь</t>
        </is>
      </c>
      <c r="D19" s="278" t="n">
        <v>0</v>
      </c>
      <c r="E19" s="248" t="n"/>
      <c r="F19" s="248" t="n"/>
    </row>
    <row r="20" ht="16.5" customHeight="1" s="310">
      <c r="B20" s="252" t="inlineStr">
        <is>
          <t>6.3</t>
        </is>
      </c>
      <c r="C20" s="248" t="inlineStr">
        <is>
          <t>пусконаладочные работы</t>
        </is>
      </c>
      <c r="D20" s="278" t="n">
        <v>0</v>
      </c>
      <c r="E20" s="248" t="n"/>
      <c r="F20" s="248" t="n"/>
    </row>
    <row r="21">
      <c r="B21" s="252" t="inlineStr">
        <is>
          <t>6.4</t>
        </is>
      </c>
      <c r="C21" s="251" t="inlineStr">
        <is>
          <t>прочие и лимитированные затраты</t>
        </is>
      </c>
      <c r="D21" s="278">
        <f>D18*2.9%</f>
        <v/>
      </c>
      <c r="E21" s="248" t="n"/>
      <c r="F21" s="248" t="n"/>
    </row>
    <row r="22">
      <c r="B22" s="338" t="n">
        <v>7</v>
      </c>
      <c r="C22" s="251" t="inlineStr">
        <is>
          <t>Сопоставимый уровень цен</t>
        </is>
      </c>
      <c r="D22" s="338" t="inlineStr">
        <is>
          <t>4 кв 2019</t>
        </is>
      </c>
      <c r="E22" s="338" t="n"/>
      <c r="F22" s="338" t="n"/>
      <c r="G22" s="249" t="n"/>
    </row>
    <row r="23" ht="123" customHeight="1" s="310">
      <c r="B23" s="338" t="n">
        <v>8</v>
      </c>
      <c r="C23" s="2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8">
        <f>D17/5.86*8.69</f>
        <v/>
      </c>
      <c r="E23" s="279" t="n"/>
      <c r="F23" s="278" t="n"/>
    </row>
    <row r="24" ht="46.8" customHeight="1" s="310">
      <c r="B24" s="33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8">
        <f>D23/D15</f>
        <v/>
      </c>
      <c r="E24" s="279" t="n"/>
      <c r="F24" s="279" t="n"/>
      <c r="G24" s="249" t="n"/>
    </row>
    <row r="25" ht="109.2" customHeight="1" s="310">
      <c r="B25" s="338" t="n">
        <v>10</v>
      </c>
      <c r="C25" s="248" t="inlineStr">
        <is>
          <t>Примечание</t>
        </is>
      </c>
      <c r="D25" s="248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опора</t>
        </is>
      </c>
      <c r="E25" s="248" t="n"/>
      <c r="F25" s="248" t="n"/>
    </row>
    <row r="26">
      <c r="B26" s="247" t="n"/>
      <c r="C26" s="246" t="n"/>
      <c r="D26" s="246" t="n"/>
      <c r="E26" s="246" t="n"/>
      <c r="F26" s="246" t="n"/>
    </row>
    <row r="27" ht="37.5" customHeight="1" s="310">
      <c r="B27" s="245" t="n"/>
    </row>
    <row r="28">
      <c r="B28" s="313" t="inlineStr">
        <is>
          <t>Составил ______________________        А.П. Николаева</t>
        </is>
      </c>
    </row>
    <row r="29">
      <c r="B29" s="245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245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6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6"/>
  <sheetViews>
    <sheetView view="pageBreakPreview" zoomScale="70" zoomScaleNormal="70" workbookViewId="0">
      <selection activeCell="C21" sqref="C21"/>
    </sheetView>
  </sheetViews>
  <sheetFormatPr baseColWidth="8" defaultColWidth="9.109375" defaultRowHeight="15.6"/>
  <cols>
    <col width="5.5546875" customWidth="1" style="313" min="1" max="1"/>
    <col width="9.109375" customWidth="1" style="313" min="2" max="2"/>
    <col width="35.33203125" customWidth="1" style="313" min="3" max="3"/>
    <col width="13.88671875" customWidth="1" style="313" min="4" max="4"/>
    <col width="24.88671875" customWidth="1" style="313" min="5" max="5"/>
    <col width="15.5546875" customWidth="1" style="313" min="6" max="6"/>
    <col width="14.88671875" customWidth="1" style="313" min="7" max="7"/>
    <col width="16.6640625" customWidth="1" style="313" min="8" max="8"/>
    <col width="13" customWidth="1" style="313" min="9" max="10"/>
    <col width="18" customWidth="1" style="313" min="11" max="11"/>
    <col width="9.109375" customWidth="1" style="313" min="12" max="12"/>
  </cols>
  <sheetData>
    <row r="3">
      <c r="B3" s="330" t="inlineStr">
        <is>
          <t>Приложение № 2</t>
        </is>
      </c>
      <c r="K3" s="245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254" t="n"/>
      <c r="C5" s="254" t="n"/>
      <c r="D5" s="254" t="n"/>
      <c r="E5" s="254" t="n"/>
      <c r="F5" s="254" t="n"/>
      <c r="G5" s="254" t="n"/>
      <c r="H5" s="254" t="n"/>
      <c r="I5" s="254" t="n"/>
      <c r="J5" s="254" t="n"/>
      <c r="K5" s="254" t="n"/>
    </row>
    <row r="6" ht="15.75" customHeight="1" s="310">
      <c r="B6" s="337" t="inlineStr">
        <is>
          <t>Наименование разрабатываемого показателя УНЦ —  Опоры ВЛ 0,4 - 750 кВ. Одноцепная, все типы опор за исключением многогранных 35 кВ</t>
        </is>
      </c>
      <c r="K6" s="245" t="n"/>
      <c r="L6" s="253" t="n"/>
    </row>
    <row r="7">
      <c r="B7" s="332" t="inlineStr">
        <is>
          <t>Единица измерения  — 1 км</t>
        </is>
      </c>
      <c r="L7" s="253" t="n"/>
    </row>
    <row r="8">
      <c r="B8" s="332" t="n"/>
    </row>
    <row r="9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1*</t>
        </is>
      </c>
      <c r="E9" s="414" t="n"/>
      <c r="F9" s="414" t="n"/>
      <c r="G9" s="414" t="n"/>
      <c r="H9" s="414" t="n"/>
      <c r="I9" s="414" t="n"/>
      <c r="J9" s="415" t="n"/>
    </row>
    <row r="10">
      <c r="B10" s="416" t="n"/>
      <c r="C10" s="416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4 кв. 2019 г., тыс. руб.</t>
        </is>
      </c>
      <c r="G10" s="414" t="n"/>
      <c r="H10" s="414" t="n"/>
      <c r="I10" s="414" t="n"/>
      <c r="J10" s="415" t="n"/>
    </row>
    <row r="11" ht="31.5" customHeight="1" s="310">
      <c r="B11" s="417" t="n"/>
      <c r="C11" s="417" t="n"/>
      <c r="D11" s="417" t="n"/>
      <c r="E11" s="417" t="n"/>
      <c r="F11" s="338" t="inlineStr">
        <is>
          <t>Строительные работы</t>
        </is>
      </c>
      <c r="G11" s="338" t="inlineStr">
        <is>
          <t>Монтажные работы</t>
        </is>
      </c>
      <c r="H11" s="338" t="inlineStr">
        <is>
          <t>Оборудование</t>
        </is>
      </c>
      <c r="I11" s="338" t="inlineStr">
        <is>
          <t>Прочее</t>
        </is>
      </c>
      <c r="J11" s="338" t="inlineStr">
        <is>
          <t>Всего</t>
        </is>
      </c>
    </row>
    <row r="12" ht="73.5" customHeight="1" s="310">
      <c r="B12" s="273" t="n">
        <v>1</v>
      </c>
      <c r="C12" s="275" t="inlineStr">
        <is>
          <t>Опора  У35-1т+5  - 5шт (23,22 т)
Опора  У110-1+9 - 1шт (8,143 т)
Опора ПБ35-3.1т - 5 шт (24,095 т)</t>
        </is>
      </c>
      <c r="D12" s="272" t="inlineStr">
        <is>
          <t>2.02-01-01</t>
        </is>
      </c>
      <c r="E12" s="248" t="inlineStr">
        <is>
          <t>строительство ВЛ 35 кВ</t>
        </is>
      </c>
      <c r="F12" s="268">
        <f>872490.22/1000*5.86</f>
        <v/>
      </c>
      <c r="G12" s="257" t="n"/>
      <c r="H12" s="257" t="n"/>
      <c r="I12" s="257" t="n"/>
      <c r="J12" s="270">
        <f>SUM(F12:I12)</f>
        <v/>
      </c>
    </row>
    <row r="13">
      <c r="B13" s="336" t="inlineStr">
        <is>
          <t>Всего по объекту:</t>
        </is>
      </c>
      <c r="C13" s="414" t="n"/>
      <c r="D13" s="414" t="n"/>
      <c r="E13" s="415" t="n"/>
      <c r="F13" s="269">
        <f>SUM(F12:F12)</f>
        <v/>
      </c>
      <c r="G13" s="256" t="n"/>
      <c r="H13" s="256" t="n"/>
      <c r="I13" s="256" t="n"/>
      <c r="J13" s="271">
        <f>SUM(F13:I13)</f>
        <v/>
      </c>
    </row>
    <row r="14" ht="28.5" customHeight="1" s="310">
      <c r="B14" s="336" t="inlineStr">
        <is>
          <t>Всего по объекту в сопоставимом уровне цен 4 кв. 2019 г:</t>
        </is>
      </c>
      <c r="C14" s="414" t="n"/>
      <c r="D14" s="414" t="n"/>
      <c r="E14" s="415" t="n"/>
      <c r="F14" s="269">
        <f>F13</f>
        <v/>
      </c>
      <c r="G14" s="256" t="n"/>
      <c r="H14" s="256" t="n"/>
      <c r="I14" s="256" t="n"/>
      <c r="J14" s="271">
        <f>SUM(F14:I14)</f>
        <v/>
      </c>
    </row>
    <row r="15">
      <c r="B15" s="332" t="n"/>
    </row>
    <row r="18">
      <c r="B18" s="343" t="inlineStr">
        <is>
          <t>*</t>
        </is>
      </c>
      <c r="C18" s="313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313" t="inlineStr">
        <is>
          <t>Составил ______________________        А.П. Николаева</t>
        </is>
      </c>
    </row>
    <row r="23">
      <c r="B23" s="245" t="inlineStr">
        <is>
          <t xml:space="preserve">                         (подпись, инициалы, фамилия)</t>
        </is>
      </c>
    </row>
    <row r="25">
      <c r="B25" s="313" t="inlineStr">
        <is>
          <t>Проверил ______________________        А.В. Костянецкая</t>
        </is>
      </c>
    </row>
    <row r="26">
      <c r="B26" s="245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55"/>
  <sheetViews>
    <sheetView view="pageBreakPreview" topLeftCell="A25" zoomScale="70" workbookViewId="0">
      <selection activeCell="C50" sqref="C50"/>
    </sheetView>
  </sheetViews>
  <sheetFormatPr baseColWidth="8" defaultColWidth="9.109375" defaultRowHeight="15.6"/>
  <cols>
    <col width="9.109375" customWidth="1" style="313" min="1" max="1"/>
    <col width="12.5546875" customWidth="1" style="313" min="2" max="2"/>
    <col width="22.44140625" customWidth="1" style="313" min="3" max="3"/>
    <col width="49.6640625" customWidth="1" style="313" min="4" max="4"/>
    <col width="10.109375" customWidth="1" style="313" min="5" max="5"/>
    <col width="20.6640625" customWidth="1" style="313" min="6" max="6"/>
    <col width="16.109375" customWidth="1" style="313" min="7" max="7"/>
    <col width="18.88671875" customWidth="1" style="313" min="8" max="8"/>
    <col hidden="1" width="9.109375" customWidth="1" style="313" min="9" max="12"/>
    <col width="9.109375" customWidth="1" style="313" min="13" max="13"/>
  </cols>
  <sheetData>
    <row r="2">
      <c r="A2" s="330" t="inlineStr">
        <is>
          <t xml:space="preserve">Приложение № 3 </t>
        </is>
      </c>
    </row>
    <row r="3">
      <c r="A3" s="331" t="inlineStr">
        <is>
          <t>Объектная ресурсная ведомость</t>
        </is>
      </c>
    </row>
    <row r="4">
      <c r="A4" s="332" t="n"/>
    </row>
    <row r="5">
      <c r="A5" s="337" t="inlineStr">
        <is>
          <t>Наименование разрабатываемого показателя УНЦ -  Опоры ВЛ 0,4 - 750 кВ. Одноцепная, все типы опор за исключением многогранных 35 кВ.</t>
        </is>
      </c>
    </row>
    <row r="6">
      <c r="A6" s="337" t="n"/>
      <c r="B6" s="337" t="n"/>
      <c r="C6" s="337" t="n"/>
      <c r="D6" s="337" t="n"/>
      <c r="E6" s="337" t="n"/>
      <c r="F6" s="337" t="n"/>
      <c r="G6" s="337" t="n"/>
      <c r="H6" s="337" t="n"/>
    </row>
    <row r="7" ht="38.25" customHeight="1" s="310">
      <c r="A7" s="338" t="inlineStr">
        <is>
          <t>п/п</t>
        </is>
      </c>
      <c r="B7" s="338" t="inlineStr">
        <is>
          <t>№ЛСР</t>
        </is>
      </c>
      <c r="C7" s="338" t="inlineStr">
        <is>
          <t>Код ресурса</t>
        </is>
      </c>
      <c r="D7" s="338" t="inlineStr">
        <is>
          <t>Наименование ресурса</t>
        </is>
      </c>
      <c r="E7" s="338" t="inlineStr">
        <is>
          <t>Ед. изм.</t>
        </is>
      </c>
      <c r="F7" s="338" t="inlineStr">
        <is>
          <t>Кол-во единиц по данным объекта-представителя</t>
        </is>
      </c>
      <c r="G7" s="338" t="inlineStr">
        <is>
          <t>Сметная стоимость в ценах на 01.01.2000 (руб.)</t>
        </is>
      </c>
      <c r="H7" s="415" t="n"/>
    </row>
    <row r="8" ht="40.5" customHeight="1" s="310">
      <c r="A8" s="417" t="n"/>
      <c r="B8" s="417" t="n"/>
      <c r="C8" s="417" t="n"/>
      <c r="D8" s="417" t="n"/>
      <c r="E8" s="417" t="n"/>
      <c r="F8" s="417" t="n"/>
      <c r="G8" s="338" t="inlineStr">
        <is>
          <t>на ед.изм.</t>
        </is>
      </c>
      <c r="H8" s="338" t="inlineStr">
        <is>
          <t>общая</t>
        </is>
      </c>
    </row>
    <row r="9">
      <c r="A9" s="267" t="n">
        <v>1</v>
      </c>
      <c r="B9" s="267" t="n"/>
      <c r="C9" s="267" t="n">
        <v>2</v>
      </c>
      <c r="D9" s="267" t="inlineStr">
        <is>
          <t>З</t>
        </is>
      </c>
      <c r="E9" s="267" t="n">
        <v>4</v>
      </c>
      <c r="F9" s="267" t="n">
        <v>5</v>
      </c>
      <c r="G9" s="267" t="n">
        <v>6</v>
      </c>
      <c r="H9" s="267" t="n">
        <v>7</v>
      </c>
    </row>
    <row r="10" customFormat="1" s="311">
      <c r="A10" s="339" t="inlineStr">
        <is>
          <t>Затраты труда рабочих</t>
        </is>
      </c>
      <c r="B10" s="414" t="n"/>
      <c r="C10" s="414" t="n"/>
      <c r="D10" s="414" t="n"/>
      <c r="E10" s="415" t="n"/>
      <c r="F10" s="263">
        <f>SUM(F11:F11)</f>
        <v/>
      </c>
      <c r="G10" s="263" t="n"/>
      <c r="H10" s="263">
        <f>SUM(H11:H11)</f>
        <v/>
      </c>
    </row>
    <row r="11">
      <c r="A11" s="340" t="n">
        <v>1</v>
      </c>
      <c r="B11" s="266" t="inlineStr">
        <is>
          <t xml:space="preserve"> 2.02-01-01</t>
        </is>
      </c>
      <c r="C11" s="265" t="inlineStr">
        <is>
          <t>1-4-2</t>
        </is>
      </c>
      <c r="D11" s="341" t="inlineStr">
        <is>
          <t>Затраты труда рабочих (ср 4,2)</t>
        </is>
      </c>
      <c r="E11" s="340" t="inlineStr">
        <is>
          <t>чел.-ч</t>
        </is>
      </c>
      <c r="F11" s="340" t="n">
        <v>401.36271994135</v>
      </c>
      <c r="G11" s="259" t="n">
        <v>9.92</v>
      </c>
      <c r="H11" s="259">
        <f>ROUND(F11*G11,2)</f>
        <v/>
      </c>
      <c r="I11" s="313" t="n">
        <v>4.2</v>
      </c>
      <c r="J11" s="313">
        <f>I11*F11</f>
        <v/>
      </c>
      <c r="L11" s="313">
        <f>SUM(J11:J11)/F10</f>
        <v/>
      </c>
    </row>
    <row r="12">
      <c r="A12" s="339" t="inlineStr">
        <is>
          <t>Затраты труда машинистов</t>
        </is>
      </c>
      <c r="B12" s="414" t="n"/>
      <c r="C12" s="414" t="n"/>
      <c r="D12" s="414" t="n"/>
      <c r="E12" s="415" t="n"/>
      <c r="F12" s="339">
        <f>F13</f>
        <v/>
      </c>
      <c r="G12" s="263" t="n"/>
      <c r="H12" s="263">
        <f>H13</f>
        <v/>
      </c>
    </row>
    <row r="13">
      <c r="A13" s="340" t="n">
        <v>2</v>
      </c>
      <c r="B13" s="340" t="inlineStr">
        <is>
          <t xml:space="preserve"> 2.02-01-01</t>
        </is>
      </c>
      <c r="C13" s="341" t="n">
        <v>2</v>
      </c>
      <c r="D13" s="341" t="inlineStr">
        <is>
          <t>Затраты труда машинистов</t>
        </is>
      </c>
      <c r="E13" s="340" t="inlineStr">
        <is>
          <t>чел.-ч</t>
        </is>
      </c>
      <c r="F13" s="340" t="n">
        <v>145.48631818182</v>
      </c>
      <c r="G13" s="259" t="n">
        <v>0</v>
      </c>
      <c r="H13" s="259" t="n">
        <v>2886.42</v>
      </c>
    </row>
    <row r="14" customFormat="1" s="311">
      <c r="A14" s="339" t="inlineStr">
        <is>
          <t>Машины и механизмы</t>
        </is>
      </c>
      <c r="B14" s="414" t="n"/>
      <c r="C14" s="414" t="n"/>
      <c r="D14" s="414" t="n"/>
      <c r="E14" s="415" t="n"/>
      <c r="F14" s="339" t="n"/>
      <c r="G14" s="263" t="n"/>
      <c r="H14" s="263">
        <f>SUM(H15:H25)</f>
        <v/>
      </c>
    </row>
    <row r="15" ht="31.5" customHeight="1" s="310">
      <c r="A15" s="340" t="n">
        <v>3</v>
      </c>
      <c r="B15" s="340" t="inlineStr">
        <is>
          <t xml:space="preserve"> 2.02-01-01</t>
        </is>
      </c>
      <c r="C15" s="341" t="inlineStr">
        <is>
          <t>91.15.02-029</t>
        </is>
      </c>
      <c r="D15" s="341" t="inlineStr">
        <is>
          <t>Тракторы на гусеничном ходу с лебедкой 132 кВт (180 л.с.)</t>
        </is>
      </c>
      <c r="E15" s="340" t="inlineStr">
        <is>
          <t>маш.час</t>
        </is>
      </c>
      <c r="F15" s="340" t="n">
        <v>61.380390909091</v>
      </c>
      <c r="G15" s="259" t="n">
        <v>147.43</v>
      </c>
      <c r="H15" s="259">
        <f>ROUND(F15*G15,2)</f>
        <v/>
      </c>
      <c r="J15" s="292">
        <f>H15/$H$14</f>
        <v/>
      </c>
    </row>
    <row r="16" ht="31.5" customFormat="1" customHeight="1" s="311">
      <c r="A16" s="340" t="n">
        <v>4</v>
      </c>
      <c r="B16" s="340" t="inlineStr">
        <is>
          <t xml:space="preserve"> 2.02-01-01</t>
        </is>
      </c>
      <c r="C16" s="341" t="inlineStr">
        <is>
          <t>91.13.03-111</t>
        </is>
      </c>
      <c r="D16" s="341" t="inlineStr">
        <is>
          <t>Спецавтомобили-вездеходы, грузоподъемность до 8 т</t>
        </is>
      </c>
      <c r="E16" s="340" t="inlineStr">
        <is>
          <t>маш.час</t>
        </is>
      </c>
      <c r="F16" s="340" t="n">
        <v>25.302590909091</v>
      </c>
      <c r="G16" s="259" t="n">
        <v>189.95</v>
      </c>
      <c r="H16" s="259">
        <f>ROUND(F16*G16,2)</f>
        <v/>
      </c>
      <c r="J16" s="292">
        <f>H16/$H$14</f>
        <v/>
      </c>
    </row>
    <row r="17" ht="63" customHeight="1" s="310">
      <c r="A17" s="340" t="n">
        <v>5</v>
      </c>
      <c r="B17" s="340" t="inlineStr">
        <is>
          <t xml:space="preserve"> 2.02-01-01</t>
        </is>
      </c>
      <c r="C17" s="341" t="inlineStr">
        <is>
          <t>91.05.14-516</t>
        </is>
      </c>
      <c r="D17" s="34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7" s="340" t="inlineStr">
        <is>
          <t>маш.час</t>
        </is>
      </c>
      <c r="F17" s="340" t="n">
        <v>46.157845454545</v>
      </c>
      <c r="G17" s="259" t="n">
        <v>77.64</v>
      </c>
      <c r="H17" s="259">
        <f>ROUND(F17*G17,2)</f>
        <v/>
      </c>
      <c r="J17" s="292">
        <f>H17/$H$14</f>
        <v/>
      </c>
    </row>
    <row r="18" ht="31.5" customHeight="1" s="310">
      <c r="A18" s="340" t="n">
        <v>6</v>
      </c>
      <c r="B18" s="340" t="inlineStr">
        <is>
          <t xml:space="preserve"> 2.02-01-01</t>
        </is>
      </c>
      <c r="C18" s="341" t="inlineStr">
        <is>
          <t>91.05.05-015</t>
        </is>
      </c>
      <c r="D18" s="341" t="inlineStr">
        <is>
          <t>Краны на автомобильном ходу, грузоподъемность 16 т</t>
        </is>
      </c>
      <c r="E18" s="340" t="inlineStr">
        <is>
          <t>маш.час</t>
        </is>
      </c>
      <c r="F18" s="340" t="n">
        <v>12.6444</v>
      </c>
      <c r="G18" s="259" t="n">
        <v>115.4</v>
      </c>
      <c r="H18" s="259">
        <f>ROUND(F18*G18,2)</f>
        <v/>
      </c>
      <c r="J18" s="292" t="n"/>
    </row>
    <row r="19" ht="31.5" customHeight="1" s="310">
      <c r="A19" s="340" t="n">
        <v>7</v>
      </c>
      <c r="B19" s="340" t="inlineStr">
        <is>
          <t xml:space="preserve"> 2.02-01-01</t>
        </is>
      </c>
      <c r="C19" s="341" t="inlineStr">
        <is>
          <t>91.06.09-101</t>
        </is>
      </c>
      <c r="D19" s="341" t="inlineStr">
        <is>
          <t>Стрелы монтажные А-образные для подъема опор ВЛ, высота до 22 м</t>
        </is>
      </c>
      <c r="E19" s="340" t="inlineStr">
        <is>
          <t>маш.час</t>
        </is>
      </c>
      <c r="F19" s="340" t="n">
        <v>10.680336363636</v>
      </c>
      <c r="G19" s="259" t="n">
        <v>6.24</v>
      </c>
      <c r="H19" s="259">
        <f>ROUND(F19*G19,2)</f>
        <v/>
      </c>
    </row>
    <row r="20" ht="31.5" customHeight="1" s="310">
      <c r="A20" s="340" t="n">
        <v>8</v>
      </c>
      <c r="B20" s="340" t="inlineStr">
        <is>
          <t xml:space="preserve"> 2.02-01-01</t>
        </is>
      </c>
      <c r="C20" s="341" t="inlineStr">
        <is>
          <t>91.06.01-002</t>
        </is>
      </c>
      <c r="D20" s="341" t="inlineStr">
        <is>
          <t>Домкраты гидравлические, грузоподъемность 6,3-25 т</t>
        </is>
      </c>
      <c r="E20" s="340" t="inlineStr">
        <is>
          <t>маш.час</t>
        </is>
      </c>
      <c r="F20" s="340" t="n">
        <v>41.818781818182</v>
      </c>
      <c r="G20" s="259" t="n">
        <v>0.48</v>
      </c>
      <c r="H20" s="259">
        <f>ROUND(F20*G20,2)</f>
        <v/>
      </c>
    </row>
    <row r="21" ht="47.25" customHeight="1" s="310">
      <c r="A21" s="340" t="n">
        <v>9</v>
      </c>
      <c r="B21" s="340" t="inlineStr">
        <is>
          <t xml:space="preserve"> 2.02-01-01</t>
        </is>
      </c>
      <c r="C21" s="341" t="inlineStr">
        <is>
          <t>91.17.04-036</t>
        </is>
      </c>
      <c r="D21" s="341" t="inlineStr">
        <is>
          <t>Агрегаты сварочные передвижные с дизельным двигателем, номинальный сварочный ток 250-400 А</t>
        </is>
      </c>
      <c r="E21" s="340" t="inlineStr">
        <is>
          <t>маш.час</t>
        </is>
      </c>
      <c r="F21" s="340" t="n">
        <v>0.43181818181818</v>
      </c>
      <c r="G21" s="259" t="n">
        <v>14</v>
      </c>
      <c r="H21" s="259">
        <f>ROUND(F21*G21,2)</f>
        <v/>
      </c>
    </row>
    <row r="22" ht="47.25" customHeight="1" s="310">
      <c r="A22" s="340" t="n">
        <v>10</v>
      </c>
      <c r="B22" s="340" t="inlineStr">
        <is>
          <t xml:space="preserve"> 2.02-01-01</t>
        </is>
      </c>
      <c r="C22" s="341" t="inlineStr">
        <is>
          <t>91.21.01-012</t>
        </is>
      </c>
      <c r="D22" s="341" t="inlineStr">
        <is>
          <t>Агрегаты окрасочные высокого давления для окраски поверхностей конструкций, мощность 1 кВт</t>
        </is>
      </c>
      <c r="E22" s="340" t="inlineStr">
        <is>
          <t>маш.час</t>
        </is>
      </c>
      <c r="F22" s="340" t="n">
        <v>0.046363636363636</v>
      </c>
      <c r="G22" s="259" t="n">
        <v>6.82</v>
      </c>
      <c r="H22" s="259">
        <f>ROUND(F22*G22,2)</f>
        <v/>
      </c>
    </row>
    <row r="23">
      <c r="A23" s="340" t="n">
        <v>11</v>
      </c>
      <c r="B23" s="340" t="inlineStr">
        <is>
          <t xml:space="preserve"> 2.02-01-01</t>
        </is>
      </c>
      <c r="C23" s="341" t="inlineStr">
        <is>
          <t>91.06.05-011</t>
        </is>
      </c>
      <c r="D23" s="341" t="inlineStr">
        <is>
          <t>Погрузчики, грузоподъемность 5 т</t>
        </is>
      </c>
      <c r="E23" s="340" t="inlineStr">
        <is>
          <t>маш.час</t>
        </is>
      </c>
      <c r="F23" s="340" t="n">
        <v>0.00054545454545455</v>
      </c>
      <c r="G23" s="259" t="n">
        <v>89.98999999999999</v>
      </c>
      <c r="H23" s="259">
        <f>ROUND(F23*G23,2)</f>
        <v/>
      </c>
    </row>
    <row r="24" ht="31.5" customHeight="1" s="310">
      <c r="A24" s="340" t="n">
        <v>12</v>
      </c>
      <c r="B24" s="340" t="inlineStr">
        <is>
          <t xml:space="preserve"> 2.02-01-01</t>
        </is>
      </c>
      <c r="C24" s="341" t="inlineStr">
        <is>
          <t>91.14.02-001</t>
        </is>
      </c>
      <c r="D24" s="341" t="inlineStr">
        <is>
          <t>Автомобили бортовые, грузоподъемность до 5 т</t>
        </is>
      </c>
      <c r="E24" s="340" t="inlineStr">
        <is>
          <t>маш.час</t>
        </is>
      </c>
      <c r="F24" s="340" t="n">
        <v>0.00054545454545455</v>
      </c>
      <c r="G24" s="259" t="n">
        <v>65.70999999999999</v>
      </c>
      <c r="H24" s="259">
        <f>ROUND(F24*G24,2)</f>
        <v/>
      </c>
    </row>
    <row r="25" ht="31.5" customHeight="1" s="310">
      <c r="A25" s="340" t="n">
        <v>13</v>
      </c>
      <c r="B25" s="340" t="inlineStr">
        <is>
          <t xml:space="preserve"> 2.02-01-01</t>
        </is>
      </c>
      <c r="C25" s="341" t="inlineStr">
        <is>
          <t>91.06.03-060</t>
        </is>
      </c>
      <c r="D25" s="341" t="inlineStr">
        <is>
          <t>Лебедки электрические тяговым усилием до 5,79 кН (0,59 т)</t>
        </is>
      </c>
      <c r="E25" s="340" t="inlineStr">
        <is>
          <t>маш.час</t>
        </is>
      </c>
      <c r="F25" s="340" t="n">
        <v>0.0010909090909091</v>
      </c>
      <c r="G25" s="259" t="n">
        <v>1.7</v>
      </c>
      <c r="H25" s="259">
        <f>ROUND(F25*G25,2)</f>
        <v/>
      </c>
    </row>
    <row r="26">
      <c r="A26" s="339" t="inlineStr">
        <is>
          <t>Материалы</t>
        </is>
      </c>
      <c r="B26" s="414" t="n"/>
      <c r="C26" s="414" t="n"/>
      <c r="D26" s="414" t="n"/>
      <c r="E26" s="415" t="n"/>
      <c r="F26" s="339" t="n"/>
      <c r="G26" s="263" t="n"/>
      <c r="H26" s="263">
        <f>SUM(H27:H48)</f>
        <v/>
      </c>
    </row>
    <row r="27" ht="47.25" customHeight="1" s="310">
      <c r="A27" s="340" t="n">
        <v>14</v>
      </c>
      <c r="B27" s="340" t="inlineStr">
        <is>
          <t xml:space="preserve"> 2.02-01-01</t>
        </is>
      </c>
      <c r="C27" s="341" t="inlineStr">
        <is>
          <t>07.4.03.08-0020</t>
        </is>
      </c>
      <c r="D27" s="341" t="inlineStr">
        <is>
          <t>Опоры решетчатые линий электропередачи оцинкованные, 35 кВ, анкерно-угловые, одностоечные, свободностоящие</t>
        </is>
      </c>
      <c r="E27" s="340" t="inlineStr">
        <is>
          <t>т</t>
        </is>
      </c>
      <c r="F27" s="340" t="n">
        <v>31.363</v>
      </c>
      <c r="G27" s="259" t="n">
        <v>21751.32</v>
      </c>
      <c r="H27" s="259">
        <f>ROUND(F27*G27,2)</f>
        <v/>
      </c>
      <c r="J27" s="292">
        <f>H27/$H$26</f>
        <v/>
      </c>
    </row>
    <row r="28" ht="47.25" customHeight="1" s="310">
      <c r="A28" s="340" t="n">
        <v>15</v>
      </c>
      <c r="B28" s="340" t="inlineStr">
        <is>
          <t xml:space="preserve"> 2.02-01-01</t>
        </is>
      </c>
      <c r="C28" s="341" t="inlineStr">
        <is>
          <t>05.1.02.07-0089</t>
        </is>
      </c>
      <c r="D28" s="341" t="inlineStr">
        <is>
          <t>Стойки опор ВЛ, СК22.1-1.1</t>
        </is>
      </c>
      <c r="E28" s="340" t="inlineStr">
        <is>
          <t>шт</t>
        </is>
      </c>
      <c r="F28" s="340" t="n">
        <v>5</v>
      </c>
      <c r="G28" s="259" t="n">
        <v>17301.87</v>
      </c>
      <c r="H28" s="259">
        <f>ROUND(F28*G28,2)</f>
        <v/>
      </c>
      <c r="J28" s="292">
        <f>H28/$H$26</f>
        <v/>
      </c>
    </row>
    <row r="29" ht="31.5" customHeight="1" s="310">
      <c r="A29" s="340" t="n">
        <v>16</v>
      </c>
      <c r="B29" s="340" t="inlineStr">
        <is>
          <t xml:space="preserve"> 2.02-01-01</t>
        </is>
      </c>
      <c r="C29" s="341" t="inlineStr">
        <is>
          <t>01.7.15.03-0035</t>
        </is>
      </c>
      <c r="D29" s="341" t="inlineStr">
        <is>
          <t>Болты с гайками и шайбами оцинкованные, диаметр 20 мм</t>
        </is>
      </c>
      <c r="E29" s="340" t="inlineStr">
        <is>
          <t>кг</t>
        </is>
      </c>
      <c r="F29" s="340" t="n">
        <v>786.8200000000001</v>
      </c>
      <c r="G29" s="259" t="n">
        <v>24.97</v>
      </c>
      <c r="H29" s="259">
        <f>ROUND(F29*G29,2)</f>
        <v/>
      </c>
      <c r="J29" s="292" t="n"/>
    </row>
    <row r="30">
      <c r="A30" s="340" t="n">
        <v>17</v>
      </c>
      <c r="B30" s="340" t="inlineStr">
        <is>
          <t xml:space="preserve"> 2.02-01-01</t>
        </is>
      </c>
      <c r="C30" s="341" t="inlineStr">
        <is>
          <t>Прайс из СД ОП</t>
        </is>
      </c>
      <c r="D30" s="341" t="inlineStr">
        <is>
          <t>Траверса  ТВ255</t>
        </is>
      </c>
      <c r="E30" s="340" t="inlineStr">
        <is>
          <t>шт</t>
        </is>
      </c>
      <c r="F30" s="340" t="n">
        <v>4</v>
      </c>
      <c r="G30" s="259" t="n">
        <v>477.39</v>
      </c>
      <c r="H30" s="259">
        <f>ROUND(F30*G30,2)</f>
        <v/>
      </c>
      <c r="J30" s="292" t="n"/>
    </row>
    <row r="31">
      <c r="A31" s="340" t="n">
        <v>18</v>
      </c>
      <c r="B31" s="340" t="inlineStr">
        <is>
          <t xml:space="preserve"> 2.02-01-01</t>
        </is>
      </c>
      <c r="C31" s="341" t="inlineStr">
        <is>
          <t>Прайс из СД ОП</t>
        </is>
      </c>
      <c r="D31" s="341" t="inlineStr">
        <is>
          <t>Тросостойка ТС-250</t>
        </is>
      </c>
      <c r="E31" s="340" t="inlineStr">
        <is>
          <t>шт</t>
        </is>
      </c>
      <c r="F31" s="340" t="n">
        <v>2</v>
      </c>
      <c r="G31" s="259" t="n">
        <v>696.8099999999999</v>
      </c>
      <c r="H31" s="259">
        <f>ROUND(F31*G31,2)</f>
        <v/>
      </c>
      <c r="J31" s="292" t="n"/>
    </row>
    <row r="32">
      <c r="A32" s="340" t="n">
        <v>19</v>
      </c>
      <c r="B32" s="340" t="inlineStr">
        <is>
          <t xml:space="preserve"> 2.02-01-01</t>
        </is>
      </c>
      <c r="C32" s="341" t="inlineStr">
        <is>
          <t>Прайс из СД ОП</t>
        </is>
      </c>
      <c r="D32" s="341" t="inlineStr">
        <is>
          <t>Лестница Л251</t>
        </is>
      </c>
      <c r="E32" s="340" t="inlineStr">
        <is>
          <t>шт</t>
        </is>
      </c>
      <c r="F32" s="340" t="n">
        <v>2</v>
      </c>
      <c r="G32" s="259" t="n">
        <v>269.34</v>
      </c>
      <c r="H32" s="259">
        <f>ROUND(F32*G32,2)</f>
        <v/>
      </c>
      <c r="J32" s="292" t="n"/>
    </row>
    <row r="33">
      <c r="A33" s="340" t="n">
        <v>20</v>
      </c>
      <c r="B33" s="340" t="inlineStr">
        <is>
          <t xml:space="preserve"> 2.02-01-01</t>
        </is>
      </c>
      <c r="C33" s="341" t="inlineStr">
        <is>
          <t>Прайс из СД ОП</t>
        </is>
      </c>
      <c r="D33" s="341" t="inlineStr">
        <is>
          <t>Траверса  ТВ250</t>
        </is>
      </c>
      <c r="E33" s="340" t="inlineStr">
        <is>
          <t>шт</t>
        </is>
      </c>
      <c r="F33" s="340" t="n">
        <v>2</v>
      </c>
      <c r="G33" s="259" t="n">
        <v>259.53</v>
      </c>
      <c r="H33" s="259">
        <f>ROUND(F33*G33,2)</f>
        <v/>
      </c>
      <c r="J33" s="292" t="n"/>
    </row>
    <row r="34">
      <c r="A34" s="340" t="n">
        <v>21</v>
      </c>
      <c r="B34" s="340" t="inlineStr">
        <is>
          <t xml:space="preserve"> 2.02-01-01</t>
        </is>
      </c>
      <c r="C34" s="341" t="inlineStr">
        <is>
          <t>Прайс из СД ОП</t>
        </is>
      </c>
      <c r="D34" s="341" t="inlineStr">
        <is>
          <t>Болт специальный Б250</t>
        </is>
      </c>
      <c r="E34" s="340" t="inlineStr">
        <is>
          <t>шт</t>
        </is>
      </c>
      <c r="F34" s="340" t="n">
        <v>4</v>
      </c>
      <c r="G34" s="259" t="n">
        <v>57.59</v>
      </c>
      <c r="H34" s="259">
        <f>ROUND(F34*G34,2)</f>
        <v/>
      </c>
      <c r="J34" s="292" t="n"/>
    </row>
    <row r="35">
      <c r="A35" s="340" t="n">
        <v>22</v>
      </c>
      <c r="B35" s="340" t="inlineStr">
        <is>
          <t xml:space="preserve"> 2.02-01-01</t>
        </is>
      </c>
      <c r="C35" s="341" t="inlineStr">
        <is>
          <t>Прайс из СД ОП</t>
        </is>
      </c>
      <c r="D35" s="341" t="inlineStr">
        <is>
          <t>Лестница Л 250</t>
        </is>
      </c>
      <c r="E35" s="340" t="inlineStr">
        <is>
          <t>шт</t>
        </is>
      </c>
      <c r="F35" s="340" t="n">
        <v>2</v>
      </c>
      <c r="G35" s="259" t="n">
        <v>78.20999999999999</v>
      </c>
      <c r="H35" s="259">
        <f>ROUND(F35*G35,2)</f>
        <v/>
      </c>
      <c r="J35" s="292" t="n"/>
    </row>
    <row r="36">
      <c r="A36" s="340" t="n">
        <v>23</v>
      </c>
      <c r="B36" s="340" t="inlineStr">
        <is>
          <t xml:space="preserve"> 2.02-01-01</t>
        </is>
      </c>
      <c r="C36" s="341" t="inlineStr">
        <is>
          <t>Прайс из СД ОП</t>
        </is>
      </c>
      <c r="D36" s="341" t="inlineStr">
        <is>
          <t>Полухомут для крепления лестницы Х275</t>
        </is>
      </c>
      <c r="E36" s="340" t="inlineStr">
        <is>
          <t>шт</t>
        </is>
      </c>
      <c r="F36" s="340" t="n">
        <v>4</v>
      </c>
      <c r="G36" s="259" t="n">
        <v>33.85</v>
      </c>
      <c r="H36" s="259">
        <f>ROUND(F36*G36,2)</f>
        <v/>
      </c>
    </row>
    <row r="37">
      <c r="A37" s="340" t="n">
        <v>24</v>
      </c>
      <c r="B37" s="340" t="inlineStr">
        <is>
          <t xml:space="preserve"> 2.02-01-01</t>
        </is>
      </c>
      <c r="C37" s="341" t="inlineStr">
        <is>
          <t>Прайс из СД ОП</t>
        </is>
      </c>
      <c r="D37" s="341" t="inlineStr">
        <is>
          <t>Полухомут для крепления лестницы Х281</t>
        </is>
      </c>
      <c r="E37" s="340" t="inlineStr">
        <is>
          <t>шт</t>
        </is>
      </c>
      <c r="F37" s="340" t="n">
        <v>4</v>
      </c>
      <c r="G37" s="259" t="n">
        <v>32.42</v>
      </c>
      <c r="H37" s="259">
        <f>ROUND(F37*G37,2)</f>
        <v/>
      </c>
    </row>
    <row r="38">
      <c r="A38" s="340" t="n">
        <v>25</v>
      </c>
      <c r="B38" s="340" t="inlineStr">
        <is>
          <t xml:space="preserve"> 2.02-01-01</t>
        </is>
      </c>
      <c r="C38" s="341" t="inlineStr">
        <is>
          <t>Прайс из СД ОП</t>
        </is>
      </c>
      <c r="D38" s="341" t="inlineStr">
        <is>
          <t>Болт специальный  Б252</t>
        </is>
      </c>
      <c r="E38" s="340" t="inlineStr">
        <is>
          <t>шт</t>
        </is>
      </c>
      <c r="F38" s="340" t="n">
        <v>2</v>
      </c>
      <c r="G38" s="259" t="n">
        <v>61.29</v>
      </c>
      <c r="H38" s="259">
        <f>ROUND(F38*G38,2)</f>
        <v/>
      </c>
    </row>
    <row r="39">
      <c r="A39" s="340" t="n">
        <v>26</v>
      </c>
      <c r="B39" s="340" t="inlineStr">
        <is>
          <t xml:space="preserve"> 2.02-01-01</t>
        </is>
      </c>
      <c r="C39" s="341" t="inlineStr">
        <is>
          <t>Прайс из СД ОП</t>
        </is>
      </c>
      <c r="D39" s="341" t="inlineStr">
        <is>
          <t>Болт специальный  Б251</t>
        </is>
      </c>
      <c r="E39" s="340" t="inlineStr">
        <is>
          <t>шт</t>
        </is>
      </c>
      <c r="F39" s="340" t="n">
        <v>2</v>
      </c>
      <c r="G39" s="259" t="n">
        <v>59.73</v>
      </c>
      <c r="H39" s="259">
        <f>ROUND(F39*G39,2)</f>
        <v/>
      </c>
    </row>
    <row r="40">
      <c r="A40" s="340" t="n">
        <v>27</v>
      </c>
      <c r="B40" s="340" t="inlineStr">
        <is>
          <t xml:space="preserve"> 2.02-01-01</t>
        </is>
      </c>
      <c r="C40" s="341" t="inlineStr">
        <is>
          <t>Прайс из СД ОП</t>
        </is>
      </c>
      <c r="D40" s="341" t="inlineStr">
        <is>
          <t>Полухомут для крепления лестницы Х280</t>
        </is>
      </c>
      <c r="E40" s="340" t="inlineStr">
        <is>
          <t>шт</t>
        </is>
      </c>
      <c r="F40" s="340" t="n">
        <v>2</v>
      </c>
      <c r="G40" s="259" t="n">
        <v>39.82</v>
      </c>
      <c r="H40" s="259">
        <f>ROUND(F40*G40,2)</f>
        <v/>
      </c>
    </row>
    <row r="41">
      <c r="A41" s="340" t="n">
        <v>28</v>
      </c>
      <c r="B41" s="340" t="inlineStr">
        <is>
          <t xml:space="preserve"> 2.02-01-01</t>
        </is>
      </c>
      <c r="C41" s="341" t="inlineStr">
        <is>
          <t>Прайс из СД ОП</t>
        </is>
      </c>
      <c r="D41" s="341" t="inlineStr">
        <is>
          <t>Полухомут для крепления лестницы Х272</t>
        </is>
      </c>
      <c r="E41" s="340" t="inlineStr">
        <is>
          <t>шт</t>
        </is>
      </c>
      <c r="F41" s="340" t="n">
        <v>2</v>
      </c>
      <c r="G41" s="259" t="n">
        <v>32.57</v>
      </c>
      <c r="H41" s="259">
        <f>ROUND(F41*G41,2)</f>
        <v/>
      </c>
    </row>
    <row r="42">
      <c r="A42" s="340" t="n">
        <v>29</v>
      </c>
      <c r="B42" s="340" t="inlineStr">
        <is>
          <t xml:space="preserve"> 2.02-01-01</t>
        </is>
      </c>
      <c r="C42" s="341" t="inlineStr">
        <is>
          <t>Прайс из СД ОП</t>
        </is>
      </c>
      <c r="D42" s="341" t="inlineStr">
        <is>
          <t>Полухомут для крепления лестницы Х274</t>
        </is>
      </c>
      <c r="E42" s="340" t="inlineStr">
        <is>
          <t>шт</t>
        </is>
      </c>
      <c r="F42" s="340" t="n">
        <v>2</v>
      </c>
      <c r="G42" s="259" t="n">
        <v>32.42</v>
      </c>
      <c r="H42" s="259">
        <f>ROUND(F42*G42,2)</f>
        <v/>
      </c>
    </row>
    <row r="43">
      <c r="A43" s="340" t="n">
        <v>30</v>
      </c>
      <c r="B43" s="340" t="inlineStr">
        <is>
          <t xml:space="preserve"> 2.02-01-01</t>
        </is>
      </c>
      <c r="C43" s="341" t="inlineStr">
        <is>
          <t>Прайс из СД ОП</t>
        </is>
      </c>
      <c r="D43" s="341" t="inlineStr">
        <is>
          <t>Полухомут для крепления лестницы Х278</t>
        </is>
      </c>
      <c r="E43" s="340" t="inlineStr">
        <is>
          <t>шт</t>
        </is>
      </c>
      <c r="F43" s="340" t="n">
        <v>2</v>
      </c>
      <c r="G43" s="259" t="n">
        <v>31.43</v>
      </c>
      <c r="H43" s="259">
        <f>ROUND(F43*G43,2)</f>
        <v/>
      </c>
    </row>
    <row r="44">
      <c r="A44" s="340" t="n">
        <v>31</v>
      </c>
      <c r="B44" s="340" t="inlineStr">
        <is>
          <t xml:space="preserve"> 2.02-01-01</t>
        </is>
      </c>
      <c r="C44" s="341" t="inlineStr">
        <is>
          <t>14.2.01.05-0003</t>
        </is>
      </c>
      <c r="D44" s="341" t="inlineStr">
        <is>
          <t>Композиция цинконаполненная</t>
        </is>
      </c>
      <c r="E44" s="340" t="inlineStr">
        <is>
          <t>кг</t>
        </is>
      </c>
      <c r="F44" s="340" t="n">
        <v>1.2</v>
      </c>
      <c r="G44" s="259" t="n">
        <v>114.42</v>
      </c>
      <c r="H44" s="259">
        <f>ROUND(F44*G44,2)</f>
        <v/>
      </c>
    </row>
    <row r="45" ht="31.5" customHeight="1" s="310">
      <c r="A45" s="340" t="n">
        <v>32</v>
      </c>
      <c r="B45" s="340" t="inlineStr">
        <is>
          <t xml:space="preserve"> 2.02-01-01</t>
        </is>
      </c>
      <c r="C45" s="341" t="inlineStr">
        <is>
          <t>14.2.01.05-0001</t>
        </is>
      </c>
      <c r="D45" s="341" t="inlineStr">
        <is>
          <t>Композиция на основе термопластичных полимеров</t>
        </is>
      </c>
      <c r="E45" s="340" t="inlineStr">
        <is>
          <t>кг</t>
        </is>
      </c>
      <c r="F45" s="340" t="n">
        <v>1.2</v>
      </c>
      <c r="G45" s="259" t="n">
        <v>54.99</v>
      </c>
      <c r="H45" s="259">
        <f>ROUND(F45*G45,2)</f>
        <v/>
      </c>
    </row>
    <row r="46" ht="31.5" customHeight="1" s="310">
      <c r="A46" s="340" t="n">
        <v>33</v>
      </c>
      <c r="B46" s="340" t="inlineStr">
        <is>
          <t xml:space="preserve"> 2.02-01-01</t>
        </is>
      </c>
      <c r="C46" s="341" t="inlineStr">
        <is>
          <t>08.4.03.02-0004</t>
        </is>
      </c>
      <c r="D46" s="341" t="inlineStr">
        <is>
          <t>Сталь арматурная, горячекатаная, гладкая, класс А-I, диаметр 12 мм</t>
        </is>
      </c>
      <c r="E46" s="340" t="inlineStr">
        <is>
          <t>т</t>
        </is>
      </c>
      <c r="F46" s="340" t="n">
        <v>0.0095</v>
      </c>
      <c r="G46" s="259" t="n">
        <v>6508.75</v>
      </c>
      <c r="H46" s="259">
        <f>ROUND(F46*G46,2)</f>
        <v/>
      </c>
    </row>
    <row r="47">
      <c r="A47" s="340" t="n">
        <v>34</v>
      </c>
      <c r="B47" s="340" t="inlineStr">
        <is>
          <t xml:space="preserve"> 2.02-01-01</t>
        </is>
      </c>
      <c r="C47" s="341" t="inlineStr">
        <is>
          <t>01.7.11.07-0032</t>
        </is>
      </c>
      <c r="D47" s="341" t="inlineStr">
        <is>
          <t>Электроды сварочные Э42, диаметр 4 мм</t>
        </is>
      </c>
      <c r="E47" s="340" t="inlineStr">
        <is>
          <t>т</t>
        </is>
      </c>
      <c r="F47" s="340" t="n">
        <v>0.000475</v>
      </c>
      <c r="G47" s="259" t="n">
        <v>10315.01</v>
      </c>
      <c r="H47" s="259">
        <f>ROUND(F47*G47,2)</f>
        <v/>
      </c>
    </row>
    <row r="48">
      <c r="A48" s="340" t="n">
        <v>35</v>
      </c>
      <c r="B48" s="340" t="inlineStr">
        <is>
          <t xml:space="preserve"> 2.02-01-01</t>
        </is>
      </c>
      <c r="C48" s="341" t="inlineStr">
        <is>
          <t>14.5.09.07-0030</t>
        </is>
      </c>
      <c r="D48" s="341" t="inlineStr">
        <is>
          <t>Растворитель Р-4</t>
        </is>
      </c>
      <c r="E48" s="340" t="inlineStr">
        <is>
          <t>кг</t>
        </is>
      </c>
      <c r="F48" s="340" t="n">
        <v>0.12</v>
      </c>
      <c r="G48" s="259" t="n">
        <v>9.42</v>
      </c>
      <c r="H48" s="259">
        <f>ROUND(F48*G48,2)</f>
        <v/>
      </c>
    </row>
    <row r="51">
      <c r="B51" s="313" t="inlineStr">
        <is>
          <t>Составил ______________________        А.П. Николаева</t>
        </is>
      </c>
    </row>
    <row r="52">
      <c r="B52" s="245" t="inlineStr">
        <is>
          <t xml:space="preserve">                         (подпись, инициалы, фамилия)</t>
        </is>
      </c>
    </row>
    <row r="54">
      <c r="B54" s="313" t="inlineStr">
        <is>
          <t>Проверил ______________________        А.В. Костянецкая</t>
        </is>
      </c>
    </row>
    <row r="55">
      <c r="B55" s="245" t="inlineStr">
        <is>
          <t xml:space="preserve">                        (подпись, инициалы, фамилия)</t>
        </is>
      </c>
    </row>
  </sheetData>
  <mergeCells count="14">
    <mergeCell ref="A3:H3"/>
    <mergeCell ref="A12:E12"/>
    <mergeCell ref="A26:E26"/>
    <mergeCell ref="G7:H7"/>
    <mergeCell ref="A14:E14"/>
    <mergeCell ref="A10:E10"/>
    <mergeCell ref="A2:H2"/>
    <mergeCell ref="C7:C8"/>
    <mergeCell ref="A7:A8"/>
    <mergeCell ref="B7:B8"/>
    <mergeCell ref="D7:D8"/>
    <mergeCell ref="E7:E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RowHeight="14.4"/>
  <cols>
    <col width="4.109375" customWidth="1" style="310" min="1" max="1"/>
    <col width="36.33203125" customWidth="1" style="310" min="2" max="2"/>
    <col width="18.88671875" customWidth="1" style="310" min="3" max="3"/>
    <col width="18.33203125" customWidth="1" style="310" min="4" max="4"/>
    <col width="18.88671875" customWidth="1" style="310" min="5" max="5"/>
    <col width="11.44140625" customWidth="1" style="310" min="6" max="6"/>
    <col width="14.44140625" customWidth="1" style="310" min="7" max="7"/>
    <col width="9.109375" customWidth="1" style="310" min="8" max="11"/>
    <col width="13.5546875" customWidth="1" style="310" min="12" max="12"/>
    <col width="9.109375" customWidth="1" style="31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63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23" t="inlineStr">
        <is>
          <t>Ресурсная модель</t>
        </is>
      </c>
    </row>
    <row r="6">
      <c r="B6" s="290" t="n"/>
      <c r="C6" s="317" t="n"/>
      <c r="D6" s="317" t="n"/>
      <c r="E6" s="317" t="n"/>
    </row>
    <row r="7" ht="25.5" customHeight="1" s="310">
      <c r="B7" s="335" t="inlineStr">
        <is>
          <t>Наименование разрабатываемого показателя УНЦ — Опоры ВЛ 0,4 - 750 кВ. Одноцепная, все типы опор за исключением многогранных 35 кВ.</t>
        </is>
      </c>
    </row>
    <row r="8">
      <c r="B8" s="342" t="inlineStr">
        <is>
          <t>Единица измерения  — 1 км</t>
        </is>
      </c>
    </row>
    <row r="9">
      <c r="B9" s="290" t="n"/>
      <c r="C9" s="317" t="n"/>
      <c r="D9" s="317" t="n"/>
      <c r="E9" s="317" t="n"/>
    </row>
    <row r="10" ht="51" customHeight="1" s="310">
      <c r="B10" s="346" t="inlineStr">
        <is>
          <t>Наименование</t>
        </is>
      </c>
      <c r="C10" s="346" t="inlineStr">
        <is>
          <t>Сметная стоимость в ценах на 01.01.2023
 (руб.)</t>
        </is>
      </c>
      <c r="D10" s="346" t="inlineStr">
        <is>
          <t>Удельный вес, 
(в СМР)</t>
        </is>
      </c>
      <c r="E10" s="346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83">
        <f>'Прил.5 Расчет СМР и ОБ'!J15</f>
        <v/>
      </c>
      <c r="D11" s="284">
        <f>C11/$C$24</f>
        <v/>
      </c>
      <c r="E11" s="284">
        <f>C11/$C$40</f>
        <v/>
      </c>
    </row>
    <row r="12">
      <c r="B12" s="282" t="inlineStr">
        <is>
          <t>Эксплуатация машин основных</t>
        </is>
      </c>
      <c r="C12" s="283">
        <f>'Прил.5 Расчет СМР и ОБ'!J23</f>
        <v/>
      </c>
      <c r="D12" s="284">
        <f>C12/$C$24</f>
        <v/>
      </c>
      <c r="E12" s="284">
        <f>C12/$C$40</f>
        <v/>
      </c>
    </row>
    <row r="13">
      <c r="B13" s="282" t="inlineStr">
        <is>
          <t>Эксплуатация машин прочих</t>
        </is>
      </c>
      <c r="C13" s="283">
        <f>'Прил.5 Расчет СМР и ОБ'!J32</f>
        <v/>
      </c>
      <c r="D13" s="284">
        <f>C13/$C$24</f>
        <v/>
      </c>
      <c r="E13" s="284">
        <f>C13/$C$40</f>
        <v/>
      </c>
    </row>
    <row r="14">
      <c r="B14" s="282" t="inlineStr">
        <is>
          <t>ЭКСПЛУАТАЦИЯ МАШИН, ВСЕГО:</t>
        </is>
      </c>
      <c r="C14" s="283">
        <f>C13+C12</f>
        <v/>
      </c>
      <c r="D14" s="284">
        <f>C14/$C$24</f>
        <v/>
      </c>
      <c r="E14" s="284">
        <f>C14/$C$40</f>
        <v/>
      </c>
    </row>
    <row r="15">
      <c r="B15" s="282" t="inlineStr">
        <is>
          <t>в том числе зарплата машинистов</t>
        </is>
      </c>
      <c r="C15" s="283">
        <f>'Прил.5 Расчет СМР и ОБ'!J17</f>
        <v/>
      </c>
      <c r="D15" s="284">
        <f>C15/$C$24</f>
        <v/>
      </c>
      <c r="E15" s="284">
        <f>C15/$C$40</f>
        <v/>
      </c>
    </row>
    <row r="16">
      <c r="B16" s="282" t="inlineStr">
        <is>
          <t>Материалы основные</t>
        </is>
      </c>
      <c r="C16" s="283">
        <f>'Прил.5 Расчет СМР и ОБ'!J44</f>
        <v/>
      </c>
      <c r="D16" s="284">
        <f>C16/$C$24</f>
        <v/>
      </c>
      <c r="E16" s="284">
        <f>C16/$C$40</f>
        <v/>
      </c>
    </row>
    <row r="17">
      <c r="B17" s="282" t="inlineStr">
        <is>
          <t>Материалы прочие</t>
        </is>
      </c>
      <c r="C17" s="283">
        <f>'Прил.5 Расчет СМР и ОБ'!J65</f>
        <v/>
      </c>
      <c r="D17" s="284">
        <f>C17/$C$24</f>
        <v/>
      </c>
      <c r="E17" s="284">
        <f>C17/$C$40</f>
        <v/>
      </c>
      <c r="G17" s="288" t="n"/>
    </row>
    <row r="18">
      <c r="B18" s="282" t="inlineStr">
        <is>
          <t>МАТЕРИАЛЫ, ВСЕГО:</t>
        </is>
      </c>
      <c r="C18" s="283">
        <f>C17+C16</f>
        <v/>
      </c>
      <c r="D18" s="284">
        <f>C18/$C$24</f>
        <v/>
      </c>
      <c r="E18" s="284">
        <f>C18/$C$40</f>
        <v/>
      </c>
    </row>
    <row r="19">
      <c r="B19" s="282" t="inlineStr">
        <is>
          <t>ИТОГО</t>
        </is>
      </c>
      <c r="C19" s="283">
        <f>C18+C14+C11</f>
        <v/>
      </c>
      <c r="D19" s="284" t="n"/>
      <c r="E19" s="282" t="n"/>
    </row>
    <row r="20">
      <c r="B20" s="282" t="inlineStr">
        <is>
          <t>Сметная прибыль, руб.</t>
        </is>
      </c>
      <c r="C20" s="283">
        <f>ROUND(C21*(C11+C15),2)</f>
        <v/>
      </c>
      <c r="D20" s="284">
        <f>C20/$C$24</f>
        <v/>
      </c>
      <c r="E20" s="284">
        <f>C20/$C$40</f>
        <v/>
      </c>
    </row>
    <row r="21">
      <c r="B21" s="282" t="inlineStr">
        <is>
          <t>Сметная прибыль, %</t>
        </is>
      </c>
      <c r="C21" s="287">
        <f>'Прил.5 Расчет СМР и ОБ'!D69</f>
        <v/>
      </c>
      <c r="D21" s="284" t="n"/>
      <c r="E21" s="282" t="n"/>
    </row>
    <row r="22">
      <c r="B22" s="282" t="inlineStr">
        <is>
          <t>Накладные расходы, руб.</t>
        </is>
      </c>
      <c r="C22" s="283">
        <f>ROUND(C23*(C11+C15),2)</f>
        <v/>
      </c>
      <c r="D22" s="284">
        <f>C22/$C$24</f>
        <v/>
      </c>
      <c r="E22" s="284">
        <f>C22/$C$40</f>
        <v/>
      </c>
    </row>
    <row r="23">
      <c r="B23" s="282" t="inlineStr">
        <is>
          <t>Накладные расходы, %</t>
        </is>
      </c>
      <c r="C23" s="287">
        <f>'Прил.5 Расчет СМР и ОБ'!D68</f>
        <v/>
      </c>
      <c r="D23" s="284" t="n"/>
      <c r="E23" s="282" t="n"/>
    </row>
    <row r="24">
      <c r="B24" s="282" t="inlineStr">
        <is>
          <t>ВСЕГО СМР с НР и СП</t>
        </is>
      </c>
      <c r="C24" s="283">
        <f>C19+C20+C22</f>
        <v/>
      </c>
      <c r="D24" s="284">
        <f>C24/$C$24</f>
        <v/>
      </c>
      <c r="E24" s="284">
        <f>C24/$C$40</f>
        <v/>
      </c>
    </row>
    <row r="25" ht="25.5" customHeight="1" s="310">
      <c r="B25" s="282" t="inlineStr">
        <is>
          <t>ВСЕГО стоимость оборудования, в том числе</t>
        </is>
      </c>
      <c r="C25" s="283">
        <f>'Прил.5 Расчет СМР и ОБ'!J38</f>
        <v/>
      </c>
      <c r="D25" s="284" t="n"/>
      <c r="E25" s="284">
        <f>C25/$C$40</f>
        <v/>
      </c>
    </row>
    <row r="26" ht="25.5" customHeight="1" s="310">
      <c r="B26" s="282" t="inlineStr">
        <is>
          <t>стоимость оборудования технологического</t>
        </is>
      </c>
      <c r="C26" s="283">
        <f>'Прил.5 Расчет СМР и ОБ'!J39</f>
        <v/>
      </c>
      <c r="D26" s="284" t="n"/>
      <c r="E26" s="284">
        <f>C26/$C$40</f>
        <v/>
      </c>
    </row>
    <row r="27">
      <c r="B27" s="282" t="inlineStr">
        <is>
          <t>ИТОГО (СМР + ОБОРУДОВАНИЕ)</t>
        </is>
      </c>
      <c r="C27" s="286">
        <f>C24+C25</f>
        <v/>
      </c>
      <c r="D27" s="284" t="n"/>
      <c r="E27" s="284">
        <f>C27/$C$40</f>
        <v/>
      </c>
    </row>
    <row r="28" ht="33" customHeight="1" s="310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  <c r="F28" s="285" t="n"/>
    </row>
    <row r="29" ht="25.5" customHeight="1" s="310">
      <c r="B29" s="282" t="inlineStr">
        <is>
          <t>Временные здания и сооружения - 3,3%</t>
        </is>
      </c>
      <c r="C29" s="286">
        <f>ROUND(C24*3.3%,2)</f>
        <v/>
      </c>
      <c r="D29" s="282" t="n"/>
      <c r="E29" s="284">
        <f>C29/$C$40</f>
        <v/>
      </c>
    </row>
    <row r="30" ht="38.25" customHeight="1" s="310">
      <c r="B30" s="282" t="inlineStr">
        <is>
          <t>Дополнительные затраты при производстве строительно-монтажных работ в зимнее время - 1%</t>
        </is>
      </c>
      <c r="C30" s="286">
        <f>ROUND((C24+C29)*1%,2)</f>
        <v/>
      </c>
      <c r="D30" s="282" t="n"/>
      <c r="E30" s="284">
        <f>C30/$C$40</f>
        <v/>
      </c>
      <c r="F30" s="285" t="n"/>
    </row>
    <row r="31">
      <c r="B31" s="282" t="inlineStr">
        <is>
          <t>Пусконаладочные работы</t>
        </is>
      </c>
      <c r="C31" s="286" t="n">
        <v>0</v>
      </c>
      <c r="D31" s="282" t="n"/>
      <c r="E31" s="284">
        <f>C31/$C$40</f>
        <v/>
      </c>
    </row>
    <row r="32" ht="25.5" customHeight="1" s="310">
      <c r="B32" s="282" t="inlineStr">
        <is>
          <t>Затраты по перевозке работников к месту работы и обратно</t>
        </is>
      </c>
      <c r="C32" s="286">
        <f>ROUND(C27*0%,2)</f>
        <v/>
      </c>
      <c r="D32" s="282" t="n"/>
      <c r="E32" s="284">
        <f>C32/$C$40</f>
        <v/>
      </c>
    </row>
    <row r="33" ht="25.5" customHeight="1" s="310">
      <c r="B33" s="282" t="inlineStr">
        <is>
          <t>Затраты, связанные с осуществлением работ вахтовым методом</t>
        </is>
      </c>
      <c r="C33" s="286">
        <f>ROUND(C27*0%,2)</f>
        <v/>
      </c>
      <c r="D33" s="282" t="n"/>
      <c r="E33" s="284">
        <f>C33/$C$40</f>
        <v/>
      </c>
    </row>
    <row r="34" ht="51" customHeight="1" s="310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6">
        <f>ROUND(C27*0%,2)</f>
        <v/>
      </c>
      <c r="D34" s="282" t="n"/>
      <c r="E34" s="284">
        <f>C34/$C$40</f>
        <v/>
      </c>
      <c r="H34" s="294" t="n"/>
    </row>
    <row r="35" ht="76.5" customHeight="1" s="310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6">
        <f>ROUND(C27*0%,2)</f>
        <v/>
      </c>
      <c r="D35" s="282" t="n"/>
      <c r="E35" s="284">
        <f>C35/$C$40</f>
        <v/>
      </c>
    </row>
    <row r="36" ht="25.5" customHeight="1" s="310">
      <c r="B36" s="282" t="inlineStr">
        <is>
          <t>Строительный контроль и содержание службы заказчика - 2,14%</t>
        </is>
      </c>
      <c r="C36" s="286">
        <f>ROUND((C27+C32+C33+C34+C35+C29+C31+C30)*2.14%,2)</f>
        <v/>
      </c>
      <c r="D36" s="282" t="n"/>
      <c r="E36" s="284">
        <f>C36/$C$40</f>
        <v/>
      </c>
      <c r="L36" s="285" t="n"/>
    </row>
    <row r="37">
      <c r="B37" s="282" t="inlineStr">
        <is>
          <t>Авторский надзор - 0,2%</t>
        </is>
      </c>
      <c r="C37" s="286">
        <f>ROUND((C27+C32+C33+C34+C35+C29+C31+C30)*0.2%,2)</f>
        <v/>
      </c>
      <c r="D37" s="282" t="n"/>
      <c r="E37" s="284">
        <f>C37/$C$40</f>
        <v/>
      </c>
      <c r="L37" s="285" t="n"/>
    </row>
    <row r="38" ht="38.25" customHeight="1" s="310">
      <c r="B38" s="282" t="inlineStr">
        <is>
          <t>ИТОГО (СМР+ОБОРУДОВАНИЕ+ПРОЧ. ЗАТР., УЧТЕННЫЕ ПОКАЗАТЕЛЕМ)</t>
        </is>
      </c>
      <c r="C38" s="283">
        <f>C27+C32+C33+C34+C35+C29+C31+C30+C36+C37</f>
        <v/>
      </c>
      <c r="D38" s="282" t="n"/>
      <c r="E38" s="284">
        <f>C38/$C$40</f>
        <v/>
      </c>
    </row>
    <row r="39" ht="13.5" customHeight="1" s="310">
      <c r="B39" s="282" t="inlineStr">
        <is>
          <t>Непредвиденные расходы</t>
        </is>
      </c>
      <c r="C39" s="283">
        <f>ROUND(C38*3%,2)</f>
        <v/>
      </c>
      <c r="D39" s="282" t="n"/>
      <c r="E39" s="284">
        <f>C39/$C$38</f>
        <v/>
      </c>
    </row>
    <row r="40">
      <c r="B40" s="282" t="inlineStr">
        <is>
          <t>ВСЕГО:</t>
        </is>
      </c>
      <c r="C40" s="283">
        <f>C39+C38</f>
        <v/>
      </c>
      <c r="D40" s="282" t="n"/>
      <c r="E40" s="284">
        <f>C40/$C$40</f>
        <v/>
      </c>
    </row>
    <row r="41">
      <c r="B41" s="282" t="inlineStr">
        <is>
          <t>ИТОГО ПОКАЗАТЕЛЬ НА ЕД. ИЗМ.</t>
        </is>
      </c>
      <c r="C41" s="283">
        <f>C40/'Прил.5 Расчет СМР и ОБ'!E72</f>
        <v/>
      </c>
      <c r="D41" s="282" t="n"/>
      <c r="E41" s="282" t="n"/>
    </row>
    <row r="42">
      <c r="B42" s="281" t="n"/>
      <c r="C42" s="317" t="n"/>
      <c r="D42" s="317" t="n"/>
      <c r="E42" s="317" t="n"/>
    </row>
    <row r="43">
      <c r="B43" s="281" t="inlineStr">
        <is>
          <t>Составил ____________________________ А.П. Николаева</t>
        </is>
      </c>
      <c r="C43" s="317" t="n"/>
      <c r="D43" s="317" t="n"/>
      <c r="E43" s="317" t="n"/>
    </row>
    <row r="44">
      <c r="B44" s="281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81" t="n"/>
      <c r="C45" s="317" t="n"/>
      <c r="D45" s="317" t="n"/>
      <c r="E45" s="317" t="n"/>
    </row>
    <row r="46">
      <c r="B46" s="281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42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8"/>
  <sheetViews>
    <sheetView view="pageBreakPreview" topLeftCell="A56" workbookViewId="0">
      <selection activeCell="C73" sqref="C73"/>
    </sheetView>
  </sheetViews>
  <sheetFormatPr baseColWidth="8" defaultColWidth="9.109375" defaultRowHeight="14.4" outlineLevelRow="1"/>
  <cols>
    <col width="5.6640625" customWidth="1" style="318" min="1" max="1"/>
    <col width="22.554687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44140625" customWidth="1" style="318" min="7" max="7"/>
    <col width="12.6640625" customWidth="1" style="318" min="8" max="8"/>
    <col width="13.88671875" customWidth="1" style="318" min="9" max="9"/>
    <col width="17.5546875" customWidth="1" style="318" min="10" max="10"/>
    <col width="10.88671875" customWidth="1" style="318" min="11" max="11"/>
    <col width="9.109375" customWidth="1" style="318" min="12" max="12"/>
    <col width="9.109375" customWidth="1" style="310" min="13" max="13"/>
  </cols>
  <sheetData>
    <row r="1" s="310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10">
      <c r="A2" s="318" t="n"/>
      <c r="B2" s="318" t="n"/>
      <c r="C2" s="318" t="n"/>
      <c r="D2" s="318" t="n"/>
      <c r="E2" s="318" t="n"/>
      <c r="F2" s="318" t="n"/>
      <c r="G2" s="318" t="n"/>
      <c r="H2" s="343" t="inlineStr">
        <is>
          <t>Приложение №5</t>
        </is>
      </c>
      <c r="K2" s="318" t="n"/>
      <c r="L2" s="318" t="n"/>
      <c r="M2" s="318" t="n"/>
      <c r="N2" s="318" t="n"/>
    </row>
    <row r="3" s="310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23" t="inlineStr">
        <is>
          <t>Расчет стоимости СМР и оборудования</t>
        </is>
      </c>
    </row>
    <row r="5" ht="12.75" customFormat="1" customHeight="1" s="317">
      <c r="A5" s="323" t="n"/>
      <c r="B5" s="323" t="n"/>
      <c r="C5" s="371" t="n"/>
      <c r="D5" s="323" t="n"/>
      <c r="E5" s="323" t="n"/>
      <c r="F5" s="323" t="n"/>
      <c r="G5" s="323" t="n"/>
      <c r="H5" s="323" t="n"/>
      <c r="I5" s="323" t="n"/>
      <c r="J5" s="323" t="n"/>
    </row>
    <row r="6" ht="12.75" customFormat="1" customHeight="1" s="317">
      <c r="A6" s="235" t="inlineStr">
        <is>
          <t>Наименование разрабатываемого показателя УНЦ</t>
        </is>
      </c>
      <c r="B6" s="234" t="n"/>
      <c r="C6" s="234" t="n"/>
      <c r="D6" s="349" t="inlineStr">
        <is>
          <t>Опоры ВЛ 0,4 - 750 кВ. Одноцепная, все типы опор за исключением многогранных 35 кВ.</t>
        </is>
      </c>
    </row>
    <row r="7" ht="12.75" customFormat="1" customHeight="1" s="317">
      <c r="A7" s="326" t="inlineStr">
        <is>
          <t>Единица измерения  — 1 км</t>
        </is>
      </c>
      <c r="I7" s="335" t="n"/>
      <c r="J7" s="335" t="n"/>
    </row>
    <row r="8" ht="13.5" customFormat="1" customHeight="1" s="317">
      <c r="A8" s="326" t="n"/>
    </row>
    <row r="9" ht="13.2" customFormat="1" customHeight="1" s="317"/>
    <row r="10" ht="27" customHeight="1" s="310">
      <c r="A10" s="346" t="inlineStr">
        <is>
          <t>№ пп.</t>
        </is>
      </c>
      <c r="B10" s="346" t="inlineStr">
        <is>
          <t>Код ресурса</t>
        </is>
      </c>
      <c r="C10" s="346" t="inlineStr">
        <is>
          <t>Наименование</t>
        </is>
      </c>
      <c r="D10" s="346" t="inlineStr">
        <is>
          <t>Ед. изм.</t>
        </is>
      </c>
      <c r="E10" s="346" t="inlineStr">
        <is>
          <t>Кол-во единиц по проектным данным</t>
        </is>
      </c>
      <c r="F10" s="346" t="inlineStr">
        <is>
          <t>Сметная стоимость в ценах на 01.01.2000 (руб.)</t>
        </is>
      </c>
      <c r="G10" s="415" t="n"/>
      <c r="H10" s="346" t="inlineStr">
        <is>
          <t>Удельный вес, %</t>
        </is>
      </c>
      <c r="I10" s="346" t="inlineStr">
        <is>
          <t>Сметная стоимость в ценах на 01.01.2023 (руб.)</t>
        </is>
      </c>
      <c r="J10" s="415" t="n"/>
      <c r="K10" s="318" t="n"/>
      <c r="L10" s="318" t="n"/>
      <c r="M10" s="318" t="n"/>
      <c r="N10" s="318" t="n"/>
    </row>
    <row r="11" ht="28.5" customHeight="1" s="310">
      <c r="A11" s="417" t="n"/>
      <c r="B11" s="417" t="n"/>
      <c r="C11" s="417" t="n"/>
      <c r="D11" s="417" t="n"/>
      <c r="E11" s="417" t="n"/>
      <c r="F11" s="346" t="inlineStr">
        <is>
          <t>на ед. изм.</t>
        </is>
      </c>
      <c r="G11" s="346" t="inlineStr">
        <is>
          <t>общая</t>
        </is>
      </c>
      <c r="H11" s="417" t="n"/>
      <c r="I11" s="346" t="inlineStr">
        <is>
          <t>на ед. изм.</t>
        </is>
      </c>
      <c r="J11" s="346" t="inlineStr">
        <is>
          <t>общая</t>
        </is>
      </c>
      <c r="K11" s="318" t="n"/>
      <c r="L11" s="318" t="n"/>
      <c r="M11" s="318" t="n"/>
      <c r="N11" s="318" t="n"/>
    </row>
    <row r="12" s="310">
      <c r="A12" s="346" t="n">
        <v>1</v>
      </c>
      <c r="B12" s="346" t="n">
        <v>2</v>
      </c>
      <c r="C12" s="346" t="n">
        <v>3</v>
      </c>
      <c r="D12" s="346" t="n">
        <v>4</v>
      </c>
      <c r="E12" s="346" t="n">
        <v>5</v>
      </c>
      <c r="F12" s="346" t="n">
        <v>6</v>
      </c>
      <c r="G12" s="346" t="n">
        <v>7</v>
      </c>
      <c r="H12" s="346" t="n">
        <v>8</v>
      </c>
      <c r="I12" s="347" t="n">
        <v>9</v>
      </c>
      <c r="J12" s="347" t="n">
        <v>10</v>
      </c>
      <c r="K12" s="318" t="n"/>
      <c r="L12" s="318" t="n"/>
      <c r="M12" s="318" t="n"/>
      <c r="N12" s="318" t="n"/>
    </row>
    <row r="13">
      <c r="A13" s="346" t="n"/>
      <c r="B13" s="354" t="inlineStr">
        <is>
          <t>Затраты труда рабочих-строителей</t>
        </is>
      </c>
      <c r="C13" s="414" t="n"/>
      <c r="D13" s="414" t="n"/>
      <c r="E13" s="414" t="n"/>
      <c r="F13" s="414" t="n"/>
      <c r="G13" s="414" t="n"/>
      <c r="H13" s="415" t="n"/>
      <c r="I13" s="217" t="n"/>
      <c r="J13" s="217" t="n"/>
    </row>
    <row r="14" ht="25.5" customHeight="1" s="310">
      <c r="A14" s="346" t="n">
        <v>1</v>
      </c>
      <c r="B14" s="232" t="inlineStr">
        <is>
          <t>1-4-2</t>
        </is>
      </c>
      <c r="C14" s="355" t="inlineStr">
        <is>
          <t>Затраты труда рабочих-строителей среднего разряда (4,2)</t>
        </is>
      </c>
      <c r="D14" s="346" t="inlineStr">
        <is>
          <t>чел.-ч.</t>
        </is>
      </c>
      <c r="E14" s="230" t="n">
        <v>401.36271994135</v>
      </c>
      <c r="F14" s="228" t="n">
        <v>9.92</v>
      </c>
      <c r="G14" s="228">
        <f>ROUND(E14*F14,2)</f>
        <v/>
      </c>
      <c r="H14" s="231">
        <f>G14/G15</f>
        <v/>
      </c>
      <c r="I14" s="228">
        <f>ФОТр.тек.!E13</f>
        <v/>
      </c>
      <c r="J14" s="228">
        <f>ROUND(I14*E14,2)</f>
        <v/>
      </c>
    </row>
    <row r="15" ht="25.5" customFormat="1" customHeight="1" s="318">
      <c r="A15" s="346" t="n"/>
      <c r="B15" s="346" t="n"/>
      <c r="C15" s="354" t="inlineStr">
        <is>
          <t>Итого по разделу "Затраты труда рабочих-строителей"</t>
        </is>
      </c>
      <c r="D15" s="346" t="inlineStr">
        <is>
          <t>чел.-ч.</t>
        </is>
      </c>
      <c r="E15" s="230">
        <f>SUM(E14:E14)</f>
        <v/>
      </c>
      <c r="F15" s="228" t="n"/>
      <c r="G15" s="228">
        <f>SUM(G14:G14)</f>
        <v/>
      </c>
      <c r="H15" s="358" t="n">
        <v>1</v>
      </c>
      <c r="I15" s="217" t="n"/>
      <c r="J15" s="228">
        <f>SUM(J14:J14)</f>
        <v/>
      </c>
    </row>
    <row r="16" ht="14.25" customFormat="1" customHeight="1" s="318">
      <c r="A16" s="346" t="n"/>
      <c r="B16" s="355" t="inlineStr">
        <is>
          <t>Затраты труда машинистов</t>
        </is>
      </c>
      <c r="C16" s="414" t="n"/>
      <c r="D16" s="414" t="n"/>
      <c r="E16" s="414" t="n"/>
      <c r="F16" s="414" t="n"/>
      <c r="G16" s="414" t="n"/>
      <c r="H16" s="415" t="n"/>
      <c r="I16" s="217" t="n"/>
      <c r="J16" s="217" t="n"/>
    </row>
    <row r="17" ht="14.25" customFormat="1" customHeight="1" s="318">
      <c r="A17" s="346" t="n">
        <v>2</v>
      </c>
      <c r="B17" s="346" t="n">
        <v>2</v>
      </c>
      <c r="C17" s="355" t="inlineStr">
        <is>
          <t>Затраты труда машинистов</t>
        </is>
      </c>
      <c r="D17" s="346" t="inlineStr">
        <is>
          <t>чел.-ч.</t>
        </is>
      </c>
      <c r="E17" s="230" t="n">
        <v>145.48631818182</v>
      </c>
      <c r="F17" s="228" t="n">
        <v>9.018092610395399</v>
      </c>
      <c r="G17" s="228">
        <f>ROUND(E17*F17,2)</f>
        <v/>
      </c>
      <c r="H17" s="358" t="n">
        <v>1</v>
      </c>
      <c r="I17" s="228">
        <f>ROUND(F17*'Прил. 10'!D11,2)</f>
        <v/>
      </c>
      <c r="J17" s="228">
        <f>ROUND(I17*E17,2)</f>
        <v/>
      </c>
    </row>
    <row r="18" ht="14.25" customFormat="1" customHeight="1" s="318">
      <c r="A18" s="346" t="n"/>
      <c r="B18" s="354" t="inlineStr">
        <is>
          <t>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217" t="n"/>
      <c r="J18" s="217" t="n"/>
    </row>
    <row r="19" ht="14.25" customFormat="1" customHeight="1" s="318">
      <c r="A19" s="346" t="n"/>
      <c r="B19" s="355" t="inlineStr">
        <is>
          <t>Основные машины и механизмы</t>
        </is>
      </c>
      <c r="C19" s="414" t="n"/>
      <c r="D19" s="414" t="n"/>
      <c r="E19" s="414" t="n"/>
      <c r="F19" s="414" t="n"/>
      <c r="G19" s="414" t="n"/>
      <c r="H19" s="415" t="n"/>
      <c r="I19" s="217" t="n"/>
      <c r="J19" s="217" t="n"/>
    </row>
    <row r="20" ht="25.5" customFormat="1" customHeight="1" s="318">
      <c r="A20" s="346" t="n">
        <v>3</v>
      </c>
      <c r="B20" s="232" t="inlineStr">
        <is>
          <t>91.15.02-029</t>
        </is>
      </c>
      <c r="C20" s="355" t="inlineStr">
        <is>
          <t>Тракторы на гусеничном ходу с лебедкой 132 кВт (180 л.с.)</t>
        </is>
      </c>
      <c r="D20" s="346" t="inlineStr">
        <is>
          <t>маш.час</t>
        </is>
      </c>
      <c r="E20" s="230" t="n">
        <v>61.380390909091</v>
      </c>
      <c r="F20" s="357" t="n">
        <v>147.43</v>
      </c>
      <c r="G20" s="228">
        <f>ROUND(E20*F20,2)</f>
        <v/>
      </c>
      <c r="H20" s="231">
        <f>G20/$G$33</f>
        <v/>
      </c>
      <c r="I20" s="228">
        <f>ROUND(F20*'Прил. 10'!$D$12,2)</f>
        <v/>
      </c>
      <c r="J20" s="228">
        <f>ROUND(I20*E20,2)</f>
        <v/>
      </c>
    </row>
    <row r="21" ht="25.5" customFormat="1" customHeight="1" s="318">
      <c r="A21" s="346" t="n">
        <v>4</v>
      </c>
      <c r="B21" s="232" t="inlineStr">
        <is>
          <t>91.13.03-111</t>
        </is>
      </c>
      <c r="C21" s="355" t="inlineStr">
        <is>
          <t>Спецавтомобили-вездеходы, грузоподъемность до 8 т</t>
        </is>
      </c>
      <c r="D21" s="346" t="inlineStr">
        <is>
          <t>маш.час</t>
        </is>
      </c>
      <c r="E21" s="230" t="n">
        <v>25.302590909091</v>
      </c>
      <c r="F21" s="357" t="n">
        <v>189.95</v>
      </c>
      <c r="G21" s="228">
        <f>ROUND(E21*F21,2)</f>
        <v/>
      </c>
      <c r="H21" s="231">
        <f>G21/$G$33</f>
        <v/>
      </c>
      <c r="I21" s="228">
        <f>ROUND(F21*'Прил. 10'!$D$12,2)</f>
        <v/>
      </c>
      <c r="J21" s="228">
        <f>ROUND(I21*E21,2)</f>
        <v/>
      </c>
    </row>
    <row r="22" ht="51" customFormat="1" customHeight="1" s="318">
      <c r="A22" s="346" t="n">
        <v>5</v>
      </c>
      <c r="B22" s="232" t="inlineStr">
        <is>
          <t>91.05.14-516</t>
        </is>
      </c>
      <c r="C22" s="355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46" t="inlineStr">
        <is>
          <t>маш.час</t>
        </is>
      </c>
      <c r="E22" s="230" t="n">
        <v>46.157845454545</v>
      </c>
      <c r="F22" s="357" t="n">
        <v>77.64</v>
      </c>
      <c r="G22" s="228">
        <f>ROUND(E22*F22,2)</f>
        <v/>
      </c>
      <c r="H22" s="231">
        <f>G22/$G$33</f>
        <v/>
      </c>
      <c r="I22" s="228">
        <f>ROUND(F22*'Прил. 10'!$D$12,2)</f>
        <v/>
      </c>
      <c r="J22" s="228">
        <f>ROUND(I22*E22,2)</f>
        <v/>
      </c>
    </row>
    <row r="23" ht="14.25" customFormat="1" customHeight="1" s="318">
      <c r="A23" s="346" t="n"/>
      <c r="B23" s="346" t="n"/>
      <c r="C23" s="355" t="inlineStr">
        <is>
          <t>Итого основные машины и механизмы</t>
        </is>
      </c>
      <c r="D23" s="346" t="n"/>
      <c r="E23" s="230" t="n">
        <v>0</v>
      </c>
      <c r="F23" s="228" t="n"/>
      <c r="G23" s="228">
        <f>SUM(G20:G22)</f>
        <v/>
      </c>
      <c r="H23" s="358">
        <f>G23/G33</f>
        <v/>
      </c>
      <c r="I23" s="218" t="n"/>
      <c r="J23" s="228">
        <f>SUM(J20:J22)</f>
        <v/>
      </c>
    </row>
    <row r="24" outlineLevel="1" ht="25.5" customFormat="1" customHeight="1" s="318">
      <c r="A24" s="346" t="n">
        <v>6</v>
      </c>
      <c r="B24" s="232" t="inlineStr">
        <is>
          <t>91.05.05-015</t>
        </is>
      </c>
      <c r="C24" s="355" t="inlineStr">
        <is>
          <t>Краны на автомобильном ходу, грузоподъемность 16 т</t>
        </is>
      </c>
      <c r="D24" s="346" t="inlineStr">
        <is>
          <t>маш.час</t>
        </is>
      </c>
      <c r="E24" s="230" t="n">
        <v>12.6444</v>
      </c>
      <c r="F24" s="357" t="n">
        <v>115.4</v>
      </c>
      <c r="G24" s="228">
        <f>ROUND(E24*F24,2)</f>
        <v/>
      </c>
      <c r="H24" s="231">
        <f>G24/$G$33</f>
        <v/>
      </c>
      <c r="I24" s="228">
        <f>ROUND(F24*'Прил. 10'!$D$12,2)</f>
        <v/>
      </c>
      <c r="J24" s="228">
        <f>ROUND(I24*E24,2)</f>
        <v/>
      </c>
    </row>
    <row r="25" outlineLevel="1" ht="25.5" customFormat="1" customHeight="1" s="318">
      <c r="A25" s="346" t="n">
        <v>7</v>
      </c>
      <c r="B25" s="232" t="inlineStr">
        <is>
          <t>91.06.09-101</t>
        </is>
      </c>
      <c r="C25" s="355" t="inlineStr">
        <is>
          <t>Стрелы монтажные А-образные для подъема опор ВЛ, высота до 22 м</t>
        </is>
      </c>
      <c r="D25" s="346" t="inlineStr">
        <is>
          <t>маш.час</t>
        </is>
      </c>
      <c r="E25" s="230" t="n">
        <v>10.680336363636</v>
      </c>
      <c r="F25" s="357" t="n">
        <v>6.24</v>
      </c>
      <c r="G25" s="228">
        <f>ROUND(E25*F25,2)</f>
        <v/>
      </c>
      <c r="H25" s="231">
        <f>G25/$G$33</f>
        <v/>
      </c>
      <c r="I25" s="228">
        <f>ROUND(F25*'Прил. 10'!$D$12,2)</f>
        <v/>
      </c>
      <c r="J25" s="228">
        <f>ROUND(I25*E25,2)</f>
        <v/>
      </c>
    </row>
    <row r="26" outlineLevel="1" ht="25.5" customFormat="1" customHeight="1" s="318">
      <c r="A26" s="346" t="n">
        <v>8</v>
      </c>
      <c r="B26" s="232" t="inlineStr">
        <is>
          <t>91.06.01-002</t>
        </is>
      </c>
      <c r="C26" s="355" t="inlineStr">
        <is>
          <t>Домкраты гидравлические, грузоподъемность 6,3-25 т</t>
        </is>
      </c>
      <c r="D26" s="346" t="inlineStr">
        <is>
          <t>маш.час</t>
        </is>
      </c>
      <c r="E26" s="230" t="n">
        <v>41.818781818182</v>
      </c>
      <c r="F26" s="357" t="n">
        <v>0.48</v>
      </c>
      <c r="G26" s="228">
        <f>ROUND(E26*F26,2)</f>
        <v/>
      </c>
      <c r="H26" s="231">
        <f>G26/$G$33</f>
        <v/>
      </c>
      <c r="I26" s="228">
        <f>ROUND(F26*'Прил. 10'!$D$12,2)</f>
        <v/>
      </c>
      <c r="J26" s="228">
        <f>ROUND(I26*E26,2)</f>
        <v/>
      </c>
    </row>
    <row r="27" outlineLevel="1" ht="38.25" customFormat="1" customHeight="1" s="318">
      <c r="A27" s="346" t="n">
        <v>9</v>
      </c>
      <c r="B27" s="232" t="inlineStr">
        <is>
          <t>91.17.04-036</t>
        </is>
      </c>
      <c r="C27" s="355" t="inlineStr">
        <is>
          <t>Агрегаты сварочные передвижные с дизельным двигателем, номинальный сварочный ток 250-400 А</t>
        </is>
      </c>
      <c r="D27" s="346" t="inlineStr">
        <is>
          <t>маш.час</t>
        </is>
      </c>
      <c r="E27" s="230" t="n">
        <v>0.43181818181818</v>
      </c>
      <c r="F27" s="357" t="n">
        <v>14</v>
      </c>
      <c r="G27" s="228">
        <f>ROUND(E27*F27,2)</f>
        <v/>
      </c>
      <c r="H27" s="231">
        <f>G27/$G$33</f>
        <v/>
      </c>
      <c r="I27" s="228">
        <f>ROUND(F27*'Прил. 10'!$D$12,2)</f>
        <v/>
      </c>
      <c r="J27" s="228">
        <f>ROUND(I27*E27,2)</f>
        <v/>
      </c>
    </row>
    <row r="28" outlineLevel="1" ht="38.25" customFormat="1" customHeight="1" s="318">
      <c r="A28" s="346" t="n">
        <v>10</v>
      </c>
      <c r="B28" s="232" t="inlineStr">
        <is>
          <t>91.21.01-012</t>
        </is>
      </c>
      <c r="C28" s="355" t="inlineStr">
        <is>
          <t>Агрегаты окрасочные высокого давления для окраски поверхностей конструкций, мощность 1 кВт</t>
        </is>
      </c>
      <c r="D28" s="346" t="inlineStr">
        <is>
          <t>маш.час</t>
        </is>
      </c>
      <c r="E28" s="230" t="n">
        <v>0.046363636363636</v>
      </c>
      <c r="F28" s="357" t="n">
        <v>6.82</v>
      </c>
      <c r="G28" s="228">
        <f>ROUND(E28*F28,2)</f>
        <v/>
      </c>
      <c r="H28" s="231">
        <f>G28/$G$33</f>
        <v/>
      </c>
      <c r="I28" s="228">
        <f>ROUND(F28*'Прил. 10'!$D$12,2)</f>
        <v/>
      </c>
      <c r="J28" s="228">
        <f>ROUND(I28*E28,2)</f>
        <v/>
      </c>
    </row>
    <row r="29" outlineLevel="1" ht="14.25" customFormat="1" customHeight="1" s="318">
      <c r="A29" s="346" t="n">
        <v>11</v>
      </c>
      <c r="B29" s="232" t="inlineStr">
        <is>
          <t>91.06.05-011</t>
        </is>
      </c>
      <c r="C29" s="355" t="inlineStr">
        <is>
          <t>Погрузчики, грузоподъемность 5 т</t>
        </is>
      </c>
      <c r="D29" s="346" t="inlineStr">
        <is>
          <t>маш.час</t>
        </is>
      </c>
      <c r="E29" s="230" t="n">
        <v>0.00054545454545455</v>
      </c>
      <c r="F29" s="357" t="n">
        <v>89.98999999999999</v>
      </c>
      <c r="G29" s="228">
        <f>ROUND(E29*F29,2)</f>
        <v/>
      </c>
      <c r="H29" s="231">
        <f>G29/$G$33</f>
        <v/>
      </c>
      <c r="I29" s="228">
        <f>ROUND(F29*'Прил. 10'!$D$12,2)</f>
        <v/>
      </c>
      <c r="J29" s="228">
        <f>ROUND(I29*E29,2)</f>
        <v/>
      </c>
    </row>
    <row r="30" outlineLevel="1" ht="25.5" customFormat="1" customHeight="1" s="318">
      <c r="A30" s="346" t="n">
        <v>12</v>
      </c>
      <c r="B30" s="232" t="inlineStr">
        <is>
          <t>91.14.02-001</t>
        </is>
      </c>
      <c r="C30" s="355" t="inlineStr">
        <is>
          <t>Автомобили бортовые, грузоподъемность до 5 т</t>
        </is>
      </c>
      <c r="D30" s="346" t="inlineStr">
        <is>
          <t>маш.час</t>
        </is>
      </c>
      <c r="E30" s="230" t="n">
        <v>0.00054545454545455</v>
      </c>
      <c r="F30" s="357" t="n">
        <v>65.70999999999999</v>
      </c>
      <c r="G30" s="228">
        <f>ROUND(E30*F30,2)</f>
        <v/>
      </c>
      <c r="H30" s="231">
        <f>G30/$G$33</f>
        <v/>
      </c>
      <c r="I30" s="228">
        <f>ROUND(F30*'Прил. 10'!$D$12,2)</f>
        <v/>
      </c>
      <c r="J30" s="228">
        <f>ROUND(I30*E30,2)</f>
        <v/>
      </c>
    </row>
    <row r="31" outlineLevel="1" ht="25.5" customFormat="1" customHeight="1" s="318">
      <c r="A31" s="346" t="n">
        <v>13</v>
      </c>
      <c r="B31" s="232" t="inlineStr">
        <is>
          <t>91.06.03-060</t>
        </is>
      </c>
      <c r="C31" s="355" t="inlineStr">
        <is>
          <t>Лебедки электрические тяговым усилием до 5,79 кН (0,59 т)</t>
        </is>
      </c>
      <c r="D31" s="346" t="inlineStr">
        <is>
          <t>маш.час</t>
        </is>
      </c>
      <c r="E31" s="230" t="n">
        <v>0.0010909090909091</v>
      </c>
      <c r="F31" s="357" t="n">
        <v>1.7</v>
      </c>
      <c r="G31" s="228">
        <f>ROUND(E31*F31,2)</f>
        <v/>
      </c>
      <c r="H31" s="231">
        <f>G31/$G$33</f>
        <v/>
      </c>
      <c r="I31" s="228">
        <f>ROUND(F31*'Прил. 10'!$D$12,2)</f>
        <v/>
      </c>
      <c r="J31" s="228">
        <f>ROUND(I31*E31,2)</f>
        <v/>
      </c>
    </row>
    <row r="32" ht="14.25" customFormat="1" customHeight="1" s="318">
      <c r="A32" s="346" t="n"/>
      <c r="B32" s="346" t="n"/>
      <c r="C32" s="355" t="inlineStr">
        <is>
          <t>Итого прочие машины и механизмы</t>
        </is>
      </c>
      <c r="D32" s="346" t="n"/>
      <c r="E32" s="356" t="n"/>
      <c r="F32" s="228" t="n"/>
      <c r="G32" s="218">
        <f>SUM(G24:G31)</f>
        <v/>
      </c>
      <c r="H32" s="231">
        <f>G32/G33</f>
        <v/>
      </c>
      <c r="I32" s="228" t="n"/>
      <c r="J32" s="228">
        <f>SUM(J24:J31)</f>
        <v/>
      </c>
    </row>
    <row r="33" ht="25.5" customFormat="1" customHeight="1" s="318">
      <c r="A33" s="346" t="n"/>
      <c r="B33" s="346" t="n"/>
      <c r="C33" s="354" t="inlineStr">
        <is>
          <t>Итого по разделу «Машины и механизмы»</t>
        </is>
      </c>
      <c r="D33" s="346" t="n"/>
      <c r="E33" s="356" t="n"/>
      <c r="F33" s="228" t="n"/>
      <c r="G33" s="228">
        <f>G32+G23</f>
        <v/>
      </c>
      <c r="H33" s="211" t="n">
        <v>1</v>
      </c>
      <c r="I33" s="212" t="n"/>
      <c r="J33" s="239">
        <f>J32+J23</f>
        <v/>
      </c>
    </row>
    <row r="34" ht="14.25" customFormat="1" customHeight="1" s="318">
      <c r="A34" s="346" t="n"/>
      <c r="B34" s="354" t="inlineStr">
        <is>
          <t>Оборудование</t>
        </is>
      </c>
      <c r="C34" s="414" t="n"/>
      <c r="D34" s="414" t="n"/>
      <c r="E34" s="414" t="n"/>
      <c r="F34" s="414" t="n"/>
      <c r="G34" s="414" t="n"/>
      <c r="H34" s="415" t="n"/>
      <c r="I34" s="217" t="n"/>
      <c r="J34" s="217" t="n"/>
    </row>
    <row r="35">
      <c r="A35" s="346" t="n"/>
      <c r="B35" s="355" t="inlineStr">
        <is>
          <t>Основное оборудование</t>
        </is>
      </c>
      <c r="C35" s="414" t="n"/>
      <c r="D35" s="414" t="n"/>
      <c r="E35" s="414" t="n"/>
      <c r="F35" s="414" t="n"/>
      <c r="G35" s="414" t="n"/>
      <c r="H35" s="415" t="n"/>
      <c r="I35" s="217" t="n"/>
      <c r="J35" s="217" t="n"/>
      <c r="K35" s="318" t="n"/>
      <c r="L35" s="318" t="n"/>
    </row>
    <row r="36">
      <c r="A36" s="346" t="n"/>
      <c r="B36" s="346" t="n"/>
      <c r="C36" s="355" t="inlineStr">
        <is>
          <t>Итого основное оборудование</t>
        </is>
      </c>
      <c r="D36" s="346" t="n"/>
      <c r="E36" s="230" t="n"/>
      <c r="F36" s="357" t="n"/>
      <c r="G36" s="228" t="n">
        <v>0</v>
      </c>
      <c r="H36" s="358" t="n">
        <v>0</v>
      </c>
      <c r="I36" s="218" t="n"/>
      <c r="J36" s="228" t="n">
        <v>0</v>
      </c>
      <c r="K36" s="318" t="n"/>
      <c r="L36" s="318" t="n"/>
    </row>
    <row r="37">
      <c r="A37" s="346" t="n"/>
      <c r="B37" s="346" t="n"/>
      <c r="C37" s="355" t="inlineStr">
        <is>
          <t>Итого прочее оборудование</t>
        </is>
      </c>
      <c r="D37" s="346" t="n"/>
      <c r="E37" s="230" t="n"/>
      <c r="F37" s="357" t="n"/>
      <c r="G37" s="228" t="n">
        <v>0</v>
      </c>
      <c r="H37" s="358" t="n">
        <v>0</v>
      </c>
      <c r="I37" s="218" t="n"/>
      <c r="J37" s="228" t="n">
        <v>0</v>
      </c>
      <c r="K37" s="318" t="n"/>
      <c r="L37" s="318" t="n"/>
    </row>
    <row r="38">
      <c r="A38" s="346" t="n"/>
      <c r="B38" s="346" t="n"/>
      <c r="C38" s="354" t="inlineStr">
        <is>
          <t>Итого по разделу «Оборудование»</t>
        </is>
      </c>
      <c r="D38" s="346" t="n"/>
      <c r="E38" s="356" t="n"/>
      <c r="F38" s="357" t="n"/>
      <c r="G38" s="228">
        <f>G36+G37</f>
        <v/>
      </c>
      <c r="H38" s="358" t="n">
        <v>0</v>
      </c>
      <c r="I38" s="218" t="n"/>
      <c r="J38" s="228">
        <f>J37+J36</f>
        <v/>
      </c>
      <c r="K38" s="318" t="n"/>
      <c r="L38" s="318" t="n"/>
    </row>
    <row r="39" ht="25.5" customHeight="1" s="310">
      <c r="A39" s="346" t="n"/>
      <c r="B39" s="346" t="n"/>
      <c r="C39" s="355" t="inlineStr">
        <is>
          <t>в том числе технологическое оборудование</t>
        </is>
      </c>
      <c r="D39" s="346" t="n"/>
      <c r="E39" s="219" t="n"/>
      <c r="F39" s="357" t="n"/>
      <c r="G39" s="228">
        <f>G38</f>
        <v/>
      </c>
      <c r="H39" s="358" t="n"/>
      <c r="I39" s="218" t="n"/>
      <c r="J39" s="228">
        <f>J38</f>
        <v/>
      </c>
      <c r="K39" s="318" t="n"/>
      <c r="L39" s="318" t="n"/>
    </row>
    <row r="40" ht="14.25" customFormat="1" customHeight="1" s="318">
      <c r="A40" s="346" t="n"/>
      <c r="B40" s="354" t="inlineStr">
        <is>
          <t>Материалы</t>
        </is>
      </c>
      <c r="C40" s="414" t="n"/>
      <c r="D40" s="414" t="n"/>
      <c r="E40" s="414" t="n"/>
      <c r="F40" s="414" t="n"/>
      <c r="G40" s="414" t="n"/>
      <c r="H40" s="415" t="n"/>
      <c r="I40" s="217" t="n"/>
      <c r="J40" s="217" t="n"/>
    </row>
    <row r="41" ht="14.25" customFormat="1" customHeight="1" s="318">
      <c r="A41" s="347" t="n"/>
      <c r="B41" s="350" t="inlineStr">
        <is>
          <t>Основные материалы</t>
        </is>
      </c>
      <c r="C41" s="418" t="n"/>
      <c r="D41" s="418" t="n"/>
      <c r="E41" s="418" t="n"/>
      <c r="F41" s="418" t="n"/>
      <c r="G41" s="418" t="n"/>
      <c r="H41" s="419" t="n"/>
      <c r="I41" s="237" t="n"/>
      <c r="J41" s="237" t="n"/>
    </row>
    <row r="42" ht="51" customFormat="1" customHeight="1" s="318">
      <c r="A42" s="346" t="n">
        <v>14</v>
      </c>
      <c r="B42" s="296" t="inlineStr">
        <is>
          <t>БЦ.98.11</t>
        </is>
      </c>
      <c r="C42" s="297" t="inlineStr">
        <is>
          <t>Опоры решетчатые линий электропередачи оцинкованные, 35 кВ, анкерно-угловые, одностоечные, свободностоящие</t>
        </is>
      </c>
      <c r="D42" s="296" t="inlineStr">
        <is>
          <t>т</t>
        </is>
      </c>
      <c r="E42" s="298" t="n">
        <v>31.363</v>
      </c>
      <c r="F42" s="299">
        <f>ROUND(I42/'Прил. 10'!$D$13,2)</f>
        <v/>
      </c>
      <c r="G42" s="302">
        <f>ROUND(E42*F42,2)</f>
        <v/>
      </c>
      <c r="H42" s="301">
        <f>G42/$G$66</f>
        <v/>
      </c>
      <c r="I42" s="302" t="n">
        <v>214033.02</v>
      </c>
      <c r="J42" s="228">
        <f>ROUND(I42*E42,2)</f>
        <v/>
      </c>
    </row>
    <row r="43" ht="38.25" customFormat="1" customHeight="1" s="318">
      <c r="A43" s="346" t="n">
        <v>15</v>
      </c>
      <c r="B43" s="296" t="inlineStr">
        <is>
          <t>БЦ.100.23</t>
        </is>
      </c>
      <c r="C43" s="297" t="inlineStr">
        <is>
          <t>Стойки опор ВЛ, СК22.1-1.1</t>
        </is>
      </c>
      <c r="D43" s="296" t="inlineStr">
        <is>
          <t>шт</t>
        </is>
      </c>
      <c r="E43" s="298" t="n">
        <v>5</v>
      </c>
      <c r="F43" s="299">
        <f>ROUND(I43/'Прил. 10'!$D$13,2)</f>
        <v/>
      </c>
      <c r="G43" s="302">
        <f>ROUND(E43*F43,2)</f>
        <v/>
      </c>
      <c r="H43" s="301">
        <f>G43/$G$66</f>
        <v/>
      </c>
      <c r="I43" s="302" t="n">
        <v>170250.42</v>
      </c>
      <c r="J43" s="228">
        <f>ROUND(I43*E43,2)</f>
        <v/>
      </c>
    </row>
    <row r="44" ht="14.25" customFormat="1" customHeight="1" s="318">
      <c r="A44" s="348" t="n"/>
      <c r="B44" s="303" t="n"/>
      <c r="C44" s="304" t="inlineStr">
        <is>
          <t>Итого основные материалы</t>
        </is>
      </c>
      <c r="D44" s="305" t="n"/>
      <c r="E44" s="306" t="n"/>
      <c r="F44" s="308" t="n"/>
      <c r="G44" s="308">
        <f>SUM(G42:G43)</f>
        <v/>
      </c>
      <c r="H44" s="301">
        <f>G44/$G$66</f>
        <v/>
      </c>
      <c r="I44" s="302" t="n"/>
      <c r="J44" s="239">
        <f>SUM(J42:J43)</f>
        <v/>
      </c>
    </row>
    <row r="45" outlineLevel="1" ht="25.5" customFormat="1" customHeight="1" s="318">
      <c r="A45" s="346" t="n">
        <v>16</v>
      </c>
      <c r="B45" s="296" t="inlineStr">
        <is>
          <t>01.7.15.03-0035</t>
        </is>
      </c>
      <c r="C45" s="297" t="inlineStr">
        <is>
          <t>Болты с гайками и шайбами оцинкованные, диаметр 20 мм</t>
        </is>
      </c>
      <c r="D45" s="296" t="inlineStr">
        <is>
          <t>кг</t>
        </is>
      </c>
      <c r="E45" s="298" t="n">
        <v>786.8200000000001</v>
      </c>
      <c r="F45" s="299" t="n">
        <v>24.97</v>
      </c>
      <c r="G45" s="302">
        <f>ROUND(E45*F45,2)</f>
        <v/>
      </c>
      <c r="H45" s="301">
        <f>G45/$G$66</f>
        <v/>
      </c>
      <c r="I45" s="302">
        <f>ROUND(F45*'Прил. 10'!$D$13,2)</f>
        <v/>
      </c>
      <c r="J45" s="228">
        <f>ROUND(I45*E45,2)</f>
        <v/>
      </c>
    </row>
    <row r="46" outlineLevel="1" ht="14.25" customFormat="1" customHeight="1" s="318">
      <c r="A46" s="346" t="n">
        <v>17</v>
      </c>
      <c r="B46" s="296" t="inlineStr">
        <is>
          <t>Прайс из СД ОП</t>
        </is>
      </c>
      <c r="C46" s="297" t="inlineStr">
        <is>
          <t>Траверса  ТВ255</t>
        </is>
      </c>
      <c r="D46" s="296" t="inlineStr">
        <is>
          <t>шт</t>
        </is>
      </c>
      <c r="E46" s="298" t="n">
        <v>4</v>
      </c>
      <c r="F46" s="299" t="n">
        <v>477.39</v>
      </c>
      <c r="G46" s="302">
        <f>ROUND(E46*F46,2)</f>
        <v/>
      </c>
      <c r="H46" s="301">
        <f>G46/$G$66</f>
        <v/>
      </c>
      <c r="I46" s="302">
        <f>ROUND(F46*'Прил. 10'!$D$13,2)</f>
        <v/>
      </c>
      <c r="J46" s="228">
        <f>ROUND(I46*E46,2)</f>
        <v/>
      </c>
    </row>
    <row r="47" outlineLevel="1" ht="14.25" customFormat="1" customHeight="1" s="318">
      <c r="A47" s="346" t="n">
        <v>18</v>
      </c>
      <c r="B47" s="346" t="inlineStr">
        <is>
          <t>Прайс из СД ОП</t>
        </is>
      </c>
      <c r="C47" s="355" t="inlineStr">
        <is>
          <t>Тросостойка ТС-250</t>
        </is>
      </c>
      <c r="D47" s="346" t="inlineStr">
        <is>
          <t>шт</t>
        </is>
      </c>
      <c r="E47" s="356" t="n">
        <v>2</v>
      </c>
      <c r="F47" s="357" t="n">
        <v>696.8099999999999</v>
      </c>
      <c r="G47" s="228">
        <f>ROUND(E47*F47,2)</f>
        <v/>
      </c>
      <c r="H47" s="231">
        <f>G47/$G$66</f>
        <v/>
      </c>
      <c r="I47" s="228">
        <f>ROUND(F47*'Прил. 10'!$D$13,2)</f>
        <v/>
      </c>
      <c r="J47" s="228">
        <f>ROUND(I47*E47,2)</f>
        <v/>
      </c>
    </row>
    <row r="48" outlineLevel="1" ht="14.25" customFormat="1" customHeight="1" s="318">
      <c r="A48" s="346" t="n">
        <v>19</v>
      </c>
      <c r="B48" s="346" t="inlineStr">
        <is>
          <t>Прайс из СД ОП</t>
        </is>
      </c>
      <c r="C48" s="355" t="inlineStr">
        <is>
          <t>Лестница Л251</t>
        </is>
      </c>
      <c r="D48" s="346" t="inlineStr">
        <is>
          <t>шт</t>
        </is>
      </c>
      <c r="E48" s="356" t="n">
        <v>2</v>
      </c>
      <c r="F48" s="357" t="n">
        <v>269.34</v>
      </c>
      <c r="G48" s="228">
        <f>ROUND(E48*F48,2)</f>
        <v/>
      </c>
      <c r="H48" s="231">
        <f>G48/$G$66</f>
        <v/>
      </c>
      <c r="I48" s="228">
        <f>ROUND(F48*'Прил. 10'!$D$13,2)</f>
        <v/>
      </c>
      <c r="J48" s="228">
        <f>ROUND(I48*E48,2)</f>
        <v/>
      </c>
    </row>
    <row r="49" outlineLevel="1" ht="14.25" customFormat="1" customHeight="1" s="318">
      <c r="A49" s="346" t="n">
        <v>20</v>
      </c>
      <c r="B49" s="346" t="inlineStr">
        <is>
          <t>Прайс из СД ОП</t>
        </is>
      </c>
      <c r="C49" s="355" t="inlineStr">
        <is>
          <t>Траверса  ТВ250</t>
        </is>
      </c>
      <c r="D49" s="346" t="inlineStr">
        <is>
          <t>шт</t>
        </is>
      </c>
      <c r="E49" s="356" t="n">
        <v>2</v>
      </c>
      <c r="F49" s="357" t="n">
        <v>259.53</v>
      </c>
      <c r="G49" s="228">
        <f>ROUND(E49*F49,2)</f>
        <v/>
      </c>
      <c r="H49" s="231">
        <f>G49/$G$66</f>
        <v/>
      </c>
      <c r="I49" s="228">
        <f>ROUND(F49*'Прил. 10'!$D$13,2)</f>
        <v/>
      </c>
      <c r="J49" s="228">
        <f>ROUND(I49*E49,2)</f>
        <v/>
      </c>
    </row>
    <row r="50" outlineLevel="1" ht="14.25" customFormat="1" customHeight="1" s="318">
      <c r="A50" s="346" t="n">
        <v>21</v>
      </c>
      <c r="B50" s="346" t="inlineStr">
        <is>
          <t>Прайс из СД ОП</t>
        </is>
      </c>
      <c r="C50" s="355" t="inlineStr">
        <is>
          <t>Болт специальный Б250</t>
        </is>
      </c>
      <c r="D50" s="346" t="inlineStr">
        <is>
          <t>шт</t>
        </is>
      </c>
      <c r="E50" s="356" t="n">
        <v>4</v>
      </c>
      <c r="F50" s="357" t="n">
        <v>57.59</v>
      </c>
      <c r="G50" s="228">
        <f>ROUND(E50*F50,2)</f>
        <v/>
      </c>
      <c r="H50" s="231">
        <f>G50/$G$66</f>
        <v/>
      </c>
      <c r="I50" s="228">
        <f>ROUND(F50*'Прил. 10'!$D$13,2)</f>
        <v/>
      </c>
      <c r="J50" s="228">
        <f>ROUND(I50*E50,2)</f>
        <v/>
      </c>
    </row>
    <row r="51" outlineLevel="1" ht="14.25" customFormat="1" customHeight="1" s="318">
      <c r="A51" s="346" t="n">
        <v>22</v>
      </c>
      <c r="B51" s="346" t="inlineStr">
        <is>
          <t>Прайс из СД ОП</t>
        </is>
      </c>
      <c r="C51" s="355" t="inlineStr">
        <is>
          <t>Лестница Л 250</t>
        </is>
      </c>
      <c r="D51" s="346" t="inlineStr">
        <is>
          <t>шт</t>
        </is>
      </c>
      <c r="E51" s="356" t="n">
        <v>2</v>
      </c>
      <c r="F51" s="357" t="n">
        <v>78.20999999999999</v>
      </c>
      <c r="G51" s="228">
        <f>ROUND(E51*F51,2)</f>
        <v/>
      </c>
      <c r="H51" s="231">
        <f>G51/$G$66</f>
        <v/>
      </c>
      <c r="I51" s="228">
        <f>ROUND(F51*'Прил. 10'!$D$13,2)</f>
        <v/>
      </c>
      <c r="J51" s="228">
        <f>ROUND(I51*E51,2)</f>
        <v/>
      </c>
    </row>
    <row r="52" outlineLevel="1" ht="14.25" customFormat="1" customHeight="1" s="318">
      <c r="A52" s="346" t="n">
        <v>23</v>
      </c>
      <c r="B52" s="346" t="inlineStr">
        <is>
          <t>Прайс из СД ОП</t>
        </is>
      </c>
      <c r="C52" s="355" t="inlineStr">
        <is>
          <t>Полухомут для крепления лестницы Х275</t>
        </is>
      </c>
      <c r="D52" s="346" t="inlineStr">
        <is>
          <t>шт</t>
        </is>
      </c>
      <c r="E52" s="356" t="n">
        <v>4</v>
      </c>
      <c r="F52" s="357" t="n">
        <v>33.85</v>
      </c>
      <c r="G52" s="228">
        <f>ROUND(E52*F52,2)</f>
        <v/>
      </c>
      <c r="H52" s="231">
        <f>G52/$G$66</f>
        <v/>
      </c>
      <c r="I52" s="228">
        <f>ROUND(F52*'Прил. 10'!$D$13,2)</f>
        <v/>
      </c>
      <c r="J52" s="228">
        <f>ROUND(I52*E52,2)</f>
        <v/>
      </c>
    </row>
    <row r="53" outlineLevel="1" ht="14.25" customFormat="1" customHeight="1" s="318">
      <c r="A53" s="346" t="n">
        <v>24</v>
      </c>
      <c r="B53" s="346" t="inlineStr">
        <is>
          <t>Прайс из СД ОП</t>
        </is>
      </c>
      <c r="C53" s="355" t="inlineStr">
        <is>
          <t>Полухомут для крепления лестницы Х281</t>
        </is>
      </c>
      <c r="D53" s="346" t="inlineStr">
        <is>
          <t>шт</t>
        </is>
      </c>
      <c r="E53" s="356" t="n">
        <v>4</v>
      </c>
      <c r="F53" s="357" t="n">
        <v>32.42</v>
      </c>
      <c r="G53" s="228">
        <f>ROUND(E53*F53,2)</f>
        <v/>
      </c>
      <c r="H53" s="231">
        <f>G53/$G$66</f>
        <v/>
      </c>
      <c r="I53" s="228">
        <f>ROUND(F53*'Прил. 10'!$D$13,2)</f>
        <v/>
      </c>
      <c r="J53" s="228">
        <f>ROUND(I53*E53,2)</f>
        <v/>
      </c>
    </row>
    <row r="54" outlineLevel="1" ht="14.25" customFormat="1" customHeight="1" s="318">
      <c r="A54" s="346" t="n">
        <v>25</v>
      </c>
      <c r="B54" s="346" t="inlineStr">
        <is>
          <t>Прайс из СД ОП</t>
        </is>
      </c>
      <c r="C54" s="355" t="inlineStr">
        <is>
          <t>Болт специальный  Б252</t>
        </is>
      </c>
      <c r="D54" s="346" t="inlineStr">
        <is>
          <t>шт</t>
        </is>
      </c>
      <c r="E54" s="356" t="n">
        <v>2</v>
      </c>
      <c r="F54" s="357" t="n">
        <v>61.29</v>
      </c>
      <c r="G54" s="228">
        <f>ROUND(E54*F54,2)</f>
        <v/>
      </c>
      <c r="H54" s="231">
        <f>G54/$G$66</f>
        <v/>
      </c>
      <c r="I54" s="228">
        <f>ROUND(F54*'Прил. 10'!$D$13,2)</f>
        <v/>
      </c>
      <c r="J54" s="228">
        <f>ROUND(I54*E54,2)</f>
        <v/>
      </c>
    </row>
    <row r="55" outlineLevel="1" ht="14.25" customFormat="1" customHeight="1" s="318">
      <c r="A55" s="346" t="n">
        <v>26</v>
      </c>
      <c r="B55" s="346" t="inlineStr">
        <is>
          <t>Прайс из СД ОП</t>
        </is>
      </c>
      <c r="C55" s="355" t="inlineStr">
        <is>
          <t>Болт специальный  Б251</t>
        </is>
      </c>
      <c r="D55" s="346" t="inlineStr">
        <is>
          <t>шт</t>
        </is>
      </c>
      <c r="E55" s="356" t="n">
        <v>2</v>
      </c>
      <c r="F55" s="357" t="n">
        <v>59.73</v>
      </c>
      <c r="G55" s="228">
        <f>ROUND(E55*F55,2)</f>
        <v/>
      </c>
      <c r="H55" s="231">
        <f>G55/$G$66</f>
        <v/>
      </c>
      <c r="I55" s="228">
        <f>ROUND(F55*'Прил. 10'!$D$13,2)</f>
        <v/>
      </c>
      <c r="J55" s="228">
        <f>ROUND(I55*E55,2)</f>
        <v/>
      </c>
    </row>
    <row r="56" outlineLevel="1" ht="14.25" customFormat="1" customHeight="1" s="318">
      <c r="A56" s="346" t="n">
        <v>27</v>
      </c>
      <c r="B56" s="346" t="inlineStr">
        <is>
          <t>Прайс из СД ОП</t>
        </is>
      </c>
      <c r="C56" s="355" t="inlineStr">
        <is>
          <t>Полухомут для крепления лестницы Х280</t>
        </is>
      </c>
      <c r="D56" s="346" t="inlineStr">
        <is>
          <t>шт</t>
        </is>
      </c>
      <c r="E56" s="356" t="n">
        <v>2</v>
      </c>
      <c r="F56" s="357" t="n">
        <v>39.82</v>
      </c>
      <c r="G56" s="228">
        <f>ROUND(E56*F56,2)</f>
        <v/>
      </c>
      <c r="H56" s="231">
        <f>G56/$G$66</f>
        <v/>
      </c>
      <c r="I56" s="228">
        <f>ROUND(F56*'Прил. 10'!$D$13,2)</f>
        <v/>
      </c>
      <c r="J56" s="228">
        <f>ROUND(I56*E56,2)</f>
        <v/>
      </c>
    </row>
    <row r="57" outlineLevel="1" ht="14.25" customFormat="1" customHeight="1" s="318">
      <c r="A57" s="346" t="n">
        <v>28</v>
      </c>
      <c r="B57" s="346" t="inlineStr">
        <is>
          <t>Прайс из СД ОП</t>
        </is>
      </c>
      <c r="C57" s="355" t="inlineStr">
        <is>
          <t>Полухомут для крепления лестницы Х272</t>
        </is>
      </c>
      <c r="D57" s="346" t="inlineStr">
        <is>
          <t>шт</t>
        </is>
      </c>
      <c r="E57" s="356" t="n">
        <v>2</v>
      </c>
      <c r="F57" s="357" t="n">
        <v>32.57</v>
      </c>
      <c r="G57" s="228">
        <f>ROUND(E57*F57,2)</f>
        <v/>
      </c>
      <c r="H57" s="231">
        <f>G57/$G$66</f>
        <v/>
      </c>
      <c r="I57" s="228">
        <f>ROUND(F57*'Прил. 10'!$D$13,2)</f>
        <v/>
      </c>
      <c r="J57" s="228">
        <f>ROUND(I57*E57,2)</f>
        <v/>
      </c>
    </row>
    <row r="58" outlineLevel="1" ht="14.25" customFormat="1" customHeight="1" s="318">
      <c r="A58" s="346" t="n">
        <v>29</v>
      </c>
      <c r="B58" s="346" t="inlineStr">
        <is>
          <t>Прайс из СД ОП</t>
        </is>
      </c>
      <c r="C58" s="355" t="inlineStr">
        <is>
          <t>Полухомут для крепления лестницы Х274</t>
        </is>
      </c>
      <c r="D58" s="346" t="inlineStr">
        <is>
          <t>шт</t>
        </is>
      </c>
      <c r="E58" s="356" t="n">
        <v>2</v>
      </c>
      <c r="F58" s="357" t="n">
        <v>32.42</v>
      </c>
      <c r="G58" s="228">
        <f>ROUND(E58*F58,2)</f>
        <v/>
      </c>
      <c r="H58" s="231">
        <f>G58/$G$66</f>
        <v/>
      </c>
      <c r="I58" s="228">
        <f>ROUND(F58*'Прил. 10'!$D$13,2)</f>
        <v/>
      </c>
      <c r="J58" s="228">
        <f>ROUND(I58*E58,2)</f>
        <v/>
      </c>
    </row>
    <row r="59" outlineLevel="1" ht="14.25" customFormat="1" customHeight="1" s="318">
      <c r="A59" s="346" t="n">
        <v>30</v>
      </c>
      <c r="B59" s="346" t="inlineStr">
        <is>
          <t>Прайс из СД ОП</t>
        </is>
      </c>
      <c r="C59" s="355" t="inlineStr">
        <is>
          <t>Полухомут для крепления лестницы Х278</t>
        </is>
      </c>
      <c r="D59" s="346" t="inlineStr">
        <is>
          <t>шт</t>
        </is>
      </c>
      <c r="E59" s="356" t="n">
        <v>2</v>
      </c>
      <c r="F59" s="357" t="n">
        <v>31.43</v>
      </c>
      <c r="G59" s="228">
        <f>ROUND(E59*F59,2)</f>
        <v/>
      </c>
      <c r="H59" s="231">
        <f>G59/$G$66</f>
        <v/>
      </c>
      <c r="I59" s="228">
        <f>ROUND(F59*'Прил. 10'!$D$13,2)</f>
        <v/>
      </c>
      <c r="J59" s="228">
        <f>ROUND(I59*E59,2)</f>
        <v/>
      </c>
    </row>
    <row r="60" outlineLevel="1" ht="14.25" customFormat="1" customHeight="1" s="318">
      <c r="A60" s="346" t="n">
        <v>31</v>
      </c>
      <c r="B60" s="346" t="inlineStr">
        <is>
          <t>14.2.01.05-0003</t>
        </is>
      </c>
      <c r="C60" s="355" t="inlineStr">
        <is>
          <t>Композиция цинконаполненная</t>
        </is>
      </c>
      <c r="D60" s="346" t="inlineStr">
        <is>
          <t>кг</t>
        </is>
      </c>
      <c r="E60" s="356" t="n">
        <v>1.2</v>
      </c>
      <c r="F60" s="357" t="n">
        <v>114.42</v>
      </c>
      <c r="G60" s="228">
        <f>ROUND(E60*F60,2)</f>
        <v/>
      </c>
      <c r="H60" s="231">
        <f>G60/$G$66</f>
        <v/>
      </c>
      <c r="I60" s="228">
        <f>ROUND(F60*'Прил. 10'!$D$13,2)</f>
        <v/>
      </c>
      <c r="J60" s="228">
        <f>ROUND(I60*E60,2)</f>
        <v/>
      </c>
    </row>
    <row r="61" outlineLevel="1" ht="25.5" customFormat="1" customHeight="1" s="318">
      <c r="A61" s="346" t="n">
        <v>32</v>
      </c>
      <c r="B61" s="346" t="inlineStr">
        <is>
          <t>14.2.01.05-0001</t>
        </is>
      </c>
      <c r="C61" s="355" t="inlineStr">
        <is>
          <t>Композиция на основе термопластичных полимеров</t>
        </is>
      </c>
      <c r="D61" s="346" t="inlineStr">
        <is>
          <t>кг</t>
        </is>
      </c>
      <c r="E61" s="356" t="n">
        <v>1.2</v>
      </c>
      <c r="F61" s="357" t="n">
        <v>54.99</v>
      </c>
      <c r="G61" s="228">
        <f>ROUND(E61*F61,2)</f>
        <v/>
      </c>
      <c r="H61" s="231">
        <f>G61/$G$66</f>
        <v/>
      </c>
      <c r="I61" s="228">
        <f>ROUND(F61*'Прил. 10'!$D$13,2)</f>
        <v/>
      </c>
      <c r="J61" s="228">
        <f>ROUND(I61*E61,2)</f>
        <v/>
      </c>
    </row>
    <row r="62" outlineLevel="1" ht="25.5" customFormat="1" customHeight="1" s="318">
      <c r="A62" s="346" t="n">
        <v>33</v>
      </c>
      <c r="B62" s="346" t="inlineStr">
        <is>
          <t>08.4.03.02-0004</t>
        </is>
      </c>
      <c r="C62" s="355" t="inlineStr">
        <is>
          <t>Сталь арматурная, горячекатаная, гладкая, класс А-I, диаметр 12 мм</t>
        </is>
      </c>
      <c r="D62" s="346" t="inlineStr">
        <is>
          <t>т</t>
        </is>
      </c>
      <c r="E62" s="356" t="n">
        <v>0.0095</v>
      </c>
      <c r="F62" s="357" t="n">
        <v>6508.75</v>
      </c>
      <c r="G62" s="228">
        <f>ROUND(E62*F62,2)</f>
        <v/>
      </c>
      <c r="H62" s="231">
        <f>G62/$G$66</f>
        <v/>
      </c>
      <c r="I62" s="228">
        <f>ROUND(F62*'Прил. 10'!$D$13,2)</f>
        <v/>
      </c>
      <c r="J62" s="228">
        <f>ROUND(I62*E62,2)</f>
        <v/>
      </c>
    </row>
    <row r="63" outlineLevel="1" ht="14.25" customFormat="1" customHeight="1" s="318">
      <c r="A63" s="346" t="n">
        <v>34</v>
      </c>
      <c r="B63" s="346" t="inlineStr">
        <is>
          <t>01.7.11.07-0032</t>
        </is>
      </c>
      <c r="C63" s="355" t="inlineStr">
        <is>
          <t>Электроды сварочные Э42, диаметр 4 мм</t>
        </is>
      </c>
      <c r="D63" s="346" t="inlineStr">
        <is>
          <t>т</t>
        </is>
      </c>
      <c r="E63" s="356" t="n">
        <v>0.000475</v>
      </c>
      <c r="F63" s="357" t="n">
        <v>10315.01</v>
      </c>
      <c r="G63" s="228">
        <f>ROUND(E63*F63,2)</f>
        <v/>
      </c>
      <c r="H63" s="231">
        <f>G63/$G$66</f>
        <v/>
      </c>
      <c r="I63" s="228">
        <f>ROUND(F63*'Прил. 10'!$D$13,2)</f>
        <v/>
      </c>
      <c r="J63" s="228">
        <f>ROUND(I63*E63,2)</f>
        <v/>
      </c>
    </row>
    <row r="64" outlineLevel="1" ht="14.25" customFormat="1" customHeight="1" s="318">
      <c r="A64" s="346" t="n">
        <v>35</v>
      </c>
      <c r="B64" s="346" t="inlineStr">
        <is>
          <t>14.5.09.07-0030</t>
        </is>
      </c>
      <c r="C64" s="355" t="inlineStr">
        <is>
          <t>Растворитель Р-4</t>
        </is>
      </c>
      <c r="D64" s="346" t="inlineStr">
        <is>
          <t>кг</t>
        </is>
      </c>
      <c r="E64" s="356" t="n">
        <v>0.12</v>
      </c>
      <c r="F64" s="357" t="n">
        <v>9.42</v>
      </c>
      <c r="G64" s="228">
        <f>ROUND(E64*F64,2)</f>
        <v/>
      </c>
      <c r="H64" s="231">
        <f>G64/$G$66</f>
        <v/>
      </c>
      <c r="I64" s="228">
        <f>ROUND(F64*'Прил. 10'!$D$13,2)</f>
        <v/>
      </c>
      <c r="J64" s="228">
        <f>ROUND(I64*E64,2)</f>
        <v/>
      </c>
    </row>
    <row r="65" ht="14.25" customFormat="1" customHeight="1" s="318">
      <c r="A65" s="346" t="n"/>
      <c r="B65" s="346" t="n"/>
      <c r="C65" s="355" t="inlineStr">
        <is>
          <t>Итого прочие материалы</t>
        </is>
      </c>
      <c r="D65" s="346" t="n"/>
      <c r="E65" s="356" t="n"/>
      <c r="F65" s="357" t="n"/>
      <c r="G65" s="228">
        <f>SUM(G45:G64)</f>
        <v/>
      </c>
      <c r="H65" s="231">
        <f>G65/$G$66</f>
        <v/>
      </c>
      <c r="I65" s="228" t="n"/>
      <c r="J65" s="228">
        <f>SUM(J45:J64)</f>
        <v/>
      </c>
    </row>
    <row r="66" ht="14.25" customFormat="1" customHeight="1" s="318">
      <c r="A66" s="346" t="n"/>
      <c r="B66" s="346" t="n"/>
      <c r="C66" s="354" t="inlineStr">
        <is>
          <t>Итого по разделу «Материалы»</t>
        </is>
      </c>
      <c r="D66" s="346" t="n"/>
      <c r="E66" s="356" t="n"/>
      <c r="F66" s="357" t="n"/>
      <c r="G66" s="228">
        <f>G44+G65</f>
        <v/>
      </c>
      <c r="H66" s="358">
        <f>G66/$G$66</f>
        <v/>
      </c>
      <c r="I66" s="228" t="n"/>
      <c r="J66" s="228">
        <f>J44+J65</f>
        <v/>
      </c>
    </row>
    <row r="67" ht="14.25" customFormat="1" customHeight="1" s="318">
      <c r="A67" s="346" t="n"/>
      <c r="B67" s="346" t="n"/>
      <c r="C67" s="355" t="inlineStr">
        <is>
          <t>ИТОГО ПО РМ</t>
        </is>
      </c>
      <c r="D67" s="346" t="n"/>
      <c r="E67" s="356" t="n"/>
      <c r="F67" s="357" t="n"/>
      <c r="G67" s="228">
        <f>G15+G33+G66</f>
        <v/>
      </c>
      <c r="H67" s="358" t="n"/>
      <c r="I67" s="228" t="n"/>
      <c r="J67" s="228">
        <f>J15+J33+J66</f>
        <v/>
      </c>
    </row>
    <row r="68" ht="14.25" customFormat="1" customHeight="1" s="318">
      <c r="A68" s="346" t="n"/>
      <c r="B68" s="346" t="n"/>
      <c r="C68" s="355" t="inlineStr">
        <is>
          <t>Накладные расходы</t>
        </is>
      </c>
      <c r="D68" s="220" t="n">
        <v>1.03</v>
      </c>
      <c r="E68" s="356" t="n"/>
      <c r="F68" s="357" t="n"/>
      <c r="G68" s="228" t="n">
        <v>11994.85</v>
      </c>
      <c r="H68" s="358" t="n"/>
      <c r="I68" s="228" t="n"/>
      <c r="J68" s="228">
        <f>ROUND(D68*(J15+J17),2)</f>
        <v/>
      </c>
    </row>
    <row r="69" ht="14.25" customFormat="1" customHeight="1" s="318">
      <c r="A69" s="346" t="n"/>
      <c r="B69" s="346" t="n"/>
      <c r="C69" s="355" t="inlineStr">
        <is>
          <t>Сметная прибыль</t>
        </is>
      </c>
      <c r="D69" s="220" t="n">
        <v>0.6</v>
      </c>
      <c r="E69" s="356" t="n"/>
      <c r="F69" s="357" t="n"/>
      <c r="G69" s="228" t="n">
        <v>6987.2</v>
      </c>
      <c r="H69" s="358" t="n"/>
      <c r="I69" s="228" t="n"/>
      <c r="J69" s="228">
        <f>ROUND(D69*(J15+J17),2)</f>
        <v/>
      </c>
    </row>
    <row r="70" ht="14.25" customFormat="1" customHeight="1" s="318">
      <c r="A70" s="346" t="n"/>
      <c r="B70" s="346" t="n"/>
      <c r="C70" s="355" t="inlineStr">
        <is>
          <t>Итого СМР (с НР и СП)</t>
        </is>
      </c>
      <c r="D70" s="346" t="n"/>
      <c r="E70" s="356" t="n"/>
      <c r="F70" s="357" t="n"/>
      <c r="G70" s="228">
        <f>G15+G33+G66+G68+G69</f>
        <v/>
      </c>
      <c r="H70" s="358" t="n"/>
      <c r="I70" s="228" t="n"/>
      <c r="J70" s="228">
        <f>J15+J33+J66+J68+J69</f>
        <v/>
      </c>
    </row>
    <row r="71" ht="14.25" customFormat="1" customHeight="1" s="318">
      <c r="A71" s="346" t="n"/>
      <c r="B71" s="346" t="n"/>
      <c r="C71" s="355" t="inlineStr">
        <is>
          <t>ВСЕГО СМР + ОБОРУДОВАНИЕ</t>
        </is>
      </c>
      <c r="D71" s="346" t="n"/>
      <c r="E71" s="356" t="n"/>
      <c r="F71" s="357" t="n"/>
      <c r="G71" s="228">
        <f>G70+G38</f>
        <v/>
      </c>
      <c r="H71" s="358" t="n"/>
      <c r="I71" s="228" t="n"/>
      <c r="J71" s="228">
        <f>J70+J38</f>
        <v/>
      </c>
    </row>
    <row r="72" ht="34.5" customFormat="1" customHeight="1" s="318">
      <c r="A72" s="346" t="n"/>
      <c r="B72" s="346" t="n"/>
      <c r="C72" s="355" t="inlineStr">
        <is>
          <t>ИТОГО ПОКАЗАТЕЛЬ НА ЕД. ИЗМ.</t>
        </is>
      </c>
      <c r="D72" s="346" t="inlineStr">
        <is>
          <t>км</t>
        </is>
      </c>
      <c r="E72" s="295" t="n">
        <v>2.53</v>
      </c>
      <c r="F72" s="357" t="n"/>
      <c r="G72" s="228">
        <f>G71/E72</f>
        <v/>
      </c>
      <c r="H72" s="358" t="n"/>
      <c r="I72" s="228" t="n"/>
      <c r="J72" s="228">
        <f>J71/E72</f>
        <v/>
      </c>
    </row>
    <row r="74" ht="14.25" customFormat="1" customHeight="1" s="318">
      <c r="A74" s="317" t="inlineStr">
        <is>
          <t>Составил ______________________    А.П. Николаева</t>
        </is>
      </c>
    </row>
    <row r="75" ht="14.25" customFormat="1" customHeight="1" s="318">
      <c r="A75" s="320" t="inlineStr">
        <is>
          <t xml:space="preserve">                         (подпись, инициалы, фамилия)</t>
        </is>
      </c>
    </row>
    <row r="76" ht="14.25" customFormat="1" customHeight="1" s="318">
      <c r="A76" s="317" t="n"/>
    </row>
    <row r="77" ht="14.25" customFormat="1" customHeight="1" s="318">
      <c r="A77" s="317" t="inlineStr">
        <is>
          <t>Проверил ______________________        А.В. Костянецкая</t>
        </is>
      </c>
    </row>
    <row r="78" ht="14.25" customFormat="1" customHeight="1" s="318">
      <c r="A78" s="320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C10:C11"/>
    <mergeCell ref="H2:J2"/>
    <mergeCell ref="E10:E11"/>
    <mergeCell ref="B41:H4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4.4"/>
  <cols>
    <col width="5.6640625" customWidth="1" style="310" min="1" max="1"/>
    <col width="17.5546875" customWidth="1" style="310" min="2" max="2"/>
    <col width="39.109375" customWidth="1" style="310" min="3" max="3"/>
    <col width="10.6640625" customWidth="1" style="310" min="4" max="4"/>
    <col width="13.88671875" customWidth="1" style="310" min="5" max="5"/>
    <col width="13.33203125" customWidth="1" style="310" min="6" max="6"/>
    <col width="14.109375" customWidth="1" style="310" min="7" max="7"/>
  </cols>
  <sheetData>
    <row r="1">
      <c r="A1" s="363" t="inlineStr">
        <is>
          <t>Приложение №6</t>
        </is>
      </c>
    </row>
    <row r="2" ht="21.75" customHeight="1" s="310">
      <c r="A2" s="363" t="n"/>
      <c r="B2" s="363" t="n"/>
      <c r="C2" s="363" t="n"/>
      <c r="D2" s="363" t="n"/>
      <c r="E2" s="363" t="n"/>
      <c r="F2" s="363" t="n"/>
      <c r="G2" s="363" t="n"/>
    </row>
    <row r="3">
      <c r="A3" s="323" t="inlineStr">
        <is>
          <t>Расчет стоимости оборудования</t>
        </is>
      </c>
    </row>
    <row r="4" ht="25.5" customHeight="1" s="310">
      <c r="A4" s="326" t="inlineStr">
        <is>
          <t>Наименование разрабатываемого показателя УНЦ — Опоры ВЛ 0,4 - 750 кВ. Одноцепная, все типы опор за исключением многогранных 35 кВ.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" customHeight="1" s="310">
      <c r="A6" s="368" t="inlineStr">
        <is>
          <t>№ пп.</t>
        </is>
      </c>
      <c r="B6" s="368" t="inlineStr">
        <is>
          <t>Код ресурса</t>
        </is>
      </c>
      <c r="C6" s="368" t="inlineStr">
        <is>
          <t>Наименование</t>
        </is>
      </c>
      <c r="D6" s="368" t="inlineStr">
        <is>
          <t>Ед. изм.</t>
        </is>
      </c>
      <c r="E6" s="346" t="inlineStr">
        <is>
          <t>Кол-во единиц по проектным данным</t>
        </is>
      </c>
      <c r="F6" s="368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46" t="inlineStr">
        <is>
          <t>на ед. изм.</t>
        </is>
      </c>
      <c r="G7" s="346" t="inlineStr">
        <is>
          <t>общая</t>
        </is>
      </c>
    </row>
    <row r="8">
      <c r="A8" s="346" t="n">
        <v>1</v>
      </c>
      <c r="B8" s="346" t="n">
        <v>2</v>
      </c>
      <c r="C8" s="346" t="n">
        <v>3</v>
      </c>
      <c r="D8" s="346" t="n">
        <v>4</v>
      </c>
      <c r="E8" s="346" t="n">
        <v>5</v>
      </c>
      <c r="F8" s="346" t="n">
        <v>6</v>
      </c>
      <c r="G8" s="346" t="n">
        <v>7</v>
      </c>
    </row>
    <row r="9" ht="15" customHeight="1" s="310">
      <c r="A9" s="282" t="n"/>
      <c r="B9" s="355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310">
      <c r="A10" s="346" t="n"/>
      <c r="B10" s="354" t="n"/>
      <c r="C10" s="355" t="inlineStr">
        <is>
          <t>ИТОГО ИНЖЕНЕРНОЕ ОБОРУДОВАНИЕ</t>
        </is>
      </c>
      <c r="D10" s="354" t="n"/>
      <c r="E10" s="148" t="n"/>
      <c r="F10" s="357" t="n"/>
      <c r="G10" s="357" t="n">
        <v>0</v>
      </c>
    </row>
    <row r="11">
      <c r="A11" s="346" t="n"/>
      <c r="B11" s="355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>
      <c r="A12" s="346" t="n">
        <v>1</v>
      </c>
      <c r="B12" s="355" t="n"/>
      <c r="C12" s="355" t="n"/>
      <c r="D12" s="346" t="n"/>
      <c r="E12" s="346" t="n"/>
      <c r="F12" s="357" t="n"/>
      <c r="G12" s="228" t="n"/>
    </row>
    <row r="13" ht="25.5" customHeight="1" s="310">
      <c r="A13" s="346" t="n"/>
      <c r="B13" s="355" t="n"/>
      <c r="C13" s="355" t="inlineStr">
        <is>
          <t>ИТОГО ТЕХНОЛОГИЧЕСКОЕ ОБОРУДОВАНИЕ</t>
        </is>
      </c>
      <c r="D13" s="355" t="n"/>
      <c r="E13" s="367" t="n"/>
      <c r="F13" s="357" t="n"/>
      <c r="G13" s="228">
        <f>SUM(G12:G12)</f>
        <v/>
      </c>
    </row>
    <row r="14" ht="19.5" customHeight="1" s="310">
      <c r="A14" s="346" t="n"/>
      <c r="B14" s="355" t="n"/>
      <c r="C14" s="355" t="inlineStr">
        <is>
          <t>Всего по разделу «Оборудование»</t>
        </is>
      </c>
      <c r="D14" s="355" t="n"/>
      <c r="E14" s="367" t="n"/>
      <c r="F14" s="357" t="n"/>
      <c r="G14" s="228">
        <f>G10+G13</f>
        <v/>
      </c>
    </row>
    <row r="15">
      <c r="A15" s="319" t="n"/>
      <c r="B15" s="151" t="n"/>
      <c r="C15" s="319" t="n"/>
      <c r="D15" s="319" t="n"/>
      <c r="E15" s="319" t="n"/>
      <c r="F15" s="319" t="n"/>
      <c r="G15" s="319" t="n"/>
    </row>
    <row r="16">
      <c r="A16" s="317" t="inlineStr">
        <is>
          <t>Составил ______________________    А.П. Николаева</t>
        </is>
      </c>
      <c r="B16" s="318" t="n"/>
      <c r="C16" s="318" t="n"/>
      <c r="D16" s="319" t="n"/>
      <c r="E16" s="319" t="n"/>
      <c r="F16" s="319" t="n"/>
      <c r="G16" s="319" t="n"/>
    </row>
    <row r="17">
      <c r="A17" s="320" t="inlineStr">
        <is>
          <t xml:space="preserve">                         (подпись, инициалы, фамилия)</t>
        </is>
      </c>
      <c r="B17" s="318" t="n"/>
      <c r="C17" s="318" t="n"/>
      <c r="D17" s="319" t="n"/>
      <c r="E17" s="319" t="n"/>
      <c r="F17" s="319" t="n"/>
      <c r="G17" s="319" t="n"/>
    </row>
    <row r="18">
      <c r="A18" s="317" t="n"/>
      <c r="B18" s="318" t="n"/>
      <c r="C18" s="318" t="n"/>
      <c r="D18" s="319" t="n"/>
      <c r="E18" s="319" t="n"/>
      <c r="F18" s="319" t="n"/>
      <c r="G18" s="319" t="n"/>
    </row>
    <row r="19">
      <c r="A19" s="317" t="inlineStr">
        <is>
          <t>Проверил ______________________        А.В. Костянецкая</t>
        </is>
      </c>
      <c r="B19" s="318" t="n"/>
      <c r="C19" s="318" t="n"/>
      <c r="D19" s="319" t="n"/>
      <c r="E19" s="319" t="n"/>
      <c r="F19" s="319" t="n"/>
      <c r="G19" s="319" t="n"/>
    </row>
    <row r="20">
      <c r="A20" s="320" t="inlineStr">
        <is>
          <t xml:space="preserve">                        (подпись, инициалы, фамилия)</t>
        </is>
      </c>
      <c r="B20" s="318" t="n"/>
      <c r="C20" s="318" t="n"/>
      <c r="D20" s="319" t="n"/>
      <c r="E20" s="319" t="n"/>
      <c r="F20" s="319" t="n"/>
      <c r="G20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10" min="1" max="1"/>
    <col width="22.44140625" customWidth="1" style="310" min="2" max="2"/>
    <col width="37.109375" customWidth="1" style="310" min="3" max="3"/>
    <col width="49" customWidth="1" style="310" min="4" max="4"/>
    <col width="9.109375" customWidth="1" style="310" min="5" max="5"/>
  </cols>
  <sheetData>
    <row r="1" ht="15.75" customHeight="1" s="310">
      <c r="A1" s="313" t="n"/>
      <c r="B1" s="313" t="n"/>
      <c r="C1" s="313" t="n"/>
      <c r="D1" s="313" t="inlineStr">
        <is>
          <t>Приложение №7</t>
        </is>
      </c>
    </row>
    <row r="2" ht="15.75" customHeight="1" s="310">
      <c r="A2" s="313" t="n"/>
      <c r="B2" s="313" t="n"/>
      <c r="C2" s="313" t="n"/>
      <c r="D2" s="313" t="n"/>
    </row>
    <row r="3" ht="15.75" customHeight="1" s="310">
      <c r="A3" s="313" t="n"/>
      <c r="B3" s="311" t="inlineStr">
        <is>
          <t>Расчет показателя УНЦ</t>
        </is>
      </c>
      <c r="C3" s="313" t="n"/>
      <c r="D3" s="313" t="n"/>
    </row>
    <row r="4" ht="15.75" customHeight="1" s="310">
      <c r="A4" s="313" t="n"/>
      <c r="B4" s="313" t="n"/>
      <c r="C4" s="313" t="n"/>
      <c r="D4" s="313" t="n"/>
    </row>
    <row r="5" ht="31.5" customHeight="1" s="310">
      <c r="A5" s="369" t="inlineStr">
        <is>
          <t xml:space="preserve">Наименование разрабатываемого показателя УНЦ - </t>
        </is>
      </c>
      <c r="D5" s="369">
        <f>'Прил.5 Расчет СМР и ОБ'!D6:J6</f>
        <v/>
      </c>
    </row>
    <row r="6" ht="15.75" customHeight="1" s="310">
      <c r="A6" s="313" t="inlineStr">
        <is>
          <t>Единица измерения  — 1 км</t>
        </is>
      </c>
      <c r="B6" s="313" t="n"/>
      <c r="C6" s="313" t="n"/>
      <c r="D6" s="313" t="n"/>
    </row>
    <row r="7" ht="15.75" customHeight="1" s="310">
      <c r="A7" s="313" t="n"/>
      <c r="B7" s="313" t="n"/>
      <c r="C7" s="313" t="n"/>
      <c r="D7" s="313" t="n"/>
    </row>
    <row r="8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>
      <c r="A9" s="417" t="n"/>
      <c r="B9" s="417" t="n"/>
      <c r="C9" s="417" t="n"/>
      <c r="D9" s="417" t="n"/>
    </row>
    <row r="10" ht="15.75" customHeight="1" s="310">
      <c r="A10" s="338" t="n">
        <v>1</v>
      </c>
      <c r="B10" s="338" t="n">
        <v>2</v>
      </c>
      <c r="C10" s="338" t="n">
        <v>3</v>
      </c>
      <c r="D10" s="338" t="n">
        <v>4</v>
      </c>
    </row>
    <row r="11" ht="47.25" customHeight="1" s="310">
      <c r="A11" s="338" t="inlineStr">
        <is>
          <t>Л3-03-1</t>
        </is>
      </c>
      <c r="B11" s="338" t="inlineStr">
        <is>
          <t xml:space="preserve">УНЦ опор ВЛ 0,4 - 750 кВ </t>
        </is>
      </c>
      <c r="C11" s="315">
        <f>D5</f>
        <v/>
      </c>
      <c r="D11" s="316">
        <f>'Прил.4 РМ'!C41/1000</f>
        <v/>
      </c>
    </row>
    <row r="13">
      <c r="A13" s="317" t="inlineStr">
        <is>
          <t>Составил ______________________    А.П. Николаева</t>
        </is>
      </c>
      <c r="B13" s="318" t="n"/>
      <c r="C13" s="318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18" t="n"/>
      <c r="C14" s="318" t="n"/>
      <c r="D14" s="319" t="n"/>
    </row>
    <row r="15">
      <c r="A15" s="317" t="n"/>
      <c r="B15" s="318" t="n"/>
      <c r="C15" s="318" t="n"/>
      <c r="D15" s="319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19" t="n"/>
    </row>
    <row r="17" ht="20.25" customHeight="1" s="310">
      <c r="A17" s="320" t="inlineStr">
        <is>
          <t xml:space="preserve">                        (подпись, инициалы, фамилия)</t>
        </is>
      </c>
      <c r="B17" s="318" t="n"/>
      <c r="C17" s="318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4.4"/>
  <cols>
    <col width="9.109375" customWidth="1" style="310" min="1" max="1"/>
    <col width="40.6640625" customWidth="1" style="310" min="2" max="2"/>
    <col width="37" customWidth="1" style="310" min="3" max="3"/>
    <col width="32" customWidth="1" style="310" min="4" max="4"/>
    <col width="9.109375" customWidth="1" style="310" min="5" max="5"/>
  </cols>
  <sheetData>
    <row r="4" ht="15.75" customHeight="1" s="310">
      <c r="B4" s="330" t="inlineStr">
        <is>
          <t>Приложение № 10</t>
        </is>
      </c>
    </row>
    <row r="5" ht="18.75" customHeight="1" s="310">
      <c r="B5" s="189" t="n"/>
    </row>
    <row r="6" ht="15.75" customHeight="1" s="310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70" t="n"/>
    </row>
    <row r="8">
      <c r="B8" s="370" t="n"/>
      <c r="C8" s="370" t="n"/>
      <c r="D8" s="370" t="n"/>
      <c r="E8" s="370" t="n"/>
    </row>
    <row r="9" ht="47.25" customHeight="1" s="310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310">
      <c r="B10" s="338" t="n">
        <v>1</v>
      </c>
      <c r="C10" s="338" t="n">
        <v>2</v>
      </c>
      <c r="D10" s="338" t="n">
        <v>3</v>
      </c>
    </row>
    <row r="11" ht="45" customHeight="1" s="310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01.04.2023г. №17772-ИФ/09 прил.9</t>
        </is>
      </c>
      <c r="D11" s="338" t="n">
        <v>46.83</v>
      </c>
    </row>
    <row r="12" ht="29.25" customHeight="1" s="310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01.04.2023г. №17772-ИФ/09 прил.9</t>
        </is>
      </c>
      <c r="D12" s="338" t="n">
        <v>11.96</v>
      </c>
    </row>
    <row r="13" ht="29.25" customHeight="1" s="310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01.04.2023г. №17772-ИФ/09 прил.9</t>
        </is>
      </c>
      <c r="D13" s="338" t="n">
        <v>9.84</v>
      </c>
    </row>
    <row r="14" ht="30.75" customHeight="1" s="310">
      <c r="B14" s="33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38" t="n">
        <v>6.26</v>
      </c>
    </row>
    <row r="15" ht="89.25" customHeight="1" s="310">
      <c r="B15" s="338" t="inlineStr">
        <is>
          <t>Временные здания и сооружения</t>
        </is>
      </c>
      <c r="C15" s="33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0.033</v>
      </c>
    </row>
    <row r="16" ht="78.75" customHeight="1" s="310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</v>
      </c>
    </row>
    <row r="17" ht="34.5" customHeight="1" s="310">
      <c r="B17" s="338" t="inlineStr">
        <is>
          <t>Пусконаладочные работы</t>
        </is>
      </c>
      <c r="C17" s="338" t="n"/>
      <c r="D17" s="338" t="inlineStr">
        <is>
          <t>Расчёт</t>
        </is>
      </c>
    </row>
    <row r="18" ht="31.5" customHeight="1" s="310">
      <c r="B18" s="338" t="inlineStr">
        <is>
          <t>Строительный контроль</t>
        </is>
      </c>
      <c r="C18" s="338" t="inlineStr">
        <is>
          <t>Постановление Правительства РФ от 21.06.10 г. № 468</t>
        </is>
      </c>
      <c r="D18" s="192" t="n">
        <v>0.0214</v>
      </c>
    </row>
    <row r="19" ht="31.5" customHeight="1" s="310">
      <c r="B19" s="338" t="inlineStr">
        <is>
          <t>Авторский надзор - 0,2%</t>
        </is>
      </c>
      <c r="C19" s="338" t="inlineStr">
        <is>
          <t>Приказ от 4.08.2020 № 421/пр п.173</t>
        </is>
      </c>
      <c r="D19" s="192" t="n">
        <v>0.002</v>
      </c>
    </row>
    <row r="20" ht="24" customHeight="1" s="310">
      <c r="B20" s="338" t="inlineStr">
        <is>
          <t>Непредвиденные расходы</t>
        </is>
      </c>
      <c r="C20" s="338" t="inlineStr">
        <is>
          <t>Приказ от 4.08.2020 № 421/пр п.179</t>
        </is>
      </c>
      <c r="D20" s="192" t="n">
        <v>0.03</v>
      </c>
    </row>
    <row r="21" ht="18.75" customHeight="1" s="310">
      <c r="B21" s="190" t="n"/>
    </row>
    <row r="22" ht="18.75" customHeight="1" s="310">
      <c r="B22" s="190" t="n"/>
    </row>
    <row r="23" ht="18.75" customHeight="1" s="310">
      <c r="B23" s="190" t="n"/>
    </row>
    <row r="24" ht="18.75" customHeight="1" s="310">
      <c r="B24" s="190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20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20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21" sqref="D21"/>
    </sheetView>
  </sheetViews>
  <sheetFormatPr baseColWidth="8" defaultRowHeight="14.4"/>
  <cols>
    <col width="9.109375" customWidth="1" style="310" min="1" max="1"/>
    <col width="44.88671875" customWidth="1" style="310" min="2" max="2"/>
    <col width="13" customWidth="1" style="310" min="3" max="3"/>
    <col width="22.88671875" customWidth="1" style="310" min="4" max="4"/>
    <col width="21.5546875" customWidth="1" style="310" min="5" max="5"/>
    <col width="43.88671875" customWidth="1" style="310" min="6" max="6"/>
    <col width="9.109375" customWidth="1" style="310" min="7" max="7"/>
  </cols>
  <sheetData>
    <row r="2" ht="17.25" customHeight="1" s="310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0">
      <c r="A4" s="173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3" t="n"/>
    </row>
    <row r="6" ht="15.75" customHeight="1" s="31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3" t="n"/>
    </row>
    <row r="7" ht="110.25" customHeight="1" s="310">
      <c r="A7" s="176" t="inlineStr">
        <is>
          <t>1.1</t>
        </is>
      </c>
      <c r="B7" s="27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316" t="n">
        <v>47872.94</v>
      </c>
      <c r="F7" s="27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0">
      <c r="A8" s="176" t="inlineStr">
        <is>
          <t>1.2</t>
        </is>
      </c>
      <c r="B8" s="276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16">
        <f>1973/12</f>
        <v/>
      </c>
      <c r="F8" s="276" t="inlineStr">
        <is>
          <t>Производственный календарь 2023 год
(40-часов.неделя)</t>
        </is>
      </c>
      <c r="G8" s="182" t="n"/>
    </row>
    <row r="9" ht="15.75" customHeight="1" s="310">
      <c r="A9" s="176" t="inlineStr">
        <is>
          <t>1.3</t>
        </is>
      </c>
      <c r="B9" s="276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16" t="n">
        <v>1</v>
      </c>
      <c r="F9" s="276" t="n"/>
      <c r="G9" s="182" t="n"/>
    </row>
    <row r="10" ht="15.75" customHeight="1" s="310">
      <c r="A10" s="176" t="inlineStr">
        <is>
          <t>1.4</t>
        </is>
      </c>
      <c r="B10" s="276" t="inlineStr">
        <is>
          <t>Средний разряд работ</t>
        </is>
      </c>
      <c r="C10" s="338" t="n"/>
      <c r="D10" s="338" t="n"/>
      <c r="E10" s="183" t="n">
        <v>4.2</v>
      </c>
      <c r="F10" s="276" t="inlineStr">
        <is>
          <t>РТМ</t>
        </is>
      </c>
      <c r="G10" s="182" t="n"/>
    </row>
    <row r="11" ht="78.75" customHeight="1" s="310">
      <c r="A11" s="176" t="inlineStr">
        <is>
          <t>1.5</t>
        </is>
      </c>
      <c r="B11" s="276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293" t="n">
        <v>1.38</v>
      </c>
      <c r="F11" s="27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0">
      <c r="A12" s="176" t="inlineStr">
        <is>
          <t>1.6</t>
        </is>
      </c>
      <c r="B12" s="248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0">
      <c r="A13" s="176" t="inlineStr">
        <is>
          <t>1.7</t>
        </is>
      </c>
      <c r="B13" s="256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188">
        <f>((E7*E9/E8)*E11)*E12</f>
        <v/>
      </c>
      <c r="F13" s="2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2025-01-24T12:10:03Z</dcterms:modified>
  <cp:lastModifiedBy>user1</cp:lastModifiedBy>
</cp:coreProperties>
</file>