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10'!$A$1:$D$30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7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2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0" fontId="4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0" fillId="5" borderId="0" pivotButton="0" quotePrefix="0" xfId="0"/>
    <xf numFmtId="0" fontId="0" fillId="5" borderId="0" applyAlignment="1" pivotButton="0" quotePrefix="0" xfId="0">
      <alignment vertical="top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9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27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6" zoomScale="60" zoomScaleNormal="55" workbookViewId="0">
      <selection activeCell="C27" sqref="C27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68.33203125" customWidth="1" style="330" min="4" max="4"/>
    <col width="37.44140625" customWidth="1" style="330" min="5" max="5"/>
    <col width="9.109375" customWidth="1" style="330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74" t="n"/>
      <c r="C6" s="274" t="n"/>
      <c r="D6" s="274" t="n"/>
    </row>
    <row r="7" ht="64.5" customHeight="1" s="327">
      <c r="B7" s="355" t="inlineStr">
        <is>
          <t>Наименование разрабатываемого показателя УНЦ - Опоры ВЛ 110 кВ одноцепная, многогранные опоры</t>
        </is>
      </c>
    </row>
    <row r="8" ht="31.5" customHeight="1" s="327">
      <c r="B8" s="356" t="inlineStr">
        <is>
          <t>Сопоставимый уровень цен:3 кв. 2016 г</t>
        </is>
      </c>
    </row>
    <row r="9" ht="15.75" customHeight="1" s="327">
      <c r="B9" s="356" t="inlineStr">
        <is>
          <t>Единица измерения  — 1 км</t>
        </is>
      </c>
    </row>
    <row r="10">
      <c r="B10" s="356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1" t="n"/>
    </row>
    <row r="12" ht="186" customHeight="1" s="327">
      <c r="B12" s="363" t="n">
        <v>1</v>
      </c>
      <c r="C12" s="246" t="inlineStr">
        <is>
          <t>Наименование объекта-представителя</t>
        </is>
      </c>
      <c r="D12" s="342" t="inlineStr">
        <is>
          <t>ВЛ 110 кВ ПС О-10 "Зеленоградск" - ПС О-62 "Пионерская" (Л-159)</t>
        </is>
      </c>
    </row>
    <row r="13">
      <c r="B13" s="363" t="n">
        <v>2</v>
      </c>
      <c r="C13" s="246" t="inlineStr">
        <is>
          <t>Наименование субъекта Российской Федерации</t>
        </is>
      </c>
      <c r="D13" s="342" t="inlineStr">
        <is>
          <t>Калининградскач область</t>
        </is>
      </c>
    </row>
    <row r="14">
      <c r="B14" s="363" t="n">
        <v>3</v>
      </c>
      <c r="C14" s="246" t="inlineStr">
        <is>
          <t>Климатический район и подрайон</t>
        </is>
      </c>
      <c r="D14" s="343" t="inlineStr">
        <is>
          <t>IIВ</t>
        </is>
      </c>
    </row>
    <row r="15">
      <c r="B15" s="363" t="n">
        <v>4</v>
      </c>
      <c r="C15" s="246" t="inlineStr">
        <is>
          <t>Мощность объекта</t>
        </is>
      </c>
      <c r="D15" s="342" t="n">
        <v>22.58</v>
      </c>
    </row>
    <row r="16" ht="227.25" customHeight="1" s="327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 xml:space="preserve">Свая-оболочка для многогранных опор - 22,3 тонн/км
Грибовидные железобетонные фундаменты для решётчатых опор - 7,9 м3/км
</t>
        </is>
      </c>
    </row>
    <row r="17" ht="79.5" customHeight="1" s="327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SUM(D18:D21)</f>
        <v/>
      </c>
      <c r="E17" s="273" t="n"/>
    </row>
    <row r="18">
      <c r="B18" s="250" t="inlineStr">
        <is>
          <t>6.1</t>
        </is>
      </c>
      <c r="C18" s="246" t="inlineStr">
        <is>
          <t>строительно-монтажные работы</t>
        </is>
      </c>
      <c r="D18" s="344">
        <f>'Прил.2 Расч стоим'!F14</f>
        <v/>
      </c>
    </row>
    <row r="19" ht="15.75" customHeight="1" s="327">
      <c r="B19" s="250" t="inlineStr">
        <is>
          <t>6.2</t>
        </is>
      </c>
      <c r="C19" s="246" t="inlineStr">
        <is>
          <t>оборудование и инвентарь</t>
        </is>
      </c>
      <c r="D19" s="344" t="n"/>
    </row>
    <row r="20" ht="16.5" customHeight="1" s="327">
      <c r="B20" s="250" t="inlineStr">
        <is>
          <t>6.3</t>
        </is>
      </c>
      <c r="C20" s="246" t="inlineStr">
        <is>
          <t>пусконаладочные работы</t>
        </is>
      </c>
      <c r="D20" s="344" t="n"/>
    </row>
    <row r="21" ht="35.25" customHeight="1" s="327">
      <c r="B21" s="250" t="inlineStr">
        <is>
          <t>6.4</t>
        </is>
      </c>
      <c r="C21" s="249" t="inlineStr">
        <is>
          <t>прочие и лимитированные затраты</t>
        </is>
      </c>
      <c r="D21" s="344" t="n"/>
    </row>
    <row r="22">
      <c r="B22" s="363" t="n">
        <v>7</v>
      </c>
      <c r="C22" s="249" t="inlineStr">
        <is>
          <t>Сопоставимый уровень цен</t>
        </is>
      </c>
      <c r="D22" s="345" t="inlineStr">
        <is>
          <t>3 кв. 2016 г</t>
        </is>
      </c>
      <c r="E22" s="247" t="n"/>
    </row>
    <row r="23" ht="123" customHeight="1" s="327">
      <c r="B23" s="363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E23" s="273" t="n"/>
    </row>
    <row r="24" ht="60.75" customHeight="1" s="327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4">
        <f>D23/D15</f>
        <v/>
      </c>
      <c r="E24" s="247" t="n"/>
    </row>
    <row r="25" ht="48" customHeight="1" s="327">
      <c r="B25" s="363" t="n">
        <v>10</v>
      </c>
      <c r="C25" s="246" t="inlineStr">
        <is>
          <t>Примечание</t>
        </is>
      </c>
      <c r="D25" s="363" t="n"/>
    </row>
    <row r="26">
      <c r="B26" s="245" t="n"/>
      <c r="C26" s="244" t="n"/>
      <c r="D26" s="244" t="n"/>
    </row>
    <row r="27" ht="37.5" customHeight="1" s="327">
      <c r="B27" s="243" t="n"/>
    </row>
    <row r="28">
      <c r="B28" s="330" t="inlineStr">
        <is>
          <t>Составил ______________________    Е. М. Добровольская</t>
        </is>
      </c>
    </row>
    <row r="29">
      <c r="B29" s="24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5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55" zoomScaleNormal="70" workbookViewId="0">
      <selection activeCell="C17" sqref="C17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53" t="inlineStr">
        <is>
          <t>Приложение № 2</t>
        </is>
      </c>
      <c r="K3" s="243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75" t="n"/>
    </row>
    <row r="9" ht="15.75" customHeight="1" s="327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27">
      <c r="B10" s="453" t="n"/>
      <c r="C10" s="453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2016 г., тыс. руб.</t>
        </is>
      </c>
      <c r="G10" s="451" t="n"/>
      <c r="H10" s="451" t="n"/>
      <c r="I10" s="451" t="n"/>
      <c r="J10" s="452" t="n"/>
    </row>
    <row r="11" ht="31.5" customHeight="1" s="327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15" customHeight="1" s="327">
      <c r="B12" s="339" t="n"/>
      <c r="C12" s="339" t="n"/>
      <c r="D12" s="339" t="n"/>
      <c r="E12" s="339" t="n"/>
      <c r="F12" s="455" t="n">
        <v>172199.6342074</v>
      </c>
      <c r="G12" s="452" t="n"/>
      <c r="H12" s="339" t="n"/>
      <c r="I12" s="339" t="n"/>
      <c r="J12" s="339">
        <f>SUM(F12:I12)</f>
        <v/>
      </c>
    </row>
    <row r="13" ht="15.75" customHeight="1" s="327">
      <c r="B13" s="361" t="inlineStr">
        <is>
          <t>Всего по объекту:</t>
        </is>
      </c>
      <c r="C13" s="456" t="n"/>
      <c r="D13" s="456" t="n"/>
      <c r="E13" s="457" t="n"/>
      <c r="F13" s="340" t="n"/>
      <c r="G13" s="340" t="n"/>
      <c r="H13" s="340" t="n"/>
      <c r="I13" s="340" t="n"/>
      <c r="J13" s="339" t="n"/>
    </row>
    <row r="14" ht="15.75" customHeight="1" s="327">
      <c r="B14" s="362" t="inlineStr">
        <is>
          <t>Всего по объекту в сопоставимом уровне цен 3 кв. 2016 г:</t>
        </is>
      </c>
      <c r="C14" s="451" t="n"/>
      <c r="D14" s="451" t="n"/>
      <c r="E14" s="452" t="n"/>
      <c r="F14" s="458">
        <f>F12</f>
        <v/>
      </c>
      <c r="G14" s="452" t="n"/>
      <c r="H14" s="341" t="n"/>
      <c r="I14" s="341" t="n"/>
      <c r="J14" s="341">
        <f>SUM(F14:I14)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Е. М. Добровольская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42"/>
  <sheetViews>
    <sheetView view="pageBreakPreview" zoomScale="55" workbookViewId="0">
      <selection activeCell="C37" sqref="C37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20.109375" customWidth="1" style="330" min="9" max="9"/>
    <col width="15.88671875" customWidth="1" style="330" min="10" max="10"/>
    <col width="15" customWidth="1" style="330" min="11" max="11"/>
    <col width="9.109375" customWidth="1" style="330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7">
      <c r="A4" s="289" t="n"/>
      <c r="B4" s="289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73" t="inlineStr">
        <is>
          <t>Наименование разрабатываемого показателя УНЦ -  Опоры ВЛ 110 кВ одноцепная, многогранные опоры</t>
        </is>
      </c>
    </row>
    <row r="7">
      <c r="A7" s="373" t="n"/>
      <c r="B7" s="373" t="n"/>
      <c r="C7" s="373" t="n"/>
      <c r="D7" s="373" t="n"/>
      <c r="E7" s="373" t="n"/>
      <c r="F7" s="373" t="n"/>
      <c r="G7" s="373" t="n"/>
      <c r="H7" s="373" t="n"/>
    </row>
    <row r="8">
      <c r="A8" s="363" t="inlineStr">
        <is>
          <t>п/п</t>
        </is>
      </c>
      <c r="B8" s="363" t="inlineStr">
        <is>
          <t>№ЛСР</t>
        </is>
      </c>
      <c r="C8" s="363" t="inlineStr">
        <is>
          <t>Код ресурса</t>
        </is>
      </c>
      <c r="D8" s="363" t="inlineStr">
        <is>
          <t>Наименование ресурса</t>
        </is>
      </c>
      <c r="E8" s="363" t="inlineStr">
        <is>
          <t>Ед. изм.</t>
        </is>
      </c>
      <c r="F8" s="363" t="inlineStr">
        <is>
          <t>Кол-во единиц по данным объекта-представителя</t>
        </is>
      </c>
      <c r="G8" s="363" t="inlineStr">
        <is>
          <t>Сметная стоимость в ценах на 01.01.2000 (руб.)</t>
        </is>
      </c>
      <c r="H8" s="452" t="n"/>
    </row>
    <row r="9">
      <c r="A9" s="454" t="n"/>
      <c r="B9" s="454" t="n"/>
      <c r="C9" s="454" t="n"/>
      <c r="D9" s="454" t="n"/>
      <c r="E9" s="454" t="n"/>
      <c r="F9" s="454" t="n"/>
      <c r="G9" s="363" t="inlineStr">
        <is>
          <t>на ед.изм.</t>
        </is>
      </c>
      <c r="H9" s="363" t="inlineStr">
        <is>
          <t>общая</t>
        </is>
      </c>
    </row>
    <row r="10">
      <c r="A10" s="364" t="n">
        <v>1</v>
      </c>
      <c r="B10" s="364" t="n"/>
      <c r="C10" s="364" t="n">
        <v>2</v>
      </c>
      <c r="D10" s="364" t="inlineStr">
        <is>
          <t>З</t>
        </is>
      </c>
      <c r="E10" s="364" t="n">
        <v>4</v>
      </c>
      <c r="F10" s="364" t="n">
        <v>5</v>
      </c>
      <c r="G10" s="364" t="n">
        <v>6</v>
      </c>
      <c r="H10" s="364" t="n">
        <v>7</v>
      </c>
    </row>
    <row r="11" customFormat="1" s="328">
      <c r="A11" s="370" t="inlineStr">
        <is>
          <t>Затраты труда рабочих</t>
        </is>
      </c>
      <c r="B11" s="451" t="n"/>
      <c r="C11" s="451" t="n"/>
      <c r="D11" s="451" t="n"/>
      <c r="E11" s="452" t="n"/>
      <c r="F11" s="281">
        <f>SUM(F12:F12)</f>
        <v/>
      </c>
      <c r="G11" s="282" t="n"/>
      <c r="H11" s="281">
        <f>SUM(H12:H12)</f>
        <v/>
      </c>
    </row>
    <row r="12">
      <c r="A12" s="288" t="n">
        <v>1</v>
      </c>
      <c r="B12" s="258" t="n"/>
      <c r="C12" s="284" t="inlineStr">
        <is>
          <t>1-4-2</t>
        </is>
      </c>
      <c r="D12" s="285" t="inlineStr">
        <is>
          <t>Затраты труда рабочих (ср 4,2)</t>
        </is>
      </c>
      <c r="E12" s="405" t="inlineStr">
        <is>
          <t>чел.-ч</t>
        </is>
      </c>
      <c r="F12" s="284" t="n">
        <v>17011.536858406</v>
      </c>
      <c r="G12" s="305" t="n">
        <v>9.92</v>
      </c>
      <c r="H12" s="280">
        <f>ROUND(F12*G12,2)</f>
        <v/>
      </c>
    </row>
    <row r="13">
      <c r="A13" s="369" t="inlineStr">
        <is>
          <t>Затраты труда машинистов</t>
        </is>
      </c>
      <c r="B13" s="451" t="n"/>
      <c r="C13" s="451" t="n"/>
      <c r="D13" s="451" t="n"/>
      <c r="E13" s="452" t="n"/>
      <c r="F13" s="370" t="n"/>
      <c r="G13" s="256" t="n"/>
      <c r="H13" s="281">
        <f>H14</f>
        <v/>
      </c>
    </row>
    <row r="14">
      <c r="A14" s="405" t="n">
        <v>2</v>
      </c>
      <c r="B14" s="371" t="n"/>
      <c r="C14" s="284" t="n">
        <v>2</v>
      </c>
      <c r="D14" s="285" t="inlineStr">
        <is>
          <t>Затраты труда машинистов</t>
        </is>
      </c>
      <c r="E14" s="405" t="inlineStr">
        <is>
          <t>чел.-ч</t>
        </is>
      </c>
      <c r="F14" s="294" t="n">
        <v>5081.5647577378</v>
      </c>
      <c r="G14" s="280" t="n">
        <v>0</v>
      </c>
      <c r="H14" s="305" t="n">
        <v>4583.17</v>
      </c>
    </row>
    <row r="15" customFormat="1" s="328">
      <c r="A15" s="370" t="inlineStr">
        <is>
          <t>Машины и механизмы</t>
        </is>
      </c>
      <c r="B15" s="451" t="n"/>
      <c r="C15" s="451" t="n"/>
      <c r="D15" s="451" t="n"/>
      <c r="E15" s="452" t="n"/>
      <c r="F15" s="370" t="n"/>
      <c r="G15" s="256" t="n"/>
      <c r="H15" s="281">
        <f>SUM(H16:H24)</f>
        <v/>
      </c>
    </row>
    <row r="16" ht="25.5" customHeight="1" s="327">
      <c r="A16" s="405" t="n">
        <v>3</v>
      </c>
      <c r="B16" s="371" t="n"/>
      <c r="C16" s="284" t="inlineStr">
        <is>
          <t>91.15.02-029</t>
        </is>
      </c>
      <c r="D16" s="285" t="inlineStr">
        <is>
          <t>Тракторы на гусеничном ходу с лебедкой 132 кВт (180 л.с.)</t>
        </is>
      </c>
      <c r="E16" s="405" t="inlineStr">
        <is>
          <t>маш.час</t>
        </is>
      </c>
      <c r="F16" s="405" t="n">
        <v>1660.7543021947</v>
      </c>
      <c r="G16" s="305" t="n">
        <v>147.43</v>
      </c>
      <c r="H16" s="280">
        <f>ROUND(F16*G16,2)</f>
        <v/>
      </c>
      <c r="I16" s="291" t="n"/>
      <c r="J16" s="298" t="n"/>
      <c r="L16" s="291" t="n"/>
    </row>
    <row r="17" ht="25.5" customFormat="1" customHeight="1" s="328">
      <c r="A17" s="405" t="n">
        <v>4</v>
      </c>
      <c r="B17" s="371" t="n"/>
      <c r="C17" s="284" t="inlineStr">
        <is>
          <t>91.13.03-111</t>
        </is>
      </c>
      <c r="D17" s="285" t="inlineStr">
        <is>
          <t>Спецавтомобили-вездеходы, грузоподъемность до 8 т</t>
        </is>
      </c>
      <c r="E17" s="405" t="inlineStr">
        <is>
          <t>маш.час</t>
        </is>
      </c>
      <c r="F17" s="405" t="n">
        <v>1053.687077659</v>
      </c>
      <c r="G17" s="305" t="n">
        <v>189.95</v>
      </c>
      <c r="H17" s="280">
        <f>ROUND(F17*G17,2)</f>
        <v/>
      </c>
      <c r="I17" s="291" t="n"/>
      <c r="L17" s="291" t="n"/>
    </row>
    <row r="18" ht="38.25" customHeight="1" s="327">
      <c r="A18" s="405" t="n">
        <v>5</v>
      </c>
      <c r="B18" s="371" t="n"/>
      <c r="C18" s="284" t="inlineStr">
        <is>
          <t>91.05.14-516</t>
        </is>
      </c>
      <c r="D18" s="285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8" s="405" t="inlineStr">
        <is>
          <t>маш.час</t>
        </is>
      </c>
      <c r="F18" s="405" t="n">
        <v>1872.235766179</v>
      </c>
      <c r="G18" s="305" t="n">
        <v>77.64</v>
      </c>
      <c r="H18" s="280">
        <f>ROUND(F18*G18,2)</f>
        <v/>
      </c>
      <c r="I18" s="291" t="n"/>
      <c r="L18" s="291" t="n"/>
    </row>
    <row r="19" ht="25.5" customHeight="1" s="327">
      <c r="A19" s="405" t="n">
        <v>6</v>
      </c>
      <c r="B19" s="371" t="n"/>
      <c r="C19" s="284" t="inlineStr">
        <is>
          <t>91.05.05-015</t>
        </is>
      </c>
      <c r="D19" s="285" t="inlineStr">
        <is>
          <t>Краны на автомобильном ходу, грузоподъемность 16 т</t>
        </is>
      </c>
      <c r="E19" s="405" t="inlineStr">
        <is>
          <t>маш.час</t>
        </is>
      </c>
      <c r="F19" s="405" t="n">
        <v>490.97658778841</v>
      </c>
      <c r="G19" s="305" t="n">
        <v>115.4</v>
      </c>
      <c r="H19" s="280">
        <f>ROUND(F19*G19,2)</f>
        <v/>
      </c>
      <c r="I19" s="291" t="n"/>
      <c r="L19" s="291" t="n"/>
    </row>
    <row r="20" ht="25.5" customHeight="1" s="327">
      <c r="A20" s="405" t="n">
        <v>7</v>
      </c>
      <c r="B20" s="371" t="n"/>
      <c r="C20" s="284" t="inlineStr">
        <is>
          <t>91.06.09-101</t>
        </is>
      </c>
      <c r="D20" s="285" t="inlineStr">
        <is>
          <t>Стрелы монтажные А-образные для подъема опор ВЛ, высота до 22 м</t>
        </is>
      </c>
      <c r="E20" s="405" t="inlineStr">
        <is>
          <t>маш.час</t>
        </is>
      </c>
      <c r="F20" s="405" t="n">
        <v>475.80944625774</v>
      </c>
      <c r="G20" s="305" t="n">
        <v>6.24</v>
      </c>
      <c r="H20" s="280">
        <f>ROUND(F20*G20,2)</f>
        <v/>
      </c>
      <c r="I20" s="291" t="n"/>
      <c r="L20" s="291" t="n"/>
    </row>
    <row r="21" ht="25.5" customHeight="1" s="327">
      <c r="A21" s="405" t="n">
        <v>8</v>
      </c>
      <c r="B21" s="371" t="n"/>
      <c r="C21" s="284" t="inlineStr">
        <is>
          <t>91.17.04-036</t>
        </is>
      </c>
      <c r="D21" s="285" t="inlineStr">
        <is>
          <t>Агрегаты сварочные передвижные с дизельным двигателем, номинальный сварочный ток 250-400 А</t>
        </is>
      </c>
      <c r="E21" s="405" t="inlineStr">
        <is>
          <t>маш.час</t>
        </is>
      </c>
      <c r="F21" s="405" t="n">
        <v>87.759561057963</v>
      </c>
      <c r="G21" s="305" t="n">
        <v>14</v>
      </c>
      <c r="H21" s="280">
        <f>ROUND(F21*G21,2)</f>
        <v/>
      </c>
      <c r="I21" s="291" t="n"/>
      <c r="L21" s="291" t="n"/>
    </row>
    <row r="22" ht="26.4" customHeight="1" s="327">
      <c r="A22" s="405" t="n">
        <v>9</v>
      </c>
      <c r="B22" s="371" t="n"/>
      <c r="C22" s="284" t="inlineStr">
        <is>
          <t>91.06.01-002</t>
        </is>
      </c>
      <c r="D22" s="285" t="inlineStr">
        <is>
          <t>Домкраты гидравлические, грузоподъемность 6,3-25 т</t>
        </is>
      </c>
      <c r="E22" s="405" t="inlineStr">
        <is>
          <t>маш.час</t>
        </is>
      </c>
      <c r="F22" s="405" t="n">
        <v>1868.229351435</v>
      </c>
      <c r="G22" s="305" t="n">
        <v>0.48</v>
      </c>
      <c r="H22" s="280">
        <f>ROUND(F22*G22,2)</f>
        <v/>
      </c>
      <c r="I22" s="291" t="n"/>
    </row>
    <row r="23">
      <c r="A23" s="405" t="n">
        <v>10</v>
      </c>
      <c r="B23" s="371" t="n"/>
      <c r="C23" s="284" t="inlineStr">
        <is>
          <t>91.14.02-001</t>
        </is>
      </c>
      <c r="D23" s="285" t="inlineStr">
        <is>
          <t>Автомобили бортовые, грузоподъемность до 5 т</t>
        </is>
      </c>
      <c r="E23" s="405" t="inlineStr">
        <is>
          <t>маш.час</t>
        </is>
      </c>
      <c r="F23" s="405" t="n">
        <v>3.8156330894767</v>
      </c>
      <c r="G23" s="305" t="n">
        <v>65.70999999999999</v>
      </c>
      <c r="H23" s="280">
        <f>ROUND(F23*G23,2)</f>
        <v/>
      </c>
      <c r="I23" s="291" t="n"/>
    </row>
    <row r="24" ht="25.5" customHeight="1" s="327">
      <c r="A24" s="405" t="n">
        <v>11</v>
      </c>
      <c r="B24" s="371" t="n"/>
      <c r="C24" s="284" t="inlineStr">
        <is>
          <t>91.21.01-012</t>
        </is>
      </c>
      <c r="D24" s="285" t="inlineStr">
        <is>
          <t>Агрегаты окрасочные высокого давления для окраски поверхностей конструкций, мощность 1 кВт</t>
        </is>
      </c>
      <c r="E24" s="405" t="inlineStr">
        <is>
          <t>маш.час</t>
        </is>
      </c>
      <c r="F24" s="405" t="n">
        <v>0.28617248171075</v>
      </c>
      <c r="G24" s="305" t="n">
        <v>6.82</v>
      </c>
      <c r="H24" s="280">
        <f>ROUND(F24*G24,2)</f>
        <v/>
      </c>
      <c r="I24" s="291" t="n"/>
    </row>
    <row r="25" ht="15" customHeight="1" s="327">
      <c r="A25" s="369" t="inlineStr">
        <is>
          <t>Оборудование</t>
        </is>
      </c>
      <c r="B25" s="451" t="n"/>
      <c r="C25" s="451" t="n"/>
      <c r="D25" s="451" t="n"/>
      <c r="E25" s="452" t="n"/>
      <c r="F25" s="282" t="n"/>
      <c r="G25" s="282" t="n"/>
      <c r="H25" s="281">
        <f>SUM(H26:H26)</f>
        <v/>
      </c>
    </row>
    <row r="26" ht="27.75" customHeight="1" s="327">
      <c r="A26" s="288" t="n">
        <v>12</v>
      </c>
      <c r="B26" s="369" t="n"/>
      <c r="C26" s="284" t="n"/>
      <c r="D26" s="285" t="n"/>
      <c r="E26" s="405" t="n"/>
      <c r="F26" s="405" t="n"/>
      <c r="G26" s="299" t="n"/>
      <c r="H26" s="280" t="n"/>
      <c r="I26" s="296" t="n"/>
      <c r="J26" s="297" t="n"/>
    </row>
    <row r="27">
      <c r="A27" s="370" t="inlineStr">
        <is>
          <t>Материалы</t>
        </is>
      </c>
      <c r="B27" s="451" t="n"/>
      <c r="C27" s="451" t="n"/>
      <c r="D27" s="451" t="n"/>
      <c r="E27" s="452" t="n"/>
      <c r="F27" s="370" t="n"/>
      <c r="G27" s="256" t="n"/>
      <c r="H27" s="281">
        <f>SUM(H28:H35)</f>
        <v/>
      </c>
    </row>
    <row r="28" ht="38.25" customHeight="1" s="327">
      <c r="A28" s="288" t="n">
        <v>13</v>
      </c>
      <c r="B28" s="371" t="n"/>
      <c r="C28" s="284" t="inlineStr">
        <is>
          <t>07.4.03.08-0001</t>
        </is>
      </c>
      <c r="D28" s="285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E28" s="405" t="inlineStr">
        <is>
          <t>т</t>
        </is>
      </c>
      <c r="F28" s="405" t="n">
        <v>409.547</v>
      </c>
      <c r="G28" s="306" t="n">
        <v>25413.45</v>
      </c>
      <c r="H28" s="280">
        <f>ROUND(F28*G28,2)</f>
        <v/>
      </c>
      <c r="I28" s="292" t="n"/>
      <c r="K28" s="298" t="n"/>
    </row>
    <row r="29" ht="38.25" customFormat="1" customHeight="1" s="302">
      <c r="A29" s="288" t="n">
        <v>14</v>
      </c>
      <c r="B29" s="369" t="n"/>
      <c r="C29" s="284" t="inlineStr">
        <is>
          <t>07.4.03.03-0040</t>
        </is>
      </c>
      <c r="D29" s="285" t="inlineStr">
        <is>
          <t>Опоры стальные многогранные линий электропередачи оцинкованные, многоцепные, класс напряжения 110 кВ</t>
        </is>
      </c>
      <c r="E29" s="405" t="inlineStr">
        <is>
          <t>т</t>
        </is>
      </c>
      <c r="F29" s="405" t="n">
        <v>350.687</v>
      </c>
      <c r="G29" s="306" t="n">
        <v>26030.4</v>
      </c>
      <c r="H29" s="280">
        <f>ROUND(F29*G29,2)</f>
        <v/>
      </c>
      <c r="I29" s="292" t="n"/>
    </row>
    <row r="30" ht="25.5" customFormat="1" customHeight="1" s="302">
      <c r="A30" s="288" t="n">
        <v>15</v>
      </c>
      <c r="B30" s="369" t="n"/>
      <c r="C30" s="284" t="inlineStr">
        <is>
          <t>08.3.07.01-0052</t>
        </is>
      </c>
      <c r="D30" s="285" t="inlineStr">
        <is>
          <t>Прокат полосовой, горячекатаный, марка стали Ст3сп, размер 50х5 мм</t>
        </is>
      </c>
      <c r="E30" s="405" t="inlineStr">
        <is>
          <t>т</t>
        </is>
      </c>
      <c r="F30" s="405" t="n">
        <v>7.4599442532358</v>
      </c>
      <c r="G30" s="305" t="n">
        <v>6726.18</v>
      </c>
      <c r="H30" s="280">
        <f>ROUND(F30*G30,2)</f>
        <v/>
      </c>
      <c r="I30" s="292" t="n"/>
      <c r="J30" s="303" t="n"/>
    </row>
    <row r="31" ht="25.5" customFormat="1" customHeight="1" s="302">
      <c r="A31" s="288" t="n">
        <v>16</v>
      </c>
      <c r="B31" s="369" t="n"/>
      <c r="C31" s="284" t="inlineStr">
        <is>
          <t>08.4.03.02-0006</t>
        </is>
      </c>
      <c r="D31" s="285" t="inlineStr">
        <is>
          <t>Сталь арматурная, горячекатаная, гладкая, класс А-I, диаметр 16-18 мм</t>
        </is>
      </c>
      <c r="E31" s="405" t="inlineStr">
        <is>
          <t>т</t>
        </is>
      </c>
      <c r="F31" s="405" t="n">
        <v>3.434069780529</v>
      </c>
      <c r="G31" s="305" t="n">
        <v>5650</v>
      </c>
      <c r="H31" s="280">
        <f>ROUND(F31*G31,2)</f>
        <v/>
      </c>
      <c r="I31" s="292" t="n"/>
    </row>
    <row r="32" ht="25.5" customFormat="1" customHeight="1" s="302">
      <c r="A32" s="288" t="n">
        <v>17</v>
      </c>
      <c r="B32" s="369" t="n"/>
      <c r="C32" s="284" t="inlineStr">
        <is>
          <t>08.4.03.02-0004</t>
        </is>
      </c>
      <c r="D32" s="285" t="inlineStr">
        <is>
          <t>Сталь арматурная, горячекатаная, гладкая, класс А-I, диаметр 12 мм</t>
        </is>
      </c>
      <c r="E32" s="405" t="inlineStr">
        <is>
          <t>т</t>
        </is>
      </c>
      <c r="F32" s="405" t="n">
        <v>2.8617248171075</v>
      </c>
      <c r="G32" s="305" t="n">
        <v>6508.75</v>
      </c>
      <c r="H32" s="280">
        <f>ROUND(F32*G32,2)</f>
        <v/>
      </c>
      <c r="I32" s="292" t="n"/>
      <c r="J32" s="303" t="n"/>
    </row>
    <row r="33">
      <c r="A33" s="288" t="n">
        <v>18</v>
      </c>
      <c r="B33" s="371" t="n"/>
      <c r="C33" s="284" t="inlineStr">
        <is>
          <t>01.7.11.07-0032</t>
        </is>
      </c>
      <c r="D33" s="285" t="inlineStr">
        <is>
          <t>Электроды сварочные Э42, диаметр 4 мм</t>
        </is>
      </c>
      <c r="E33" s="405" t="inlineStr">
        <is>
          <t>т</t>
        </is>
      </c>
      <c r="F33" s="405" t="n">
        <v>0.06284347698367999</v>
      </c>
      <c r="G33" s="305" t="n">
        <v>10315.01</v>
      </c>
      <c r="H33" s="280">
        <f>ROUND(F33*G33,2)</f>
        <v/>
      </c>
      <c r="I33" s="292" t="n"/>
    </row>
    <row r="34" ht="38.25" customHeight="1" s="327">
      <c r="A34" s="288" t="n">
        <v>19</v>
      </c>
      <c r="B34" s="371" t="n"/>
      <c r="C34" s="284" t="inlineStr">
        <is>
          <t>14.4.01.20-0012</t>
        </is>
      </c>
      <c r="D34" s="285" t="inlineStr">
        <is>
          <t>Грунтовка антикоррозионная цинкнаполненная быстросохнущая, преобразователь ржавчины и окалины</t>
        </is>
      </c>
      <c r="E34" s="405" t="inlineStr">
        <is>
          <t>т</t>
        </is>
      </c>
      <c r="F34" s="405" t="n">
        <v>0.0021462936128306</v>
      </c>
      <c r="G34" s="305" t="n">
        <v>86794.72</v>
      </c>
      <c r="H34" s="280">
        <f>ROUND(F34*G34,2)</f>
        <v/>
      </c>
      <c r="I34" s="292" t="n"/>
    </row>
    <row r="35" ht="30" customHeight="1" s="327">
      <c r="A35" s="288" t="n">
        <v>20</v>
      </c>
      <c r="B35" s="371" t="n"/>
      <c r="C35" s="284" t="inlineStr">
        <is>
          <t>14.5.09.07-0030</t>
        </is>
      </c>
      <c r="D35" s="285" t="inlineStr">
        <is>
          <t>Растворитель Р-4</t>
        </is>
      </c>
      <c r="E35" s="405" t="inlineStr">
        <is>
          <t>кг</t>
        </is>
      </c>
      <c r="F35" s="405" t="n">
        <v>0.10731468064153</v>
      </c>
      <c r="G35" s="305" t="n">
        <v>9.42</v>
      </c>
      <c r="H35" s="280">
        <f>ROUND(F35*G35,2)</f>
        <v/>
      </c>
      <c r="I35" s="292" t="n"/>
    </row>
    <row r="38">
      <c r="B38" s="330" t="inlineStr">
        <is>
          <t>Составил ______________________     Е. М. Добровольская</t>
        </is>
      </c>
    </row>
    <row r="39">
      <c r="B39" s="243" t="inlineStr">
        <is>
          <t xml:space="preserve">                         (подпись, инициалы, фамилия)</t>
        </is>
      </c>
    </row>
    <row r="41">
      <c r="B41" s="330" t="inlineStr">
        <is>
          <t>Проверил ______________________        А.В. Костянецкая</t>
        </is>
      </c>
    </row>
    <row r="42">
      <c r="B42" s="24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25:E25"/>
    <mergeCell ref="A11:E11"/>
    <mergeCell ref="D8:D9"/>
    <mergeCell ref="B8:B9"/>
    <mergeCell ref="C4:H4"/>
    <mergeCell ref="A13:E13"/>
    <mergeCell ref="G8:H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9.109375" customWidth="1" style="327" min="6" max="6"/>
    <col width="13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400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1" t="n"/>
      <c r="C6" s="334" t="n"/>
      <c r="D6" s="334" t="n"/>
      <c r="E6" s="334" t="n"/>
    </row>
    <row r="7" ht="25.5" customHeight="1" s="327">
      <c r="B7" s="360" t="inlineStr">
        <is>
          <t>Наименование разрабатываемого показателя УНЦ — Опоры ВЛ 110 кВ одноцепная, многогранные опоры</t>
        </is>
      </c>
    </row>
    <row r="8">
      <c r="B8" s="375" t="inlineStr">
        <is>
          <t>Единица измерения  — 1 км</t>
        </is>
      </c>
    </row>
    <row r="9">
      <c r="B9" s="271" t="n"/>
      <c r="C9" s="334" t="n"/>
      <c r="D9" s="334" t="n"/>
      <c r="E9" s="334" t="n"/>
    </row>
    <row r="10" ht="51" customHeight="1" s="327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63" t="inlineStr">
        <is>
          <t>Оплата труда рабочих</t>
        </is>
      </c>
      <c r="C11" s="264">
        <f>'Прил.5 Расчет СМР и ОБ'!J15</f>
        <v/>
      </c>
      <c r="D11" s="265">
        <f>C11/$C$24</f>
        <v/>
      </c>
      <c r="E11" s="265">
        <f>C11/$C$40</f>
        <v/>
      </c>
    </row>
    <row r="12">
      <c r="B12" s="263" t="inlineStr">
        <is>
          <t>Эксплуатация машин основных</t>
        </is>
      </c>
      <c r="C12" s="264">
        <f>'Прил.5 Расчет СМР и ОБ'!J23</f>
        <v/>
      </c>
      <c r="D12" s="265">
        <f>C12/$C$24</f>
        <v/>
      </c>
      <c r="E12" s="265">
        <f>C12/$C$40</f>
        <v/>
      </c>
    </row>
    <row r="13">
      <c r="B13" s="263" t="inlineStr">
        <is>
          <t>Эксплуатация машин прочих</t>
        </is>
      </c>
      <c r="C13" s="264">
        <f>'Прил.5 Расчет СМР и ОБ'!J30</f>
        <v/>
      </c>
      <c r="D13" s="265">
        <f>C13/$C$24</f>
        <v/>
      </c>
      <c r="E13" s="265">
        <f>C13/$C$40</f>
        <v/>
      </c>
    </row>
    <row r="14">
      <c r="B14" s="263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263" t="inlineStr">
        <is>
          <t>в том числе зарплата машинистов</t>
        </is>
      </c>
      <c r="C15" s="264">
        <f>'Прил.5 Расчет СМР и ОБ'!J17</f>
        <v/>
      </c>
      <c r="D15" s="265">
        <f>C15/$C$24</f>
        <v/>
      </c>
      <c r="E15" s="265">
        <f>C15/$C$40</f>
        <v/>
      </c>
    </row>
    <row r="16">
      <c r="B16" s="263" t="inlineStr">
        <is>
          <t>Материалы основные</t>
        </is>
      </c>
      <c r="C16" s="264">
        <f>'Прил.5 Расчет СМР и ОБ'!J42</f>
        <v/>
      </c>
      <c r="D16" s="265">
        <f>C16/$C$24</f>
        <v/>
      </c>
      <c r="E16" s="265">
        <f>C16/$C$40</f>
        <v/>
      </c>
    </row>
    <row r="17">
      <c r="B17" s="263" t="inlineStr">
        <is>
          <t>Материалы прочие</t>
        </is>
      </c>
      <c r="C17" s="264">
        <f>'Прил.5 Расчет СМР и ОБ'!J49</f>
        <v/>
      </c>
      <c r="D17" s="265">
        <f>C17/$C$24</f>
        <v/>
      </c>
      <c r="E17" s="265">
        <f>C17/$C$40</f>
        <v/>
      </c>
      <c r="G17" s="269" t="n"/>
    </row>
    <row r="18">
      <c r="B18" s="263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263" t="inlineStr">
        <is>
          <t>ИТОГО</t>
        </is>
      </c>
      <c r="C19" s="264">
        <f>C18+C14+C11</f>
        <v/>
      </c>
      <c r="D19" s="265" t="n"/>
      <c r="E19" s="263" t="n"/>
    </row>
    <row r="20">
      <c r="B20" s="263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263" t="inlineStr">
        <is>
          <t>Сметная прибыль, %</t>
        </is>
      </c>
      <c r="C21" s="268">
        <f>'Прил.5 Расчет СМР и ОБ'!D53</f>
        <v/>
      </c>
      <c r="D21" s="265" t="n"/>
      <c r="E21" s="263" t="n"/>
    </row>
    <row r="22">
      <c r="B22" s="263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263" t="inlineStr">
        <is>
          <t>Накладные расходы, %</t>
        </is>
      </c>
      <c r="C23" s="268">
        <f>'Прил.5 Расчет СМР и ОБ'!D52</f>
        <v/>
      </c>
      <c r="D23" s="265" t="n"/>
      <c r="E23" s="263" t="n"/>
    </row>
    <row r="24">
      <c r="B24" s="263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327">
      <c r="B25" s="263" t="inlineStr">
        <is>
          <t>ВСЕГО стоимость оборудования, в том числе</t>
        </is>
      </c>
      <c r="C25" s="264">
        <f>'Прил.5 Расчет СМР и ОБ'!J36</f>
        <v/>
      </c>
      <c r="D25" s="265" t="n"/>
      <c r="E25" s="265">
        <f>C25/$C$40</f>
        <v/>
      </c>
    </row>
    <row r="26" ht="25.5" customHeight="1" s="327">
      <c r="B26" s="263" t="inlineStr">
        <is>
          <t>стоимость оборудования технологического</t>
        </is>
      </c>
      <c r="C26" s="264">
        <f>'Прил.5 Расчет СМР и ОБ'!J37</f>
        <v/>
      </c>
      <c r="D26" s="265" t="n"/>
      <c r="E26" s="265">
        <f>C26/$C$40</f>
        <v/>
      </c>
    </row>
    <row r="27">
      <c r="B27" s="263" t="inlineStr">
        <is>
          <t>ИТОГО (СМР + ОБОРУДОВАНИЕ)</t>
        </is>
      </c>
      <c r="C27" s="267">
        <f>C24+C25</f>
        <v/>
      </c>
      <c r="D27" s="265" t="n"/>
      <c r="E27" s="265">
        <f>C27/$C$40</f>
        <v/>
      </c>
      <c r="G27" s="266" t="n"/>
    </row>
    <row r="28" ht="33" customHeight="1" s="327">
      <c r="B28" s="263" t="inlineStr">
        <is>
          <t>ПРОЧ. ЗАТР., УЧТЕННЫЕ ПОКАЗАТЕЛЕМ,  в том числе</t>
        </is>
      </c>
      <c r="C28" s="263" t="n"/>
      <c r="D28" s="263" t="n"/>
      <c r="E28" s="263" t="n"/>
    </row>
    <row r="29" ht="25.5" customHeight="1" s="327">
      <c r="B29" s="263" t="inlineStr">
        <is>
          <t>Временные здания и сооружения - 3,3%</t>
        </is>
      </c>
      <c r="C29" s="267">
        <f>ROUND(C24*3.3%,2)</f>
        <v/>
      </c>
      <c r="D29" s="263" t="n"/>
      <c r="E29" s="265" t="n">
        <v>0.033</v>
      </c>
    </row>
    <row r="30" ht="38.25" customHeight="1" s="327">
      <c r="B30" s="263" t="inlineStr">
        <is>
          <t>Дополнительные затраты при производстве строительно-монтажных работ в зимнее время - 1,0%</t>
        </is>
      </c>
      <c r="C30" s="267">
        <f>ROUND((C24+C29)*1%,2)</f>
        <v/>
      </c>
      <c r="D30" s="263" t="n"/>
      <c r="E30" s="265" t="n">
        <v>0.01</v>
      </c>
    </row>
    <row r="31">
      <c r="B31" s="263" t="inlineStr">
        <is>
          <t>Пусконаладочные работы</t>
        </is>
      </c>
      <c r="C31" s="267" t="n">
        <v>0</v>
      </c>
      <c r="D31" s="263" t="n"/>
      <c r="E31" s="265">
        <f>C31/$C$40</f>
        <v/>
      </c>
    </row>
    <row r="32" ht="25.5" customHeight="1" s="327">
      <c r="B32" s="263" t="inlineStr">
        <is>
          <t>Затраты по перевозке работников к месту работы и обратно</t>
        </is>
      </c>
      <c r="C32" s="267" t="n">
        <v>0</v>
      </c>
      <c r="D32" s="263" t="n"/>
      <c r="E32" s="265">
        <f>C32/$C$40</f>
        <v/>
      </c>
    </row>
    <row r="33" ht="25.5" customHeight="1" s="327">
      <c r="B33" s="263" t="inlineStr">
        <is>
          <t>Затраты, связанные с осуществлением работ вахтовым методом</t>
        </is>
      </c>
      <c r="C33" s="267">
        <f>ROUND(C27*0%,2)</f>
        <v/>
      </c>
      <c r="D33" s="263" t="n"/>
      <c r="E33" s="265">
        <f>C33/$C$40</f>
        <v/>
      </c>
    </row>
    <row r="34" ht="51" customHeight="1" s="327">
      <c r="B34" s="26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7" t="n">
        <v>0</v>
      </c>
      <c r="D34" s="263" t="n"/>
      <c r="E34" s="265">
        <f>C34/$C$40</f>
        <v/>
      </c>
    </row>
    <row r="35" ht="76.5" customHeight="1" s="327">
      <c r="B35" s="26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7">
        <f>ROUND(C27*0%,2)</f>
        <v/>
      </c>
      <c r="D35" s="263" t="n"/>
      <c r="E35" s="265">
        <f>C35/$C$40</f>
        <v/>
      </c>
    </row>
    <row r="36" ht="25.5" customHeight="1" s="327">
      <c r="B36" s="263" t="inlineStr">
        <is>
          <t>Строительный контроль и содержание службы заказчика - 2,14%</t>
        </is>
      </c>
      <c r="C36" s="267">
        <f>ROUND((C27+C32+C33+C34+C35+C29+C31+C30)*2.14%,2)</f>
        <v/>
      </c>
      <c r="D36" s="263" t="n"/>
      <c r="E36" s="265">
        <f>C36/$C$40</f>
        <v/>
      </c>
      <c r="L36" s="266" t="n"/>
    </row>
    <row r="37">
      <c r="B37" s="263" t="inlineStr">
        <is>
          <t>Авторский надзор - 0,2%</t>
        </is>
      </c>
      <c r="C37" s="267">
        <f>ROUND((C27+C32+C33+C34+C35+C29+C31+C30)*0.2%,2)</f>
        <v/>
      </c>
      <c r="D37" s="263" t="n"/>
      <c r="E37" s="265">
        <f>C37/$C$40</f>
        <v/>
      </c>
      <c r="L37" s="266" t="n"/>
    </row>
    <row r="38" ht="38.25" customHeight="1" s="327">
      <c r="B38" s="263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263" t="n"/>
      <c r="E38" s="265">
        <f>C38/$C$40</f>
        <v/>
      </c>
    </row>
    <row r="39" ht="13.5" customHeight="1" s="327">
      <c r="B39" s="263" t="inlineStr">
        <is>
          <t>Непредвиденные расходы</t>
        </is>
      </c>
      <c r="C39" s="264">
        <f>ROUND(C38*3%,2)</f>
        <v/>
      </c>
      <c r="D39" s="263" t="n"/>
      <c r="E39" s="265">
        <f>C39/$C$38</f>
        <v/>
      </c>
    </row>
    <row r="40">
      <c r="B40" s="263" t="inlineStr">
        <is>
          <t>ВСЕГО:</t>
        </is>
      </c>
      <c r="C40" s="264">
        <f>C39+C38</f>
        <v/>
      </c>
      <c r="D40" s="263" t="n"/>
      <c r="E40" s="265">
        <f>C40/$C$40</f>
        <v/>
      </c>
    </row>
    <row r="41">
      <c r="B41" s="263" t="inlineStr">
        <is>
          <t>ИТОГО ПОКАЗАТЕЛЬ НА ЕД. ИЗМ.</t>
        </is>
      </c>
      <c r="C41" s="264">
        <f>C40/'Прил.5 Расчет СМР и ОБ'!E56</f>
        <v/>
      </c>
      <c r="D41" s="263" t="n"/>
      <c r="E41" s="263" t="n"/>
    </row>
    <row r="42">
      <c r="B42" s="262" t="n"/>
      <c r="C42" s="334" t="n"/>
      <c r="D42" s="334" t="n"/>
      <c r="E42" s="334" t="n"/>
    </row>
    <row r="43">
      <c r="B43" s="262" t="inlineStr">
        <is>
          <t>Составил ____________________________  Е. М. Добровольская</t>
        </is>
      </c>
      <c r="C43" s="334" t="n"/>
      <c r="D43" s="334" t="n"/>
      <c r="E43" s="334" t="n"/>
    </row>
    <row r="44">
      <c r="B44" s="262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2" t="n"/>
      <c r="C45" s="334" t="n"/>
      <c r="D45" s="334" t="n"/>
      <c r="E45" s="334" t="n"/>
    </row>
    <row r="46">
      <c r="B46" s="262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5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2"/>
  <sheetViews>
    <sheetView view="pageBreakPreview" topLeftCell="A46" workbookViewId="0">
      <selection activeCell="B57" sqref="B57"/>
    </sheetView>
  </sheetViews>
  <sheetFormatPr baseColWidth="8" defaultColWidth="9.109375" defaultRowHeight="14.4" outlineLevelRow="1"/>
  <cols>
    <col width="5.6640625" customWidth="1" style="335" min="1" max="1"/>
    <col width="22.5546875" customWidth="1" style="335" min="2" max="2"/>
    <col width="39.109375" customWidth="1" style="335" min="3" max="3"/>
    <col width="13.5546875" customWidth="1" style="335" min="4" max="4"/>
    <col width="12.6640625" customWidth="1" style="335" min="5" max="5"/>
    <col width="14.5546875" customWidth="1" style="335" min="6" max="6"/>
    <col width="16.44140625" customWidth="1" style="335" min="7" max="7"/>
    <col width="12.6640625" customWidth="1" style="335" min="8" max="8"/>
    <col width="13.88671875" customWidth="1" style="335" min="9" max="9"/>
    <col width="17.5546875" customWidth="1" style="335" min="10" max="10"/>
    <col width="10.88671875" customWidth="1" style="335" min="11" max="11"/>
    <col width="17.109375" customWidth="1" style="335" min="12" max="12"/>
    <col width="9.10937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96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40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1" t="inlineStr">
        <is>
          <t>Наименование разрабатываемого показателя УНЦ</t>
        </is>
      </c>
      <c r="B6" s="230" t="n"/>
      <c r="C6" s="230" t="n"/>
      <c r="D6" s="349" t="inlineStr">
        <is>
          <t>Опоры ВЛ 110 кВ одноцепная, многогранные опоры</t>
        </is>
      </c>
    </row>
    <row r="7" ht="12.75" customFormat="1" customHeight="1" s="334">
      <c r="A7" s="349" t="inlineStr">
        <is>
          <t>Единица измерения  — 1 км</t>
        </is>
      </c>
      <c r="I7" s="360" t="n"/>
      <c r="J7" s="360" t="n"/>
    </row>
    <row r="8" ht="13.5" customFormat="1" customHeight="1" s="334">
      <c r="A8" s="349" t="n"/>
    </row>
    <row r="9" ht="13.2" customFormat="1" customHeight="1" s="334"/>
    <row r="10" ht="27" customHeight="1" s="327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52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52" t="n"/>
      <c r="K10" s="335" t="n"/>
      <c r="L10" s="335" t="n"/>
      <c r="M10" s="335" t="n"/>
      <c r="N10" s="335" t="n"/>
    </row>
    <row r="11" ht="28.5" customHeight="1" s="327">
      <c r="A11" s="454" t="n"/>
      <c r="B11" s="454" t="n"/>
      <c r="C11" s="454" t="n"/>
      <c r="D11" s="454" t="n"/>
      <c r="E11" s="454" t="n"/>
      <c r="F11" s="382" t="inlineStr">
        <is>
          <t>на ед. изм.</t>
        </is>
      </c>
      <c r="G11" s="382" t="inlineStr">
        <is>
          <t>общая</t>
        </is>
      </c>
      <c r="H11" s="454" t="n"/>
      <c r="I11" s="382" t="inlineStr">
        <is>
          <t>на ед. изм.</t>
        </is>
      </c>
      <c r="J11" s="382" t="inlineStr">
        <is>
          <t>общая</t>
        </is>
      </c>
      <c r="K11" s="335" t="n"/>
      <c r="L11" s="335" t="n"/>
      <c r="M11" s="335" t="n"/>
      <c r="N11" s="335" t="n"/>
    </row>
    <row r="12" s="327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77" t="n">
        <v>9</v>
      </c>
      <c r="J12" s="377" t="n">
        <v>10</v>
      </c>
      <c r="K12" s="335" t="n"/>
      <c r="L12" s="335" t="n"/>
      <c r="M12" s="335" t="n"/>
      <c r="N12" s="335" t="n"/>
    </row>
    <row r="13">
      <c r="A13" s="382" t="n"/>
      <c r="B13" s="369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18" t="n"/>
      <c r="J13" s="218" t="n"/>
    </row>
    <row r="14" ht="25.5" customHeight="1" s="327">
      <c r="A14" s="382" t="n">
        <v>1</v>
      </c>
      <c r="B14" s="320" t="inlineStr">
        <is>
          <t>1-4-1</t>
        </is>
      </c>
      <c r="C14" s="386" t="inlineStr">
        <is>
          <t>Затраты труда рабочих-строителей среднего разряда (4,1)</t>
        </is>
      </c>
      <c r="D14" s="387" t="inlineStr">
        <is>
          <t>чел.-ч.</t>
        </is>
      </c>
      <c r="E14" s="317" t="n">
        <v>17011.536858406</v>
      </c>
      <c r="F14" s="325" t="n">
        <v>9.76</v>
      </c>
      <c r="G14" s="325">
        <f>ROUND(E14*F14,2)</f>
        <v/>
      </c>
      <c r="H14" s="324">
        <f>G14/G15</f>
        <v/>
      </c>
      <c r="I14" s="325">
        <f>ФОТр.тек.!E13</f>
        <v/>
      </c>
      <c r="J14" s="226">
        <f>ROUND(I14*E14,2)</f>
        <v/>
      </c>
    </row>
    <row r="15" ht="25.5" customFormat="1" customHeight="1" s="335">
      <c r="A15" s="382" t="n"/>
      <c r="B15" s="387" t="n"/>
      <c r="C15" s="391" t="inlineStr">
        <is>
          <t>Итого по разделу "Затраты труда рабочих-строителей"</t>
        </is>
      </c>
      <c r="D15" s="387" t="inlineStr">
        <is>
          <t>чел.-ч.</t>
        </is>
      </c>
      <c r="E15" s="317">
        <f>SUM(E14:E14)</f>
        <v/>
      </c>
      <c r="F15" s="325" t="n"/>
      <c r="G15" s="325">
        <f>SUM(G14:G14)</f>
        <v/>
      </c>
      <c r="H15" s="390" t="n">
        <v>1</v>
      </c>
      <c r="I15" s="319" t="n"/>
      <c r="J15" s="226">
        <f>SUM(J14:J14)</f>
        <v/>
      </c>
    </row>
    <row r="16" ht="14.25" customFormat="1" customHeight="1" s="335">
      <c r="A16" s="382" t="n"/>
      <c r="B16" s="386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319" t="n"/>
      <c r="J16" s="218" t="n"/>
    </row>
    <row r="17" ht="14.25" customFormat="1" customHeight="1" s="335">
      <c r="A17" s="382" t="n">
        <v>2</v>
      </c>
      <c r="B17" s="387" t="n">
        <v>2</v>
      </c>
      <c r="C17" s="386" t="inlineStr">
        <is>
          <t>Затраты труда машинистов</t>
        </is>
      </c>
      <c r="D17" s="387" t="inlineStr">
        <is>
          <t>чел.-ч.</t>
        </is>
      </c>
      <c r="E17" s="317" t="n">
        <v>5081.5647577378</v>
      </c>
      <c r="F17" s="325" t="n">
        <v>8.6034990895609</v>
      </c>
      <c r="G17" s="325">
        <f>ROUND(E17*F17,2)</f>
        <v/>
      </c>
      <c r="H17" s="390" t="n">
        <v>1</v>
      </c>
      <c r="I17" s="325">
        <f>ROUND(F17*'Прил. 10'!D11,2)</f>
        <v/>
      </c>
      <c r="J17" s="226">
        <f>ROUND(I17*E17,2)</f>
        <v/>
      </c>
    </row>
    <row r="18" ht="14.25" customFormat="1" customHeight="1" s="335">
      <c r="A18" s="382" t="n"/>
      <c r="B18" s="391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319" t="n"/>
      <c r="J18" s="218" t="n"/>
    </row>
    <row r="19" ht="14.25" customFormat="1" customHeight="1" s="335">
      <c r="A19" s="382" t="n"/>
      <c r="B19" s="386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319" t="n"/>
      <c r="J19" s="218" t="n"/>
    </row>
    <row r="20" ht="25.5" customFormat="1" customHeight="1" s="335">
      <c r="A20" s="382" t="n">
        <v>3</v>
      </c>
      <c r="B20" s="320" t="inlineStr">
        <is>
          <t>91.15.02-029</t>
        </is>
      </c>
      <c r="C20" s="386" t="inlineStr">
        <is>
          <t>Тракторы на гусеничном ходу с лебедкой 132 кВт (180 л.с.)</t>
        </is>
      </c>
      <c r="D20" s="387" t="inlineStr">
        <is>
          <t>маш.час</t>
        </is>
      </c>
      <c r="E20" s="317" t="n">
        <v>1660.7543021947</v>
      </c>
      <c r="F20" s="389" t="n">
        <v>147.43</v>
      </c>
      <c r="G20" s="325">
        <f>ROUND(E20*F20,2)</f>
        <v/>
      </c>
      <c r="H20" s="324">
        <f>G20/$G$31</f>
        <v/>
      </c>
      <c r="I20" s="325">
        <f>ROUND(F20*'Прил. 10'!$D$12,2)</f>
        <v/>
      </c>
      <c r="J20" s="226">
        <f>ROUND(I20*E20,2)</f>
        <v/>
      </c>
    </row>
    <row r="21" ht="27" customFormat="1" customHeight="1" s="335">
      <c r="A21" s="382" t="n">
        <v>4</v>
      </c>
      <c r="B21" s="320" t="inlineStr">
        <is>
          <t>91.13.03-111</t>
        </is>
      </c>
      <c r="C21" s="386" t="inlineStr">
        <is>
          <t>Спецавтомобили-вездеходы, грузоподъемность до 8 т</t>
        </is>
      </c>
      <c r="D21" s="387" t="inlineStr">
        <is>
          <t>маш.час</t>
        </is>
      </c>
      <c r="E21" s="317" t="n">
        <v>1053.687077659</v>
      </c>
      <c r="F21" s="389" t="n">
        <v>189.95</v>
      </c>
      <c r="G21" s="325">
        <f>ROUND(E21*F21,2)</f>
        <v/>
      </c>
      <c r="H21" s="324">
        <f>G21/$G$31</f>
        <v/>
      </c>
      <c r="I21" s="325">
        <f>ROUND(F21*'Прил. 10'!$D$12,2)</f>
        <v/>
      </c>
      <c r="J21" s="226">
        <f>ROUND(I21*E21,2)</f>
        <v/>
      </c>
    </row>
    <row r="22" ht="51" customFormat="1" customHeight="1" s="335">
      <c r="A22" s="382" t="n">
        <v>5</v>
      </c>
      <c r="B22" s="223" t="inlineStr">
        <is>
          <t>91.05.14-516</t>
        </is>
      </c>
      <c r="C22" s="38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82" t="inlineStr">
        <is>
          <t>маш.час</t>
        </is>
      </c>
      <c r="E22" s="228" t="n">
        <v>1872.235766179</v>
      </c>
      <c r="F22" s="384" t="n">
        <v>77.64</v>
      </c>
      <c r="G22" s="226">
        <f>ROUND(E22*F22,2)</f>
        <v/>
      </c>
      <c r="H22" s="229">
        <f>G22/$G$31</f>
        <v/>
      </c>
      <c r="I22" s="226">
        <f>ROUND(F22*'Прил. 10'!$D$12,2)</f>
        <v/>
      </c>
      <c r="J22" s="226">
        <f>ROUND(I22*E22,2)</f>
        <v/>
      </c>
    </row>
    <row r="23" ht="24.75" customFormat="1" customHeight="1" s="335">
      <c r="A23" s="382" t="n">
        <v>6</v>
      </c>
      <c r="B23" s="382" t="n"/>
      <c r="C23" s="381" t="inlineStr">
        <is>
          <t>Итого основные машины и механизмы</t>
        </is>
      </c>
      <c r="D23" s="382" t="n"/>
      <c r="E23" s="228" t="n"/>
      <c r="F23" s="226" t="n"/>
      <c r="G23" s="226">
        <f>SUM(G20:G22)</f>
        <v/>
      </c>
      <c r="H23" s="385">
        <f>G23/G31</f>
        <v/>
      </c>
      <c r="I23" s="219" t="n"/>
      <c r="J23" s="226">
        <f>SUM(J20:J22)</f>
        <v/>
      </c>
    </row>
    <row r="24" outlineLevel="1" ht="25.5" customFormat="1" customHeight="1" s="335">
      <c r="A24" s="382" t="n">
        <v>7</v>
      </c>
      <c r="B24" s="223" t="inlineStr">
        <is>
          <t>91.05.05-015</t>
        </is>
      </c>
      <c r="C24" s="381" t="inlineStr">
        <is>
          <t>Краны на автомобильном ходу, грузоподъемность 16 т</t>
        </is>
      </c>
      <c r="D24" s="382" t="inlineStr">
        <is>
          <t>маш.час</t>
        </is>
      </c>
      <c r="E24" s="228" t="n">
        <v>490.97658778841</v>
      </c>
      <c r="F24" s="384" t="n">
        <v>115.4</v>
      </c>
      <c r="G24" s="226">
        <f>ROUND(E24*F24,2)</f>
        <v/>
      </c>
      <c r="H24" s="229">
        <f>G24/$G$31</f>
        <v/>
      </c>
      <c r="I24" s="226">
        <f>ROUND(F24*'Прил. 10'!$D$12,2)</f>
        <v/>
      </c>
      <c r="J24" s="226">
        <f>ROUND(I24*E24,2)</f>
        <v/>
      </c>
    </row>
    <row r="25" outlineLevel="1" ht="25.5" customFormat="1" customHeight="1" s="335">
      <c r="A25" s="382" t="n">
        <v>8</v>
      </c>
      <c r="B25" s="223" t="inlineStr">
        <is>
          <t>91.06.09-101</t>
        </is>
      </c>
      <c r="C25" s="381" t="inlineStr">
        <is>
          <t>Стрелы монтажные А-образные для подъема опор ВЛ, высота до 22 м</t>
        </is>
      </c>
      <c r="D25" s="382" t="inlineStr">
        <is>
          <t>маш.час</t>
        </is>
      </c>
      <c r="E25" s="228" t="n">
        <v>475.80944625774</v>
      </c>
      <c r="F25" s="384" t="n">
        <v>6.24</v>
      </c>
      <c r="G25" s="226">
        <f>ROUND(E25*F25,2)</f>
        <v/>
      </c>
      <c r="H25" s="229">
        <f>G25/$G$31</f>
        <v/>
      </c>
      <c r="I25" s="226">
        <f>ROUND(F25*'Прил. 10'!$D$12,2)</f>
        <v/>
      </c>
      <c r="J25" s="226">
        <f>ROUND(I25*E25,2)</f>
        <v/>
      </c>
    </row>
    <row r="26" outlineLevel="1" ht="38.25" customFormat="1" customHeight="1" s="335">
      <c r="A26" s="382" t="n">
        <v>9</v>
      </c>
      <c r="B26" s="223" t="inlineStr">
        <is>
          <t>91.17.04-036</t>
        </is>
      </c>
      <c r="C26" s="381" t="inlineStr">
        <is>
          <t>Агрегаты сварочные передвижные с дизельным двигателем, номинальный сварочный ток 250-400 А</t>
        </is>
      </c>
      <c r="D26" s="382" t="inlineStr">
        <is>
          <t>маш.час</t>
        </is>
      </c>
      <c r="E26" s="228" t="n">
        <v>87.759561057963</v>
      </c>
      <c r="F26" s="384" t="n">
        <v>14</v>
      </c>
      <c r="G26" s="226">
        <f>ROUND(E26*F26,2)</f>
        <v/>
      </c>
      <c r="H26" s="229">
        <f>G26/$G$31</f>
        <v/>
      </c>
      <c r="I26" s="226">
        <f>ROUND(F26*'Прил. 10'!$D$12,2)</f>
        <v/>
      </c>
      <c r="J26" s="226">
        <f>ROUND(I26*E26,2)</f>
        <v/>
      </c>
    </row>
    <row r="27" outlineLevel="1" ht="25.5" customFormat="1" customHeight="1" s="335">
      <c r="A27" s="382" t="n">
        <v>10</v>
      </c>
      <c r="B27" s="223" t="inlineStr">
        <is>
          <t>91.06.01-002</t>
        </is>
      </c>
      <c r="C27" s="381" t="inlineStr">
        <is>
          <t>Домкраты гидравлические, грузоподъемность 6,3-25 т</t>
        </is>
      </c>
      <c r="D27" s="382" t="inlineStr">
        <is>
          <t>маш.час</t>
        </is>
      </c>
      <c r="E27" s="228" t="n">
        <v>1868.229351435</v>
      </c>
      <c r="F27" s="384" t="n">
        <v>0.48</v>
      </c>
      <c r="G27" s="226">
        <f>ROUND(E27*F27,2)</f>
        <v/>
      </c>
      <c r="H27" s="229">
        <f>G27/$G$31</f>
        <v/>
      </c>
      <c r="I27" s="226">
        <f>ROUND(F27*'Прил. 10'!$D$12,2)</f>
        <v/>
      </c>
      <c r="J27" s="226">
        <f>ROUND(I27*E27,2)</f>
        <v/>
      </c>
    </row>
    <row r="28" outlineLevel="1" ht="25.5" customFormat="1" customHeight="1" s="335">
      <c r="A28" s="382" t="n">
        <v>11</v>
      </c>
      <c r="B28" s="223" t="inlineStr">
        <is>
          <t>91.14.02-001</t>
        </is>
      </c>
      <c r="C28" s="381" t="inlineStr">
        <is>
          <t>Автомобили бортовые, грузоподъемность до 5 т</t>
        </is>
      </c>
      <c r="D28" s="382" t="inlineStr">
        <is>
          <t>маш.час</t>
        </is>
      </c>
      <c r="E28" s="228" t="n">
        <v>3.8156330894767</v>
      </c>
      <c r="F28" s="384" t="n">
        <v>65.70999999999999</v>
      </c>
      <c r="G28" s="226">
        <f>ROUND(E28*F28,2)</f>
        <v/>
      </c>
      <c r="H28" s="229">
        <f>G28/$G$31</f>
        <v/>
      </c>
      <c r="I28" s="226">
        <f>ROUND(F28*'Прил. 10'!$D$12,2)</f>
        <v/>
      </c>
      <c r="J28" s="226">
        <f>ROUND(I28*E28,2)</f>
        <v/>
      </c>
    </row>
    <row r="29" outlineLevel="1" ht="38.25" customFormat="1" customHeight="1" s="335">
      <c r="A29" s="382" t="n">
        <v>12</v>
      </c>
      <c r="B29" s="223" t="inlineStr">
        <is>
          <t>91.21.01-012</t>
        </is>
      </c>
      <c r="C29" s="381" t="inlineStr">
        <is>
          <t>Агрегаты окрасочные высокого давления для окраски поверхностей конструкций, мощность 1 кВт</t>
        </is>
      </c>
      <c r="D29" s="382" t="inlineStr">
        <is>
          <t>маш.час</t>
        </is>
      </c>
      <c r="E29" s="228" t="n">
        <v>0.28617248171075</v>
      </c>
      <c r="F29" s="384" t="n">
        <v>6.82</v>
      </c>
      <c r="G29" s="226">
        <f>ROUND(E29*F29,2)</f>
        <v/>
      </c>
      <c r="H29" s="229">
        <f>G29/$G$31</f>
        <v/>
      </c>
      <c r="I29" s="226">
        <f>ROUND(F29*'Прил. 10'!$D$12,2)</f>
        <v/>
      </c>
      <c r="J29" s="226">
        <f>ROUND(I29*E29,2)</f>
        <v/>
      </c>
    </row>
    <row r="30" ht="28.5" customFormat="1" customHeight="1" s="335">
      <c r="A30" s="382" t="n"/>
      <c r="B30" s="382" t="n"/>
      <c r="C30" s="381" t="inlineStr">
        <is>
          <t>Итого прочие машины и механизмы</t>
        </is>
      </c>
      <c r="D30" s="382" t="n"/>
      <c r="E30" s="383" t="n"/>
      <c r="F30" s="226" t="n"/>
      <c r="G30" s="219">
        <f>SUM(G24:G29)</f>
        <v/>
      </c>
      <c r="H30" s="229">
        <f>G30/G31</f>
        <v/>
      </c>
      <c r="I30" s="226" t="n"/>
      <c r="J30" s="219">
        <f>SUM(J24:J29)</f>
        <v/>
      </c>
    </row>
    <row r="31" ht="25.5" customFormat="1" customHeight="1" s="335">
      <c r="A31" s="382" t="n"/>
      <c r="B31" s="382" t="n"/>
      <c r="C31" s="369" t="inlineStr">
        <is>
          <t>Итого по разделу «Машины и механизмы»</t>
        </is>
      </c>
      <c r="D31" s="382" t="n"/>
      <c r="E31" s="383" t="n"/>
      <c r="F31" s="226" t="n"/>
      <c r="G31" s="226">
        <f>G30+G23</f>
        <v/>
      </c>
      <c r="H31" s="212" t="n">
        <v>1</v>
      </c>
      <c r="I31" s="213" t="n"/>
      <c r="J31" s="239">
        <f>J30+J23</f>
        <v/>
      </c>
    </row>
    <row r="32" ht="14.25" customFormat="1" customHeight="1" s="335">
      <c r="A32" s="382" t="n"/>
      <c r="B32" s="369" t="inlineStr">
        <is>
          <t>Оборудование</t>
        </is>
      </c>
      <c r="C32" s="451" t="n"/>
      <c r="D32" s="451" t="n"/>
      <c r="E32" s="451" t="n"/>
      <c r="F32" s="451" t="n"/>
      <c r="G32" s="451" t="n"/>
      <c r="H32" s="452" t="n"/>
      <c r="I32" s="218" t="n"/>
      <c r="J32" s="218" t="n"/>
    </row>
    <row r="33">
      <c r="A33" s="382" t="n"/>
      <c r="B33" s="381" t="inlineStr">
        <is>
          <t>Основное оборудование</t>
        </is>
      </c>
      <c r="C33" s="451" t="n"/>
      <c r="D33" s="451" t="n"/>
      <c r="E33" s="451" t="n"/>
      <c r="F33" s="451" t="n"/>
      <c r="G33" s="451" t="n"/>
      <c r="H33" s="452" t="n"/>
      <c r="I33" s="218" t="n"/>
      <c r="J33" s="218" t="n"/>
      <c r="L33" s="335" t="n"/>
    </row>
    <row r="34">
      <c r="A34" s="382" t="n"/>
      <c r="B34" s="382" t="n"/>
      <c r="C34" s="381" t="inlineStr">
        <is>
          <t>Итого основное оборудование</t>
        </is>
      </c>
      <c r="D34" s="382" t="n"/>
      <c r="E34" s="228" t="n"/>
      <c r="F34" s="384" t="n"/>
      <c r="G34" s="226" t="n">
        <v>0</v>
      </c>
      <c r="H34" s="385" t="n">
        <v>0</v>
      </c>
      <c r="I34" s="219" t="n"/>
      <c r="J34" s="226" t="n">
        <v>0</v>
      </c>
      <c r="L34" s="335" t="n"/>
    </row>
    <row r="35">
      <c r="A35" s="382" t="n"/>
      <c r="B35" s="382" t="n"/>
      <c r="C35" s="381" t="inlineStr">
        <is>
          <t>Итого прочее оборудование</t>
        </is>
      </c>
      <c r="D35" s="382" t="n"/>
      <c r="E35" s="228" t="n"/>
      <c r="F35" s="384" t="n"/>
      <c r="G35" s="226" t="n">
        <v>0</v>
      </c>
      <c r="H35" s="385" t="n">
        <v>0</v>
      </c>
      <c r="I35" s="219" t="n"/>
      <c r="J35" s="226" t="n">
        <v>0</v>
      </c>
      <c r="L35" s="335" t="n"/>
    </row>
    <row r="36">
      <c r="A36" s="382" t="n"/>
      <c r="B36" s="382" t="n"/>
      <c r="C36" s="369" t="inlineStr">
        <is>
          <t>Итого по разделу «Оборудование»</t>
        </is>
      </c>
      <c r="D36" s="382" t="n"/>
      <c r="E36" s="383" t="n"/>
      <c r="F36" s="384" t="n"/>
      <c r="G36" s="226">
        <f>G35+G34</f>
        <v/>
      </c>
      <c r="H36" s="385">
        <f>H35+H34</f>
        <v/>
      </c>
      <c r="I36" s="219" t="n"/>
      <c r="J36" s="226">
        <f>J35+J34</f>
        <v/>
      </c>
      <c r="L36" s="335" t="n"/>
    </row>
    <row r="37" ht="25.5" customHeight="1" s="327">
      <c r="A37" s="382" t="n"/>
      <c r="B37" s="382" t="n"/>
      <c r="C37" s="381" t="inlineStr">
        <is>
          <t>в том числе технологическое оборудование</t>
        </is>
      </c>
      <c r="D37" s="382" t="n"/>
      <c r="E37" s="220" t="n"/>
      <c r="F37" s="384" t="n"/>
      <c r="G37" s="226">
        <f>G36</f>
        <v/>
      </c>
      <c r="H37" s="385" t="n"/>
      <c r="I37" s="219" t="n"/>
      <c r="J37" s="226">
        <f>J36</f>
        <v/>
      </c>
      <c r="L37" s="300" t="n"/>
    </row>
    <row r="38" ht="14.25" customFormat="1" customHeight="1" s="335">
      <c r="A38" s="382" t="n"/>
      <c r="B38" s="369" t="inlineStr">
        <is>
          <t>Материалы</t>
        </is>
      </c>
      <c r="C38" s="451" t="n"/>
      <c r="D38" s="451" t="n"/>
      <c r="E38" s="451" t="n"/>
      <c r="F38" s="451" t="n"/>
      <c r="G38" s="451" t="n"/>
      <c r="H38" s="452" t="n"/>
      <c r="I38" s="218" t="n"/>
      <c r="J38" s="218" t="n"/>
    </row>
    <row r="39" ht="14.25" customFormat="1" customHeight="1" s="335">
      <c r="A39" s="377" t="n"/>
      <c r="B39" s="376" t="inlineStr">
        <is>
          <t>Основные материалы</t>
        </is>
      </c>
      <c r="C39" s="459" t="n"/>
      <c r="D39" s="459" t="n"/>
      <c r="E39" s="459" t="n"/>
      <c r="F39" s="459" t="n"/>
      <c r="G39" s="459" t="n"/>
      <c r="H39" s="460" t="n"/>
      <c r="I39" s="233" t="n"/>
      <c r="J39" s="233" t="n"/>
    </row>
    <row r="40" ht="51" customFormat="1" customHeight="1" s="335">
      <c r="A40" s="382" t="n">
        <v>13</v>
      </c>
      <c r="B40" s="223" t="inlineStr">
        <is>
          <t>БЦ.98.19</t>
        </is>
      </c>
      <c r="C40" s="381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D40" s="382" t="inlineStr">
        <is>
          <t>т</t>
        </is>
      </c>
      <c r="E40" s="228" t="n">
        <v>409.547</v>
      </c>
      <c r="F40" s="384">
        <f>ROUND(I40/'Прил. 10'!$D$13,2)</f>
        <v/>
      </c>
      <c r="G40" s="226">
        <f>ROUND(E40*F40,2)</f>
        <v/>
      </c>
      <c r="H40" s="229">
        <f>G40/$G$50</f>
        <v/>
      </c>
      <c r="I40" s="226" t="n">
        <v>250068.4</v>
      </c>
      <c r="J40" s="226">
        <f>ROUND(I40*E40,2)</f>
        <v/>
      </c>
    </row>
    <row r="41" ht="38.25" customFormat="1" customHeight="1" s="335">
      <c r="A41" s="382" t="n">
        <v>14</v>
      </c>
      <c r="B41" s="223" t="inlineStr">
        <is>
          <t>БЦ.98.20</t>
        </is>
      </c>
      <c r="C41" s="381" t="inlineStr">
        <is>
          <t>Опоры стальные многогранные линий электропередачи оцинкованные, многоцепные, класс напряжения 110 кВ</t>
        </is>
      </c>
      <c r="D41" s="382" t="inlineStr">
        <is>
          <t>т</t>
        </is>
      </c>
      <c r="E41" s="228" t="n">
        <v>350.687</v>
      </c>
      <c r="F41" s="384">
        <f>ROUND(I41/'Прил. 10'!$D$13,2)</f>
        <v/>
      </c>
      <c r="G41" s="226">
        <f>ROUND(E41*F41,2)</f>
        <v/>
      </c>
      <c r="H41" s="229">
        <f>G41/$G$50</f>
        <v/>
      </c>
      <c r="I41" s="226" t="n">
        <v>256139.15</v>
      </c>
      <c r="J41" s="226">
        <f>ROUND(I41*E41,2)</f>
        <v/>
      </c>
    </row>
    <row r="42" ht="14.25" customFormat="1" customHeight="1" s="335">
      <c r="A42" s="382" t="n"/>
      <c r="B42" s="234" t="n"/>
      <c r="C42" s="235" t="inlineStr">
        <is>
          <t>Итого основные материалы</t>
        </is>
      </c>
      <c r="D42" s="399" t="n"/>
      <c r="E42" s="237" t="n"/>
      <c r="F42" s="239" t="n"/>
      <c r="G42" s="239">
        <f>SUM(G40:G41)</f>
        <v/>
      </c>
      <c r="H42" s="229">
        <f>G42/$G$50</f>
        <v/>
      </c>
      <c r="I42" s="226" t="n"/>
      <c r="J42" s="239">
        <f>SUM(J40:J41)</f>
        <v/>
      </c>
    </row>
    <row r="43" outlineLevel="1" ht="25.5" customFormat="1" customHeight="1" s="335">
      <c r="A43" s="382" t="n">
        <v>15</v>
      </c>
      <c r="B43" s="223" t="inlineStr">
        <is>
          <t>08.3.07.01-0052</t>
        </is>
      </c>
      <c r="C43" s="381" t="inlineStr">
        <is>
          <t>Прокат полосовой, горячекатаный, марка стали Ст3сп, размер 50х5 мм</t>
        </is>
      </c>
      <c r="D43" s="382" t="inlineStr">
        <is>
          <t>т</t>
        </is>
      </c>
      <c r="E43" s="228" t="n">
        <v>7.4599442532358</v>
      </c>
      <c r="F43" s="384" t="n">
        <v>6726.18</v>
      </c>
      <c r="G43" s="226">
        <f>ROUND(E43*F43,2)</f>
        <v/>
      </c>
      <c r="H43" s="229">
        <f>G43/$G$50</f>
        <v/>
      </c>
      <c r="I43" s="226">
        <f>ROUND(F43*'Прил. 10'!$D$13,2)</f>
        <v/>
      </c>
      <c r="J43" s="226">
        <f>ROUND(I43*E43,2)</f>
        <v/>
      </c>
    </row>
    <row r="44" outlineLevel="1" ht="25.5" customFormat="1" customHeight="1" s="335">
      <c r="A44" s="382" t="n">
        <v>16</v>
      </c>
      <c r="B44" s="223" t="inlineStr">
        <is>
          <t>08.4.03.02-0006</t>
        </is>
      </c>
      <c r="C44" s="381" t="inlineStr">
        <is>
          <t>Сталь арматурная, горячекатаная, гладкая, класс А-I, диаметр 16-18 мм</t>
        </is>
      </c>
      <c r="D44" s="382" t="inlineStr">
        <is>
          <t>т</t>
        </is>
      </c>
      <c r="E44" s="228" t="n">
        <v>3.434069780529</v>
      </c>
      <c r="F44" s="384" t="n">
        <v>5650</v>
      </c>
      <c r="G44" s="226">
        <f>ROUND(E44*F44,2)</f>
        <v/>
      </c>
      <c r="H44" s="229">
        <f>G44/$G$50</f>
        <v/>
      </c>
      <c r="I44" s="226">
        <f>ROUND(F44*'Прил. 10'!$D$13,2)</f>
        <v/>
      </c>
      <c r="J44" s="226">
        <f>ROUND(I44*E44,2)</f>
        <v/>
      </c>
    </row>
    <row r="45" outlineLevel="1" ht="25.5" customFormat="1" customHeight="1" s="335">
      <c r="A45" s="382" t="n">
        <v>17</v>
      </c>
      <c r="B45" s="223" t="inlineStr">
        <is>
          <t>08.4.03.02-0004</t>
        </is>
      </c>
      <c r="C45" s="381" t="inlineStr">
        <is>
          <t>Сталь арматурная, горячекатаная, гладкая, класс А-I, диаметр 12 мм</t>
        </is>
      </c>
      <c r="D45" s="382" t="inlineStr">
        <is>
          <t>т</t>
        </is>
      </c>
      <c r="E45" s="228" t="n">
        <v>2.8617248171075</v>
      </c>
      <c r="F45" s="384" t="n">
        <v>6508.75</v>
      </c>
      <c r="G45" s="226">
        <f>ROUND(E45*F45,2)</f>
        <v/>
      </c>
      <c r="H45" s="229">
        <f>G45/$G$50</f>
        <v/>
      </c>
      <c r="I45" s="226">
        <f>ROUND(F45*'Прил. 10'!$D$13,2)</f>
        <v/>
      </c>
      <c r="J45" s="226">
        <f>ROUND(I45*E45,2)</f>
        <v/>
      </c>
    </row>
    <row r="46" outlineLevel="1" ht="14.25" customFormat="1" customHeight="1" s="335">
      <c r="A46" s="382" t="n">
        <v>18</v>
      </c>
      <c r="B46" s="223" t="inlineStr">
        <is>
          <t>01.7.11.07-0032</t>
        </is>
      </c>
      <c r="C46" s="381" t="inlineStr">
        <is>
          <t>Электроды сварочные Э42, диаметр 4 мм</t>
        </is>
      </c>
      <c r="D46" s="382" t="inlineStr">
        <is>
          <t>т</t>
        </is>
      </c>
      <c r="E46" s="228" t="n">
        <v>0.06284347698367999</v>
      </c>
      <c r="F46" s="384" t="n">
        <v>10315.01</v>
      </c>
      <c r="G46" s="226">
        <f>ROUND(E46*F46,2)</f>
        <v/>
      </c>
      <c r="H46" s="229">
        <f>G46/$G$50</f>
        <v/>
      </c>
      <c r="I46" s="226">
        <f>ROUND(F46*'Прил. 10'!$D$13,2)</f>
        <v/>
      </c>
      <c r="J46" s="226">
        <f>ROUND(I46*E46,2)</f>
        <v/>
      </c>
    </row>
    <row r="47" outlineLevel="1" ht="38.25" customFormat="1" customHeight="1" s="335">
      <c r="A47" s="382" t="n">
        <v>19</v>
      </c>
      <c r="B47" s="223" t="inlineStr">
        <is>
          <t>14.4.01.20-0012</t>
        </is>
      </c>
      <c r="C47" s="381" t="inlineStr">
        <is>
          <t>Грунтовка антикоррозионная цинкнаполненная быстросохнущая, преобразователь ржавчины и окалины</t>
        </is>
      </c>
      <c r="D47" s="382" t="inlineStr">
        <is>
          <t>т</t>
        </is>
      </c>
      <c r="E47" s="228" t="n">
        <v>0.0021462936128306</v>
      </c>
      <c r="F47" s="384" t="n">
        <v>86794.72</v>
      </c>
      <c r="G47" s="226">
        <f>ROUND(E47*F47,2)</f>
        <v/>
      </c>
      <c r="H47" s="229">
        <f>G47/$G$50</f>
        <v/>
      </c>
      <c r="I47" s="226">
        <f>ROUND(F47*'Прил. 10'!$D$13,2)</f>
        <v/>
      </c>
      <c r="J47" s="226">
        <f>ROUND(I47*E47,2)</f>
        <v/>
      </c>
    </row>
    <row r="48" outlineLevel="1" ht="14.25" customFormat="1" customHeight="1" s="335">
      <c r="A48" s="382" t="n">
        <v>20</v>
      </c>
      <c r="B48" s="223" t="inlineStr">
        <is>
          <t>14.5.09.07-0030</t>
        </is>
      </c>
      <c r="C48" s="381" t="inlineStr">
        <is>
          <t>Растворитель Р-4</t>
        </is>
      </c>
      <c r="D48" s="382" t="inlineStr">
        <is>
          <t>кг</t>
        </is>
      </c>
      <c r="E48" s="228" t="n">
        <v>0.10731468064153</v>
      </c>
      <c r="F48" s="384" t="n">
        <v>9.42</v>
      </c>
      <c r="G48" s="226">
        <f>ROUND(E48*F48,2)</f>
        <v/>
      </c>
      <c r="H48" s="229">
        <f>G48/$G$50</f>
        <v/>
      </c>
      <c r="I48" s="226">
        <f>ROUND(F48*'Прил. 10'!$D$13,2)</f>
        <v/>
      </c>
      <c r="J48" s="226">
        <f>ROUND(I48*E48,2)</f>
        <v/>
      </c>
    </row>
    <row r="49" ht="14.25" customFormat="1" customHeight="1" s="335">
      <c r="A49" s="382" t="n"/>
      <c r="B49" s="382" t="n"/>
      <c r="C49" s="381" t="inlineStr">
        <is>
          <t>Итого прочие материалы</t>
        </is>
      </c>
      <c r="D49" s="382" t="n"/>
      <c r="E49" s="383" t="n"/>
      <c r="F49" s="384" t="n"/>
      <c r="G49" s="239">
        <f>SUM(G43:G48)</f>
        <v/>
      </c>
      <c r="H49" s="229">
        <f>G49/$G$50</f>
        <v/>
      </c>
      <c r="I49" s="226" t="n"/>
      <c r="J49" s="239">
        <f>SUM(J43:J48)</f>
        <v/>
      </c>
    </row>
    <row r="50" ht="14.25" customFormat="1" customHeight="1" s="335">
      <c r="A50" s="382" t="n"/>
      <c r="B50" s="382" t="n"/>
      <c r="C50" s="369" t="inlineStr">
        <is>
          <t>Итого по разделу «Материалы»</t>
        </is>
      </c>
      <c r="D50" s="382" t="n"/>
      <c r="E50" s="383" t="n"/>
      <c r="F50" s="384" t="n"/>
      <c r="G50" s="325">
        <f>G42+G49</f>
        <v/>
      </c>
      <c r="H50" s="229">
        <f>G50/$G$50</f>
        <v/>
      </c>
      <c r="I50" s="226" t="n"/>
      <c r="J50" s="226">
        <f>J42+J49</f>
        <v/>
      </c>
    </row>
    <row r="51" ht="14.25" customFormat="1" customHeight="1" s="335">
      <c r="A51" s="382" t="n"/>
      <c r="B51" s="382" t="n"/>
      <c r="C51" s="381" t="inlineStr">
        <is>
          <t>ИТОГО ПО РМ</t>
        </is>
      </c>
      <c r="D51" s="382" t="n"/>
      <c r="E51" s="383" t="n"/>
      <c r="F51" s="384" t="n"/>
      <c r="G51" s="325">
        <f>G15+G31+G50</f>
        <v/>
      </c>
      <c r="H51" s="385" t="n"/>
      <c r="I51" s="226" t="n"/>
      <c r="J51" s="226">
        <f>J15+J31+J50</f>
        <v/>
      </c>
    </row>
    <row r="52" ht="14.25" customFormat="1" customHeight="1" s="335">
      <c r="A52" s="382" t="n"/>
      <c r="B52" s="382" t="n"/>
      <c r="C52" s="381" t="inlineStr">
        <is>
          <t>Накладные расходы</t>
        </is>
      </c>
      <c r="D52" s="221" t="n">
        <v>1.03</v>
      </c>
      <c r="E52" s="383" t="n"/>
      <c r="F52" s="384" t="n"/>
      <c r="G52" s="325">
        <f>D52*($G$15+$G$17)</f>
        <v/>
      </c>
      <c r="H52" s="385" t="n"/>
      <c r="I52" s="226" t="n"/>
      <c r="J52" s="226">
        <f>ROUND(D52*(J15+J17),2)</f>
        <v/>
      </c>
    </row>
    <row r="53" ht="14.25" customFormat="1" customHeight="1" s="335">
      <c r="A53" s="382" t="n"/>
      <c r="B53" s="382" t="n"/>
      <c r="C53" s="381" t="inlineStr">
        <is>
          <t>Сметная прибыль</t>
        </is>
      </c>
      <c r="D53" s="221" t="n">
        <v>0.8</v>
      </c>
      <c r="E53" s="383" t="n"/>
      <c r="F53" s="384" t="n"/>
      <c r="G53" s="325">
        <f>D53*($G$15+$G$17)</f>
        <v/>
      </c>
      <c r="H53" s="385" t="n"/>
      <c r="I53" s="226" t="n"/>
      <c r="J53" s="226">
        <f>ROUND(D53*(J15+J17),2)</f>
        <v/>
      </c>
    </row>
    <row r="54" ht="14.25" customFormat="1" customHeight="1" s="335">
      <c r="A54" s="382" t="n"/>
      <c r="B54" s="382" t="n"/>
      <c r="C54" s="381" t="inlineStr">
        <is>
          <t>Итого СМР (с НР и СП)</t>
        </is>
      </c>
      <c r="D54" s="382" t="n"/>
      <c r="E54" s="383" t="n"/>
      <c r="F54" s="384" t="n"/>
      <c r="G54" s="325">
        <f>ROUND((G15+G31+G50+G52+G53),2)</f>
        <v/>
      </c>
      <c r="H54" s="385" t="n"/>
      <c r="I54" s="226" t="n"/>
      <c r="J54" s="226">
        <f>ROUND((J15+J31+J50+J52+J53),2)</f>
        <v/>
      </c>
    </row>
    <row r="55" ht="14.25" customFormat="1" customHeight="1" s="335">
      <c r="A55" s="382" t="n"/>
      <c r="B55" s="382" t="n"/>
      <c r="C55" s="381" t="inlineStr">
        <is>
          <t>ВСЕГО СМР + ОБОРУДОВАНИЕ</t>
        </is>
      </c>
      <c r="D55" s="382" t="n"/>
      <c r="E55" s="383" t="n"/>
      <c r="F55" s="384" t="n"/>
      <c r="G55" s="226">
        <f>G54+G36</f>
        <v/>
      </c>
      <c r="H55" s="385" t="n"/>
      <c r="I55" s="226" t="n"/>
      <c r="J55" s="226">
        <f>J54+J36</f>
        <v/>
      </c>
    </row>
    <row r="56" ht="34.5" customFormat="1" customHeight="1" s="335">
      <c r="A56" s="382" t="n"/>
      <c r="B56" s="382" t="n"/>
      <c r="C56" s="381" t="inlineStr">
        <is>
          <t>ИТОГО ПОКАЗАТЕЛЬ НА ЕД. ИЗМ.</t>
        </is>
      </c>
      <c r="D56" s="382" t="inlineStr">
        <is>
          <t>ед.</t>
        </is>
      </c>
      <c r="E56" s="383" t="n">
        <v>22.58</v>
      </c>
      <c r="F56" s="384" t="n"/>
      <c r="G56" s="226">
        <f>G55/E56</f>
        <v/>
      </c>
      <c r="H56" s="385" t="n"/>
      <c r="I56" s="226" t="n"/>
      <c r="J56" s="226">
        <f>J55/E56</f>
        <v/>
      </c>
    </row>
    <row r="58" ht="14.25" customFormat="1" customHeight="1" s="335">
      <c r="A58" s="334" t="inlineStr">
        <is>
          <t>Составил ______________________     Е. М. Добровольская</t>
        </is>
      </c>
    </row>
    <row r="59" ht="14.25" customFormat="1" customHeight="1" s="335">
      <c r="A59" s="337" t="inlineStr">
        <is>
          <t xml:space="preserve">                         (подпись, инициалы, фамилия)</t>
        </is>
      </c>
    </row>
    <row r="60" ht="14.25" customFormat="1" customHeight="1" s="335">
      <c r="A60" s="334" t="n"/>
    </row>
    <row r="61" ht="14.25" customFormat="1" customHeight="1" s="335">
      <c r="A61" s="334" t="inlineStr">
        <is>
          <t>Проверил ______________________        А.В. Костянецкая</t>
        </is>
      </c>
    </row>
    <row r="62" ht="14.25" customFormat="1" customHeight="1" s="335">
      <c r="A62" s="33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38:H3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B16" sqref="B16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400" t="inlineStr">
        <is>
          <t>Приложение №6</t>
        </is>
      </c>
    </row>
    <row r="2">
      <c r="A2" s="400" t="n"/>
      <c r="B2" s="400" t="n"/>
      <c r="C2" s="400" t="n"/>
      <c r="D2" s="400" t="n"/>
      <c r="E2" s="400" t="n"/>
      <c r="F2" s="400" t="n"/>
      <c r="G2" s="400" t="n"/>
    </row>
    <row r="3">
      <c r="A3" s="346" t="inlineStr">
        <is>
          <t>Расчет стоимости оборудования</t>
        </is>
      </c>
    </row>
    <row r="4">
      <c r="A4" s="349" t="inlineStr">
        <is>
          <t>Наименование разрабатываемого показателя УНЦ — Опоры ВЛ 110 кВ одноцепная, многогранные опоры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>
      <c r="A6" s="405" t="inlineStr">
        <is>
          <t>№ пп.</t>
        </is>
      </c>
      <c r="B6" s="405" t="inlineStr">
        <is>
          <t>Код ресурса</t>
        </is>
      </c>
      <c r="C6" s="405" t="inlineStr">
        <is>
          <t>Наименование</t>
        </is>
      </c>
      <c r="D6" s="405" t="inlineStr">
        <is>
          <t>Ед. изм.</t>
        </is>
      </c>
      <c r="E6" s="382" t="inlineStr">
        <is>
          <t>Кол-во единиц по проектным данным</t>
        </is>
      </c>
      <c r="F6" s="405" t="inlineStr">
        <is>
          <t>Сметная стоимость в ценах на 01.01.2000 (руб.)</t>
        </is>
      </c>
      <c r="G6" s="452" t="n"/>
    </row>
    <row r="7" ht="30" customHeight="1" s="327">
      <c r="A7" s="454" t="n"/>
      <c r="B7" s="454" t="n"/>
      <c r="C7" s="454" t="n"/>
      <c r="D7" s="454" t="n"/>
      <c r="E7" s="454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>
      <c r="A9" s="263" t="n"/>
      <c r="B9" s="381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>
      <c r="A10" s="382" t="n"/>
      <c r="B10" s="301" t="n"/>
      <c r="C10" s="381" t="n"/>
      <c r="D10" s="381" t="n"/>
      <c r="E10" s="228" t="n"/>
      <c r="F10" s="226" t="n"/>
      <c r="G10" s="226">
        <f>ROUND(E10*F10,2)</f>
        <v/>
      </c>
    </row>
    <row r="11">
      <c r="A11" s="382" t="n"/>
      <c r="B11" s="369" t="n"/>
      <c r="C11" s="381" t="inlineStr">
        <is>
          <t>ИТОГО ИНЖЕНЕРНОЕ ОБОРУДОВАНИЕ</t>
        </is>
      </c>
      <c r="D11" s="369" t="n"/>
      <c r="E11" s="148" t="n"/>
      <c r="F11" s="384" t="n"/>
      <c r="G11" s="304">
        <f>SUM(G10:G10)</f>
        <v/>
      </c>
    </row>
    <row r="12">
      <c r="A12" s="382" t="n"/>
      <c r="B12" s="381" t="inlineStr">
        <is>
          <t>ТЕХНОЛОГИЧЕСКОЕ ОБОРУДОВАНИЕ</t>
        </is>
      </c>
      <c r="C12" s="451" t="n"/>
      <c r="D12" s="451" t="n"/>
      <c r="E12" s="451" t="n"/>
      <c r="F12" s="451" t="n"/>
      <c r="G12" s="452" t="n"/>
    </row>
    <row r="13">
      <c r="A13" s="382" t="n"/>
      <c r="B13" s="301" t="n"/>
      <c r="C13" s="381" t="n"/>
      <c r="D13" s="381" t="n"/>
      <c r="E13" s="228" t="n"/>
      <c r="F13" s="226" t="n"/>
      <c r="G13" s="226">
        <f>ROUND(E13*F13,2)</f>
        <v/>
      </c>
    </row>
    <row r="14" ht="25.5" customHeight="1" s="327">
      <c r="A14" s="382" t="n"/>
      <c r="B14" s="381" t="n"/>
      <c r="C14" s="381" t="inlineStr">
        <is>
          <t>ИТОГО ТЕХНОЛОГИЧЕСКОЕ ОБОРУДОВАНИЕ</t>
        </is>
      </c>
      <c r="D14" s="381" t="n"/>
      <c r="E14" s="404" t="n"/>
      <c r="F14" s="384" t="n"/>
      <c r="G14" s="226">
        <f>SUM(G13:G13)</f>
        <v/>
      </c>
    </row>
    <row r="15">
      <c r="A15" s="382" t="n"/>
      <c r="B15" s="381" t="n"/>
      <c r="C15" s="381" t="inlineStr">
        <is>
          <t>Всего по разделу «Оборудование»</t>
        </is>
      </c>
      <c r="D15" s="381" t="n"/>
      <c r="E15" s="404" t="n"/>
      <c r="F15" s="384" t="n"/>
      <c r="G15" s="226">
        <f>G14+G11</f>
        <v/>
      </c>
    </row>
    <row r="16">
      <c r="A16" s="336" t="n"/>
      <c r="B16" s="151" t="n"/>
      <c r="C16" s="336" t="n"/>
      <c r="D16" s="336" t="n"/>
      <c r="E16" s="336" t="n"/>
      <c r="F16" s="336" t="n"/>
      <c r="G16" s="336" t="n"/>
    </row>
    <row r="17">
      <c r="A17" s="334" t="inlineStr">
        <is>
          <t>Составил ______________________    Е. М. Добровольская</t>
        </is>
      </c>
      <c r="B17" s="335" t="n"/>
      <c r="C17" s="335" t="n"/>
      <c r="D17" s="336" t="n"/>
      <c r="E17" s="336" t="n"/>
      <c r="F17" s="336" t="n"/>
      <c r="G17" s="336" t="n"/>
    </row>
    <row r="18">
      <c r="A18" s="337" t="inlineStr">
        <is>
          <t xml:space="preserve">                         (подпись, инициалы, фамилия)</t>
        </is>
      </c>
      <c r="B18" s="335" t="n"/>
      <c r="C18" s="335" t="n"/>
      <c r="D18" s="336" t="n"/>
      <c r="E18" s="336" t="n"/>
      <c r="F18" s="336" t="n"/>
      <c r="G18" s="336" t="n"/>
    </row>
    <row r="19">
      <c r="A19" s="334" t="n"/>
      <c r="B19" s="335" t="n"/>
      <c r="C19" s="335" t="n"/>
      <c r="D19" s="336" t="n"/>
      <c r="E19" s="336" t="n"/>
      <c r="F19" s="336" t="n"/>
      <c r="G19" s="336" t="n"/>
    </row>
    <row r="20">
      <c r="A20" s="334" t="inlineStr">
        <is>
          <t>Проверил ______________________        А.В. Костянецкая</t>
        </is>
      </c>
      <c r="B20" s="335" t="n"/>
      <c r="C20" s="335" t="n"/>
      <c r="D20" s="336" t="n"/>
      <c r="E20" s="336" t="n"/>
      <c r="F20" s="336" t="n"/>
      <c r="G20" s="336" t="n"/>
    </row>
    <row r="21">
      <c r="A21" s="337" t="inlineStr">
        <is>
          <t xml:space="preserve">                        (подпись, инициалы, фамилия)</t>
        </is>
      </c>
      <c r="B21" s="335" t="n"/>
      <c r="C21" s="335" t="n"/>
      <c r="D21" s="336" t="n"/>
      <c r="E21" s="336" t="n"/>
      <c r="F21" s="336" t="n"/>
      <c r="G21" s="336" t="n"/>
    </row>
  </sheetData>
  <mergeCells count="11">
    <mergeCell ref="A1:G1"/>
    <mergeCell ref="A3:G3"/>
    <mergeCell ref="B9:G9"/>
    <mergeCell ref="A4:G4"/>
    <mergeCell ref="F6:G6"/>
    <mergeCell ref="B12:G12"/>
    <mergeCell ref="C6:C7"/>
    <mergeCell ref="A6:A7"/>
    <mergeCell ref="E6:E7"/>
    <mergeCell ref="D6:D7"/>
    <mergeCell ref="B6:B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30" t="n"/>
      <c r="B1" s="330" t="n"/>
      <c r="C1" s="330" t="n"/>
      <c r="D1" s="330" t="inlineStr">
        <is>
          <t>Приложение №7</t>
        </is>
      </c>
    </row>
    <row r="2" ht="15.75" customHeight="1" s="327">
      <c r="A2" s="330" t="n"/>
      <c r="B2" s="330" t="n"/>
      <c r="C2" s="330" t="n"/>
      <c r="D2" s="330" t="n"/>
    </row>
    <row r="3" ht="15.75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75" customHeight="1" s="327">
      <c r="A4" s="330" t="n"/>
      <c r="B4" s="330" t="n"/>
      <c r="C4" s="330" t="n"/>
      <c r="D4" s="330" t="n"/>
    </row>
    <row r="5" ht="31.5" customHeight="1" s="327">
      <c r="A5" s="406" t="inlineStr">
        <is>
          <t xml:space="preserve">Наименование разрабатываемого показателя УНЦ - </t>
        </is>
      </c>
      <c r="D5" s="406">
        <f>'Прил.5 Расчет СМР и ОБ'!D6:J6</f>
        <v/>
      </c>
    </row>
    <row r="6" ht="15.75" customHeight="1" s="327">
      <c r="A6" s="330" t="inlineStr">
        <is>
          <t>Единица измерения  — 1 км</t>
        </is>
      </c>
      <c r="B6" s="330" t="n"/>
      <c r="C6" s="330" t="n"/>
      <c r="D6" s="330" t="n"/>
    </row>
    <row r="7" ht="15.75" customHeight="1" s="327">
      <c r="A7" s="330" t="n"/>
      <c r="B7" s="330" t="n"/>
      <c r="C7" s="330" t="n"/>
      <c r="D7" s="330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27">
      <c r="A10" s="363" t="n">
        <v>1</v>
      </c>
      <c r="B10" s="363" t="n">
        <v>2</v>
      </c>
      <c r="C10" s="363" t="n">
        <v>3</v>
      </c>
      <c r="D10" s="363" t="n">
        <v>4</v>
      </c>
    </row>
    <row r="11" ht="31.5" customHeight="1" s="327">
      <c r="A11" s="363" t="inlineStr">
        <is>
          <t>Л3-04-3</t>
        </is>
      </c>
      <c r="B11" s="363" t="inlineStr">
        <is>
          <t xml:space="preserve">УНЦ опор ВЛ 0,4 - 750 кВ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А.П. Николаева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N30"/>
  <sheetViews>
    <sheetView view="pageBreakPreview" topLeftCell="B1" zoomScale="60" zoomScaleNormal="85" workbookViewId="0">
      <selection activeCell="J21" sqref="J21"/>
    </sheetView>
  </sheetViews>
  <sheetFormatPr baseColWidth="8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3" t="inlineStr">
        <is>
          <t>Приложение № 10</t>
        </is>
      </c>
    </row>
    <row r="5" ht="18.75" customHeight="1" s="327">
      <c r="B5" s="190" t="n"/>
    </row>
    <row r="6" ht="15.75" customHeight="1" s="327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7" t="n"/>
    </row>
    <row r="8">
      <c r="B8" s="407" t="n"/>
      <c r="C8" s="407" t="n"/>
      <c r="D8" s="407" t="n"/>
      <c r="E8" s="407" t="n"/>
    </row>
    <row r="9" ht="47.25" customHeight="1" s="327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7">
      <c r="B10" s="363" t="n">
        <v>1</v>
      </c>
      <c r="C10" s="363" t="n">
        <v>2</v>
      </c>
      <c r="D10" s="363" t="n">
        <v>3</v>
      </c>
    </row>
    <row r="11" ht="45" customHeight="1" s="327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от 01.04.2023г. №17772-ИФ/09 прил.9</t>
        </is>
      </c>
      <c r="D11" s="363" t="n">
        <v>46.83</v>
      </c>
      <c r="N11" t="inlineStr">
        <is>
          <t>  </t>
        </is>
      </c>
    </row>
    <row r="12" ht="29.25" customHeight="1" s="327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от 01.04.2023г. №17772-ИФ/09 прил.9</t>
        </is>
      </c>
      <c r="D12" s="363" t="n">
        <v>11.96</v>
      </c>
    </row>
    <row r="13" ht="29.25" customHeight="1" s="327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от 01.04.2023г. №17772-ИФ/09 прил.9</t>
        </is>
      </c>
      <c r="D13" s="363" t="n">
        <v>9.84</v>
      </c>
    </row>
    <row r="14" ht="30.75" customHeight="1" s="327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27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27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27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27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3" t="n">
        <v>0.002</v>
      </c>
    </row>
    <row r="19" ht="24" customHeight="1" s="327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3" t="n">
        <v>0.03</v>
      </c>
    </row>
    <row r="20" ht="18.75" customHeight="1" s="327">
      <c r="B20" s="275" t="n"/>
    </row>
    <row r="21" ht="18.75" customHeight="1" s="327">
      <c r="B21" s="275" t="n"/>
    </row>
    <row r="22" ht="18.75" customHeight="1" s="327">
      <c r="B22" s="275" t="n"/>
    </row>
    <row r="23" ht="18.75" customHeight="1" s="327">
      <c r="B23" s="275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23" sqref="C23"/>
    </sheetView>
  </sheetViews>
  <sheetFormatPr baseColWidth="8" defaultRowHeight="14.4"/>
  <cols>
    <col width="9.109375" customWidth="1" style="327" min="1" max="1"/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  <col width="9.109375" customWidth="1" style="327" min="7" max="7"/>
  </cols>
  <sheetData>
    <row r="2" ht="17.25" customHeight="1" s="327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4.1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2025-01-24T12:10:04Z</dcterms:modified>
  <cp:lastModifiedBy>user1</cp:lastModifiedBy>
</cp:coreProperties>
</file>