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16" fillId="0" borderId="0" pivotButton="0" quotePrefix="0" xfId="0"/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21" zoomScale="70" zoomScaleNormal="55" workbookViewId="0">
      <selection activeCell="G42" sqref="G42"/>
    </sheetView>
  </sheetViews>
  <sheetFormatPr baseColWidth="8" defaultColWidth="9.109375" defaultRowHeight="15.6"/>
  <cols>
    <col width="9.109375" customWidth="1" style="311" min="1" max="2"/>
    <col width="36.88671875" customWidth="1" style="311" min="3" max="3"/>
    <col width="36.5546875" customWidth="1" style="311" min="4" max="4"/>
    <col width="37.44140625" customWidth="1" style="311" min="5" max="5"/>
    <col width="9.109375" customWidth="1" style="311" min="6" max="6"/>
  </cols>
  <sheetData>
    <row r="3">
      <c r="B3" s="338" t="inlineStr">
        <is>
          <t>Приложение № 1</t>
        </is>
      </c>
    </row>
    <row r="4">
      <c r="B4" s="339" t="inlineStr">
        <is>
          <t>Сравнительная таблица отбора объекта-представителя</t>
        </is>
      </c>
    </row>
    <row r="5">
      <c r="B5" s="255" t="n"/>
      <c r="C5" s="255" t="n"/>
      <c r="D5" s="255" t="n"/>
    </row>
    <row r="6">
      <c r="B6" s="255" t="n"/>
      <c r="C6" s="255" t="n"/>
      <c r="D6" s="255" t="n"/>
    </row>
    <row r="7">
      <c r="B7" s="340" t="inlineStr">
        <is>
          <t>Наименование разрабатываемого показателя УНЦ — Опоры ВЛ 0,4 - 750 кВ. Одноцепная, все типы опор за исключением многогранных 220 кВ.</t>
        </is>
      </c>
      <c r="E7" s="254" t="n"/>
    </row>
    <row r="8" ht="31.5" customHeight="1" s="308">
      <c r="B8" s="340" t="inlineStr">
        <is>
          <t>Сопоставимый уровень цен: 1 кв 2022</t>
        </is>
      </c>
    </row>
    <row r="9">
      <c r="B9" s="340" t="inlineStr">
        <is>
          <t>Единица измерения  — 1 км</t>
        </is>
      </c>
      <c r="E9" s="254" t="n"/>
    </row>
    <row r="10">
      <c r="B10" s="340" t="n"/>
    </row>
    <row r="11">
      <c r="B11" s="346" t="inlineStr">
        <is>
          <t>№ п/п</t>
        </is>
      </c>
      <c r="C11" s="346" t="inlineStr">
        <is>
          <t>Параметр</t>
        </is>
      </c>
      <c r="D11" s="326" t="inlineStr">
        <is>
          <t>Объект-представитель 1</t>
        </is>
      </c>
      <c r="E11" s="254" t="n"/>
    </row>
    <row r="12" ht="291" customHeight="1" s="308">
      <c r="B12" s="346" t="n">
        <v>1</v>
      </c>
      <c r="C12" s="326" t="inlineStr">
        <is>
          <t>Наименование объекта-представителя</t>
        </is>
      </c>
      <c r="D12" s="346" t="inlineStr">
        <is>
          <t>Строительство ВЛ 220 кВ Усть-Кут – Ковыкта I и II цепь ориентировочной протяженностью 256 км, ремонтно-эксплуатационной базы для размещения линейного участка в районе ПС 220 кВ Ковыкта, реконструкции ПС 500 кВ Усть-Кут (расширение для установки линейных ячеек 220 кВ для подключения ВЛ 220 кВ Усть-Кут – Ковыкта I цепь, ВЛ 220 кВ Усть-Кут – Ковыкта II цепь) (для ТП энергопринимающих устройств и объектов по производству электрической энергии ПАО «Газпром») (2 этап)</t>
        </is>
      </c>
    </row>
    <row r="13" ht="31.5" customHeight="1" s="308">
      <c r="B13" s="346" t="n">
        <v>2</v>
      </c>
      <c r="C13" s="326" t="inlineStr">
        <is>
          <t>Наименование субъекта Российской Федерации</t>
        </is>
      </c>
      <c r="D13" s="346" t="inlineStr">
        <is>
          <t>Иркутская область</t>
        </is>
      </c>
    </row>
    <row r="14">
      <c r="B14" s="346" t="n">
        <v>3</v>
      </c>
      <c r="C14" s="326" t="inlineStr">
        <is>
          <t>Климатический район и подрайон</t>
        </is>
      </c>
      <c r="D14" s="346" t="inlineStr">
        <is>
          <t>IА</t>
        </is>
      </c>
    </row>
    <row r="15">
      <c r="B15" s="346" t="n">
        <v>4</v>
      </c>
      <c r="C15" s="326" t="inlineStr">
        <is>
          <t>Мощность объекта</t>
        </is>
      </c>
      <c r="D15" s="346" t="n">
        <v>164.4</v>
      </c>
    </row>
    <row r="16" ht="167.25" customHeight="1" s="308">
      <c r="B16" s="34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6" t="inlineStr">
        <is>
          <t>Решетчатые опоры ВЛ 220 кВ - 4394,5 тонн.</t>
        </is>
      </c>
    </row>
    <row r="17" ht="78.75" customHeight="1" s="308">
      <c r="B17" s="34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SUM(D18:D21)</f>
        <v/>
      </c>
      <c r="E17" s="250" t="n"/>
    </row>
    <row r="18">
      <c r="B18" s="253" t="inlineStr">
        <is>
          <t>6.1</t>
        </is>
      </c>
      <c r="C18" s="326" t="inlineStr">
        <is>
          <t>строительно-монтажные работы</t>
        </is>
      </c>
      <c r="D18" s="321">
        <f>'Прил.2 Расч стоим'!F12</f>
        <v/>
      </c>
    </row>
    <row r="19" ht="15.75" customHeight="1" s="308">
      <c r="B19" s="253" t="inlineStr">
        <is>
          <t>6.2</t>
        </is>
      </c>
      <c r="C19" s="326" t="inlineStr">
        <is>
          <t>оборудование и инвентарь</t>
        </is>
      </c>
      <c r="D19" s="321" t="n">
        <v>0</v>
      </c>
    </row>
    <row r="20" ht="16.5" customHeight="1" s="308">
      <c r="B20" s="253" t="inlineStr">
        <is>
          <t>6.3</t>
        </is>
      </c>
      <c r="C20" s="326" t="inlineStr">
        <is>
          <t>пусконаладочные работы</t>
        </is>
      </c>
      <c r="D20" s="321" t="n">
        <v>0</v>
      </c>
    </row>
    <row r="21" ht="35.25" customHeight="1" s="308">
      <c r="B21" s="253" t="inlineStr">
        <is>
          <t>6.4</t>
        </is>
      </c>
      <c r="C21" s="252" t="inlineStr">
        <is>
          <t>прочие и лимитированные затраты</t>
        </is>
      </c>
      <c r="D21" s="322" t="n">
        <v>65377.325451947</v>
      </c>
    </row>
    <row r="22">
      <c r="B22" s="346" t="n">
        <v>7</v>
      </c>
      <c r="C22" s="252" t="inlineStr">
        <is>
          <t>Сопоставимый уровень цен</t>
        </is>
      </c>
      <c r="D22" s="346" t="inlineStr">
        <is>
          <t>1 кв. 2022г</t>
        </is>
      </c>
      <c r="E22" s="250" t="n"/>
    </row>
    <row r="23" ht="123" customHeight="1" s="308">
      <c r="B23" s="346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</row>
    <row r="24" ht="60.75" customHeight="1" s="308">
      <c r="B24" s="34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50" t="n"/>
    </row>
    <row r="25" ht="164.25" customHeight="1" s="308">
      <c r="B25" s="346" t="n">
        <v>10</v>
      </c>
      <c r="C25" s="326" t="inlineStr">
        <is>
          <t>Примечание</t>
        </is>
      </c>
      <c r="D25" s="326" t="n"/>
    </row>
    <row r="26">
      <c r="B26" s="248" t="n"/>
      <c r="C26" s="247" t="n"/>
      <c r="D26" s="247" t="n"/>
    </row>
    <row r="27" ht="37.5" customHeight="1" s="308">
      <c r="B27" s="246" t="n"/>
    </row>
    <row r="28">
      <c r="B28" s="311" t="inlineStr">
        <is>
          <t>Составил ______________________        А.П. Николаева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11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53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4"/>
  <sheetViews>
    <sheetView view="pageBreakPreview" topLeftCell="A2" zoomScale="70" zoomScaleNormal="70" workbookViewId="0">
      <selection activeCell="C19" sqref="C19"/>
    </sheetView>
  </sheetViews>
  <sheetFormatPr baseColWidth="8" defaultColWidth="9.109375" defaultRowHeight="15.6"/>
  <cols>
    <col width="5.5546875" customWidth="1" style="311" min="1" max="1"/>
    <col width="9.109375" customWidth="1" style="311" min="2" max="2"/>
    <col width="35.33203125" customWidth="1" style="311" min="3" max="3"/>
    <col width="13.88671875" customWidth="1" style="311" min="4" max="4"/>
    <col width="24.88671875" customWidth="1" style="311" min="5" max="5"/>
    <col width="15.5546875" customWidth="1" style="311" min="6" max="6"/>
    <col width="14.88671875" customWidth="1" style="311" min="7" max="7"/>
    <col width="16.6640625" customWidth="1" style="311" min="8" max="8"/>
    <col width="13" customWidth="1" style="311" min="9" max="9"/>
    <col width="17.44140625" customWidth="1" style="311" min="10" max="10"/>
    <col width="18" customWidth="1" style="311" min="11" max="11"/>
    <col width="9.109375" customWidth="1" style="311" min="12" max="12"/>
  </cols>
  <sheetData>
    <row r="3">
      <c r="B3" s="338" t="inlineStr">
        <is>
          <t>Приложение № 2</t>
        </is>
      </c>
      <c r="K3" s="246" t="n"/>
    </row>
    <row r="4">
      <c r="B4" s="339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15.75" customHeight="1" s="308">
      <c r="B6" s="345" t="inlineStr">
        <is>
          <t>Наименование разрабатываемого показателя УНЦ —  Опоры ВЛ 0,4 - 750 кВ. Одноцепная, все типы опор за исключением многогранных 220 кВ.</t>
        </is>
      </c>
      <c r="K6" s="246" t="n"/>
      <c r="L6" s="254" t="n"/>
    </row>
    <row r="7">
      <c r="B7" s="340" t="inlineStr">
        <is>
          <t>Единица измерения  — 1 км</t>
        </is>
      </c>
      <c r="L7" s="254" t="n"/>
    </row>
    <row r="8">
      <c r="B8" s="340" t="n"/>
    </row>
    <row r="9" ht="15.75" customHeight="1" s="308">
      <c r="B9" s="346" t="inlineStr">
        <is>
          <t>№ п/п</t>
        </is>
      </c>
      <c r="C9" s="3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6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</row>
    <row r="10" ht="15.75" customHeight="1" s="308">
      <c r="B10" s="430" t="n"/>
      <c r="C10" s="430" t="n"/>
      <c r="D10" s="346" t="inlineStr">
        <is>
          <t>Номер сметы</t>
        </is>
      </c>
      <c r="E10" s="346" t="inlineStr">
        <is>
          <t>Наименование сметы</t>
        </is>
      </c>
      <c r="F10" s="346" t="inlineStr">
        <is>
          <t>Сметная стоимость в уровне цен 4 квартал 2021г, тыс. руб.</t>
        </is>
      </c>
      <c r="G10" s="428" t="n"/>
      <c r="H10" s="428" t="n"/>
      <c r="I10" s="428" t="n"/>
      <c r="J10" s="429" t="n"/>
    </row>
    <row r="11" ht="31.5" customHeight="1" s="308">
      <c r="B11" s="431" t="n"/>
      <c r="C11" s="431" t="n"/>
      <c r="D11" s="431" t="n"/>
      <c r="E11" s="431" t="n"/>
      <c r="F11" s="346" t="inlineStr">
        <is>
          <t>Строительные работы</t>
        </is>
      </c>
      <c r="G11" s="346" t="inlineStr">
        <is>
          <t>Монтажные работы</t>
        </is>
      </c>
      <c r="H11" s="346" t="inlineStr">
        <is>
          <t>Оборудование</t>
        </is>
      </c>
      <c r="I11" s="346" t="inlineStr">
        <is>
          <t>Прочее</t>
        </is>
      </c>
      <c r="J11" s="346" t="inlineStr">
        <is>
          <t>Всего</t>
        </is>
      </c>
    </row>
    <row r="12" ht="15.75" customHeight="1" s="308">
      <c r="B12" s="325" t="n">
        <v>1</v>
      </c>
      <c r="C12" s="326" t="inlineStr">
        <is>
          <t>Установка опор</t>
        </is>
      </c>
      <c r="D12" s="327" t="inlineStr">
        <is>
          <t>02.02-01-02</t>
        </is>
      </c>
      <c r="E12" s="326" t="inlineStr">
        <is>
          <t>Установка фундаментов и опор. Участок ПС Усть-Кут - опора №562 (включительно). Усть-Кутский район, 4 зона</t>
        </is>
      </c>
      <c r="F12" s="328">
        <f>628070386.43/1000</f>
        <v/>
      </c>
      <c r="G12" s="328" t="n"/>
      <c r="H12" s="328" t="n"/>
      <c r="I12" s="328" t="n"/>
      <c r="J12" s="329">
        <f>SUM(F12:I12)</f>
        <v/>
      </c>
    </row>
    <row r="13" ht="28.5" customHeight="1" s="308">
      <c r="B13" s="344" t="inlineStr">
        <is>
          <t>Всего по объекту:</t>
        </is>
      </c>
      <c r="C13" s="428" t="n"/>
      <c r="D13" s="428" t="n"/>
      <c r="E13" s="429" t="n"/>
      <c r="F13" s="330">
        <f>SUM(F12:F12)</f>
        <v/>
      </c>
      <c r="G13" s="330">
        <f>SUM(G12:G12)</f>
        <v/>
      </c>
      <c r="H13" s="330">
        <f>SUM(H12:H12)</f>
        <v/>
      </c>
      <c r="I13" s="330" t="n">
        <v>31755.866808287</v>
      </c>
      <c r="J13" s="330">
        <f>SUM(F13:I13)</f>
        <v/>
      </c>
    </row>
    <row r="14">
      <c r="B14" s="344" t="inlineStr">
        <is>
          <t>Всего по объекту в сопоставимом уровне цен 1 кв. 2022г:</t>
        </is>
      </c>
      <c r="C14" s="428" t="n"/>
      <c r="D14" s="428" t="n"/>
      <c r="E14" s="429" t="n"/>
      <c r="F14" s="330">
        <f>F13</f>
        <v/>
      </c>
      <c r="G14" s="330">
        <f>G13</f>
        <v/>
      </c>
      <c r="H14" s="330">
        <f>H13</f>
        <v/>
      </c>
      <c r="I14" s="330">
        <f>F14*3.3%+(F14+F14*3.3%)*1.7%</f>
        <v/>
      </c>
      <c r="J14" s="330">
        <f>SUM(F14:I14)</f>
        <v/>
      </c>
    </row>
    <row r="16">
      <c r="B16" s="372" t="inlineStr">
        <is>
          <t>*</t>
        </is>
      </c>
      <c r="C16" s="311" t="inlineStr">
        <is>
          <t xml:space="preserve"> - стоимость с учетом исключения затрат на корректровку по транспортировке  свыше 30 км.</t>
        </is>
      </c>
    </row>
    <row r="20">
      <c r="B20" s="311" t="inlineStr">
        <is>
          <t>Составил ______________________        А.П. Николаева</t>
        </is>
      </c>
    </row>
    <row r="21">
      <c r="B21" s="246" t="inlineStr">
        <is>
          <t xml:space="preserve">                         (подпись, инициалы, фамилия)</t>
        </is>
      </c>
    </row>
    <row r="23">
      <c r="B23" s="311" t="inlineStr">
        <is>
          <t>Проверил ______________________        А.В. Костянецкая</t>
        </is>
      </c>
    </row>
    <row r="24">
      <c r="B24" s="246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K34"/>
  <sheetViews>
    <sheetView view="pageBreakPreview" topLeftCell="A19" zoomScale="85" workbookViewId="0">
      <selection activeCell="C29" sqref="C29"/>
    </sheetView>
  </sheetViews>
  <sheetFormatPr baseColWidth="8" defaultColWidth="9.109375" defaultRowHeight="15.6"/>
  <cols>
    <col width="9.109375" customWidth="1" style="311" min="1" max="1"/>
    <col width="12.5546875" customWidth="1" style="311" min="2" max="2"/>
    <col width="22.44140625" customWidth="1" style="311" min="3" max="3"/>
    <col width="49.6640625" customWidth="1" style="311" min="4" max="4"/>
    <col width="10.109375" customWidth="1" style="311" min="5" max="5"/>
    <col width="20.6640625" customWidth="1" style="311" min="6" max="6"/>
    <col width="16.109375" customWidth="1" style="311" min="7" max="7"/>
    <col width="16.6640625" customWidth="1" style="311" min="8" max="8"/>
    <col width="9.109375" customWidth="1" style="311" min="9" max="9"/>
  </cols>
  <sheetData>
    <row r="2">
      <c r="A2" s="338" t="inlineStr">
        <is>
          <t xml:space="preserve">Приложение № 3 </t>
        </is>
      </c>
    </row>
    <row r="3">
      <c r="A3" s="339" t="inlineStr">
        <is>
          <t>Объектная ресурсная ведомость</t>
        </is>
      </c>
    </row>
    <row r="4">
      <c r="A4" s="340" t="n"/>
    </row>
    <row r="5">
      <c r="A5" s="345" t="inlineStr">
        <is>
          <t>Наименование разрабатываемого показателя УНЦ -  Опоры ВЛ 0,4 - 750 кВ. Одноцепная, все типы опор за исключением многогранных 220 кВ.</t>
        </is>
      </c>
    </row>
    <row r="6">
      <c r="A6" s="345" t="n"/>
      <c r="B6" s="345" t="n"/>
      <c r="C6" s="345" t="n"/>
      <c r="D6" s="345" t="n"/>
      <c r="E6" s="345" t="n"/>
      <c r="F6" s="345" t="n"/>
      <c r="G6" s="345" t="n"/>
      <c r="H6" s="345" t="n"/>
    </row>
    <row r="7" ht="38.25" customHeight="1" s="308">
      <c r="A7" s="346" t="inlineStr">
        <is>
          <t>п/п</t>
        </is>
      </c>
      <c r="B7" s="346" t="inlineStr">
        <is>
          <t>№ЛСР</t>
        </is>
      </c>
      <c r="C7" s="346" t="inlineStr">
        <is>
          <t>Код ресурса</t>
        </is>
      </c>
      <c r="D7" s="346" t="inlineStr">
        <is>
          <t>Наименование ресурса</t>
        </is>
      </c>
      <c r="E7" s="346" t="inlineStr">
        <is>
          <t>Ед. изм.</t>
        </is>
      </c>
      <c r="F7" s="346" t="inlineStr">
        <is>
          <t>Кол-во единиц по данным объекта-представителя</t>
        </is>
      </c>
      <c r="G7" s="346" t="inlineStr">
        <is>
          <t>Сметная стоимость в ценах на 01.01.2000 (руб.)</t>
        </is>
      </c>
      <c r="H7" s="429" t="n"/>
    </row>
    <row r="8" ht="40.5" customHeight="1" s="308">
      <c r="A8" s="431" t="n"/>
      <c r="B8" s="431" t="n"/>
      <c r="C8" s="431" t="n"/>
      <c r="D8" s="431" t="n"/>
      <c r="E8" s="431" t="n"/>
      <c r="F8" s="431" t="n"/>
      <c r="G8" s="346" t="inlineStr">
        <is>
          <t>на ед.изм.</t>
        </is>
      </c>
      <c r="H8" s="346" t="inlineStr">
        <is>
          <t>общая</t>
        </is>
      </c>
    </row>
    <row r="9">
      <c r="A9" s="266" t="n">
        <v>1</v>
      </c>
      <c r="B9" s="266" t="n"/>
      <c r="C9" s="266" t="n">
        <v>2</v>
      </c>
      <c r="D9" s="266" t="inlineStr">
        <is>
          <t>З</t>
        </is>
      </c>
      <c r="E9" s="266" t="n">
        <v>4</v>
      </c>
      <c r="F9" s="266" t="n">
        <v>5</v>
      </c>
      <c r="G9" s="266" t="n">
        <v>6</v>
      </c>
      <c r="H9" s="266" t="n">
        <v>7</v>
      </c>
    </row>
    <row r="10" customFormat="1" s="309">
      <c r="A10" s="347" t="inlineStr">
        <is>
          <t>Затраты труда рабочих</t>
        </is>
      </c>
      <c r="B10" s="428" t="n"/>
      <c r="C10" s="428" t="n"/>
      <c r="D10" s="428" t="n"/>
      <c r="E10" s="429" t="n"/>
      <c r="F10" s="262">
        <f>SUM(F11:F11)</f>
        <v/>
      </c>
      <c r="G10" s="262" t="n"/>
      <c r="H10" s="262">
        <f>SUM(H11:H11)</f>
        <v/>
      </c>
    </row>
    <row r="11">
      <c r="A11" s="348" t="n">
        <v>1</v>
      </c>
      <c r="B11" s="265" t="inlineStr">
        <is>
          <t xml:space="preserve"> 02-04-01</t>
        </is>
      </c>
      <c r="C11" s="264" t="inlineStr">
        <is>
          <t>1-4-2</t>
        </is>
      </c>
      <c r="D11" s="349" t="inlineStr">
        <is>
          <t>Затраты труда рабочих (ср 4,2)</t>
        </is>
      </c>
      <c r="E11" s="348" t="inlineStr">
        <is>
          <t>чел.-ч</t>
        </is>
      </c>
      <c r="F11" s="348" t="n">
        <v>101394.81983236</v>
      </c>
      <c r="G11" s="258" t="n">
        <v>9.92</v>
      </c>
      <c r="H11" s="258">
        <f>ROUND(F11*G11,2)</f>
        <v/>
      </c>
    </row>
    <row r="12">
      <c r="A12" s="347" t="inlineStr">
        <is>
          <t>Затраты труда машинистов</t>
        </is>
      </c>
      <c r="B12" s="428" t="n"/>
      <c r="C12" s="428" t="n"/>
      <c r="D12" s="428" t="n"/>
      <c r="E12" s="429" t="n"/>
      <c r="F12" s="347">
        <f>F13</f>
        <v/>
      </c>
      <c r="G12" s="262" t="n"/>
      <c r="H12" s="262">
        <f>H13</f>
        <v/>
      </c>
    </row>
    <row r="13">
      <c r="A13" s="348" t="n">
        <v>2</v>
      </c>
      <c r="B13" s="348" t="inlineStr">
        <is>
          <t xml:space="preserve"> 02-04-01</t>
        </is>
      </c>
      <c r="C13" s="349" t="n">
        <v>2</v>
      </c>
      <c r="D13" s="349" t="inlineStr">
        <is>
          <t>Затраты труда машинистов</t>
        </is>
      </c>
      <c r="E13" s="348" t="inlineStr">
        <is>
          <t>чел.-ч</t>
        </is>
      </c>
      <c r="F13" s="348" t="n">
        <v>36241.257108925</v>
      </c>
      <c r="G13" s="258" t="n">
        <v>0</v>
      </c>
      <c r="H13" s="258" t="n">
        <v>15666.66</v>
      </c>
    </row>
    <row r="14" customFormat="1" s="309">
      <c r="A14" s="347" t="inlineStr">
        <is>
          <t>Машины и механизмы</t>
        </is>
      </c>
      <c r="B14" s="428" t="n"/>
      <c r="C14" s="428" t="n"/>
      <c r="D14" s="428" t="n"/>
      <c r="E14" s="429" t="n"/>
      <c r="F14" s="347" t="n"/>
      <c r="G14" s="262" t="n"/>
      <c r="H14" s="262">
        <f>SUM(H15:H20)</f>
        <v/>
      </c>
    </row>
    <row r="15" ht="31.5" customHeight="1" s="308">
      <c r="A15" s="348" t="n">
        <v>3</v>
      </c>
      <c r="B15" s="348" t="inlineStr">
        <is>
          <t xml:space="preserve"> 02-04-01</t>
        </is>
      </c>
      <c r="C15" s="349" t="inlineStr">
        <is>
          <t>91.15.02-029</t>
        </is>
      </c>
      <c r="D15" s="349" t="inlineStr">
        <is>
          <t>Тракторы на гусеничном ходу с лебедкой 132 кВт (180 л.с.)</t>
        </is>
      </c>
      <c r="E15" s="348" t="inlineStr">
        <is>
          <t>маш.час</t>
        </is>
      </c>
      <c r="F15" s="348" t="n">
        <v>15694.785740755</v>
      </c>
      <c r="G15" s="258" t="n">
        <v>147.43</v>
      </c>
      <c r="H15" s="258">
        <f>ROUND(F15*G15,2)</f>
        <v/>
      </c>
      <c r="J15" s="267" t="n"/>
      <c r="K15" s="279" t="n"/>
    </row>
    <row r="16" ht="31.5" customFormat="1" customHeight="1" s="309">
      <c r="A16" s="348" t="n">
        <v>4</v>
      </c>
      <c r="B16" s="348" t="inlineStr">
        <is>
          <t xml:space="preserve"> 02-04-01</t>
        </is>
      </c>
      <c r="C16" s="349" t="inlineStr">
        <is>
          <t>91.13.03-111</t>
        </is>
      </c>
      <c r="D16" s="349" t="inlineStr">
        <is>
          <t>Спецавтомобили-вездеходы, грузоподъемность до 8 т</t>
        </is>
      </c>
      <c r="E16" s="348" t="inlineStr">
        <is>
          <t>маш.час</t>
        </is>
      </c>
      <c r="F16" s="348" t="n">
        <v>6491.8082098916</v>
      </c>
      <c r="G16" s="258" t="n">
        <v>189.95</v>
      </c>
      <c r="H16" s="258">
        <f>ROUND(F16*G16,2)</f>
        <v/>
      </c>
      <c r="K16" s="279" t="n"/>
    </row>
    <row r="17" ht="63" customHeight="1" s="308">
      <c r="A17" s="348" t="n">
        <v>5</v>
      </c>
      <c r="B17" s="348" t="inlineStr">
        <is>
          <t xml:space="preserve"> 02-04-01</t>
        </is>
      </c>
      <c r="C17" s="349" t="inlineStr">
        <is>
          <t>91.05.14-516</t>
        </is>
      </c>
      <c r="D17" s="349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7" s="348" t="inlineStr">
        <is>
          <t>маш.час</t>
        </is>
      </c>
      <c r="F17" s="348" t="n">
        <v>11856.679162316</v>
      </c>
      <c r="G17" s="258" t="n">
        <v>77.64</v>
      </c>
      <c r="H17" s="258">
        <f>ROUND(F17*G17,2)</f>
        <v/>
      </c>
      <c r="K17" s="279" t="n"/>
    </row>
    <row r="18" ht="31.5" customHeight="1" s="308">
      <c r="A18" s="348" t="n">
        <v>6</v>
      </c>
      <c r="B18" s="348" t="inlineStr">
        <is>
          <t xml:space="preserve"> 02-04-01</t>
        </is>
      </c>
      <c r="C18" s="349" t="inlineStr">
        <is>
          <t>91.05.05-015</t>
        </is>
      </c>
      <c r="D18" s="349" t="inlineStr">
        <is>
          <t>Краны на автомобильном ходу, грузоподъемность 16 т</t>
        </is>
      </c>
      <c r="E18" s="348" t="inlineStr">
        <is>
          <t>маш.час</t>
        </is>
      </c>
      <c r="F18" s="348" t="n">
        <v>2197.9839959628</v>
      </c>
      <c r="G18" s="258" t="n">
        <v>115.4</v>
      </c>
      <c r="H18" s="258">
        <f>ROUND(F18*G18,2)</f>
        <v/>
      </c>
    </row>
    <row r="19" ht="31.5" customHeight="1" s="308">
      <c r="A19" s="348" t="n">
        <v>7</v>
      </c>
      <c r="B19" s="348" t="inlineStr">
        <is>
          <t xml:space="preserve"> 02-04-01</t>
        </is>
      </c>
      <c r="C19" s="349" t="inlineStr">
        <is>
          <t>91.06.09-101</t>
        </is>
      </c>
      <c r="D19" s="349" t="inlineStr">
        <is>
          <t>Стрелы монтажные А-образные для подъема опор ВЛ, высота до 22 м</t>
        </is>
      </c>
      <c r="E19" s="348" t="inlineStr">
        <is>
          <t>маш.час</t>
        </is>
      </c>
      <c r="F19" s="348" t="n">
        <v>2057.914156433</v>
      </c>
      <c r="G19" s="258" t="n">
        <v>6.24</v>
      </c>
      <c r="H19" s="258">
        <f>ROUND(F19*G19,2)</f>
        <v/>
      </c>
    </row>
    <row r="20" ht="31.5" customHeight="1" s="308">
      <c r="A20" s="348" t="n">
        <v>8</v>
      </c>
      <c r="B20" s="348" t="inlineStr">
        <is>
          <t xml:space="preserve"> 02-04-01</t>
        </is>
      </c>
      <c r="C20" s="349" t="inlineStr">
        <is>
          <t>91.06.01-002</t>
        </is>
      </c>
      <c r="D20" s="349" t="inlineStr">
        <is>
          <t>Домкраты гидравлические, грузоподъемность 6,3-25 т</t>
        </is>
      </c>
      <c r="E20" s="348" t="inlineStr">
        <is>
          <t>маш.час</t>
        </is>
      </c>
      <c r="F20" s="348" t="n">
        <v>11847.073955339</v>
      </c>
      <c r="G20" s="258" t="n">
        <v>0.48</v>
      </c>
      <c r="H20" s="258">
        <f>ROUND(F20*G20,2)</f>
        <v/>
      </c>
    </row>
    <row r="21">
      <c r="A21" s="347" t="inlineStr">
        <is>
          <t>Материалы</t>
        </is>
      </c>
      <c r="B21" s="428" t="n"/>
      <c r="C21" s="428" t="n"/>
      <c r="D21" s="428" t="n"/>
      <c r="E21" s="429" t="n"/>
      <c r="F21" s="347" t="n"/>
      <c r="G21" s="262" t="n"/>
      <c r="H21" s="262">
        <f>SUM(H22:H27)</f>
        <v/>
      </c>
    </row>
    <row r="22" ht="47.25" customHeight="1" s="308">
      <c r="A22" s="348" t="n">
        <v>9</v>
      </c>
      <c r="B22" s="348" t="inlineStr">
        <is>
          <t xml:space="preserve"> 02-04-01</t>
        </is>
      </c>
      <c r="C22" s="349" t="inlineStr">
        <is>
          <t>07.4.03.08-0001</t>
        </is>
      </c>
      <c r="D22" s="349" t="inlineStr">
        <is>
          <t>Опоры решетчатые линий электропередачи оцинкованные, 220 кВ, анкерно-угловые, одностоечные, свободностоящие</t>
        </is>
      </c>
      <c r="E22" s="348" t="inlineStr">
        <is>
          <t>т</t>
        </is>
      </c>
      <c r="F22" s="319" t="n">
        <v>2849.9198</v>
      </c>
      <c r="G22" s="258" t="n">
        <v>23080.13</v>
      </c>
      <c r="H22" s="258">
        <f>ROUND(F22*G22,2)</f>
        <v/>
      </c>
      <c r="J22" s="279" t="n"/>
    </row>
    <row r="23" ht="47.25" customHeight="1" s="308">
      <c r="A23" s="348" t="n">
        <v>10</v>
      </c>
      <c r="B23" s="348" t="inlineStr">
        <is>
          <t xml:space="preserve"> 02-04-01</t>
        </is>
      </c>
      <c r="C23" s="349" t="inlineStr">
        <is>
          <t>07.4.03.03-0040</t>
        </is>
      </c>
      <c r="D23" s="349" t="inlineStr">
        <is>
          <t>Опоры решетчатые линий электропередачи оцинкованные, 220 кВ, промежуточные, одностоечные, свободностоящие</t>
        </is>
      </c>
      <c r="E23" s="348" t="inlineStr">
        <is>
          <t>т</t>
        </is>
      </c>
      <c r="F23" s="319" t="n">
        <v>1544.553</v>
      </c>
      <c r="G23" s="258" t="n">
        <v>22415.73</v>
      </c>
      <c r="H23" s="258">
        <f>ROUND(F23*G23,2)</f>
        <v/>
      </c>
      <c r="J23" s="279" t="n"/>
    </row>
    <row r="24" ht="31.5" customHeight="1" s="308">
      <c r="A24" s="348" t="n">
        <v>11</v>
      </c>
      <c r="B24" s="348" t="inlineStr">
        <is>
          <t xml:space="preserve"> 02-04-01</t>
        </is>
      </c>
      <c r="C24" s="349" t="inlineStr">
        <is>
          <t>01.7.15.03-0035</t>
        </is>
      </c>
      <c r="D24" s="349" t="inlineStr">
        <is>
          <t>Болты с гайками и шайбами оцинкованные, диаметр 20 мм</t>
        </is>
      </c>
      <c r="E24" s="348" t="inlineStr">
        <is>
          <t>кг</t>
        </is>
      </c>
      <c r="F24" s="348" t="n">
        <v>128828.28729021</v>
      </c>
      <c r="G24" s="258" t="n">
        <v>24.97</v>
      </c>
      <c r="H24" s="258">
        <f>ROUND(F24*G24,2)</f>
        <v/>
      </c>
      <c r="J24" s="279" t="n"/>
    </row>
    <row r="25" ht="31.5" customHeight="1" s="308">
      <c r="A25" s="348" t="n">
        <v>12</v>
      </c>
      <c r="B25" s="348" t="inlineStr">
        <is>
          <t xml:space="preserve"> 02-04-01</t>
        </is>
      </c>
      <c r="C25" s="349" t="inlineStr">
        <is>
          <t>Прайс из СД ОП</t>
        </is>
      </c>
      <c r="D25" s="349" t="inlineStr">
        <is>
          <t>Совмещенный информационный знак "Ограничения действий вблизи ВЛ"  600х900</t>
        </is>
      </c>
      <c r="E25" s="348" t="inlineStr">
        <is>
          <t>шт</t>
        </is>
      </c>
      <c r="F25" s="348" t="n">
        <v>410.9355256466</v>
      </c>
      <c r="G25" s="258" t="n">
        <v>2134.41</v>
      </c>
      <c r="H25" s="258">
        <f>ROUND(F25*G25,2)</f>
        <v/>
      </c>
      <c r="J25" s="279" t="n"/>
    </row>
    <row r="26" ht="31.5" customHeight="1" s="308">
      <c r="A26" s="348" t="n">
        <v>13</v>
      </c>
      <c r="B26" s="348" t="inlineStr">
        <is>
          <t xml:space="preserve"> 02-04-01</t>
        </is>
      </c>
      <c r="C26" s="349" t="inlineStr">
        <is>
          <t>Прайс из СД ОП</t>
        </is>
      </c>
      <c r="D26" s="349" t="inlineStr">
        <is>
          <t>Знак для обслуживания ВЛ с использованием вертолетов  400х500</t>
        </is>
      </c>
      <c r="E26" s="348" t="inlineStr">
        <is>
          <t>шт</t>
        </is>
      </c>
      <c r="F26" s="348" t="n">
        <v>82.187105129321</v>
      </c>
      <c r="G26" s="258" t="n">
        <v>1207.65</v>
      </c>
      <c r="H26" s="258">
        <f>ROUND(F26*G26,2)</f>
        <v/>
      </c>
      <c r="J26" s="279" t="n"/>
    </row>
    <row r="27">
      <c r="A27" s="348" t="n">
        <v>14</v>
      </c>
      <c r="B27" s="348" t="inlineStr">
        <is>
          <t xml:space="preserve"> 02-04-01</t>
        </is>
      </c>
      <c r="C27" s="349" t="inlineStr">
        <is>
          <t>Прайс из СД ОП</t>
        </is>
      </c>
      <c r="D27" s="349" t="inlineStr">
        <is>
          <t>Информационный знак "Расцвека фаз" 300х300</t>
        </is>
      </c>
      <c r="E27" s="348" t="inlineStr">
        <is>
          <t>шт</t>
        </is>
      </c>
      <c r="F27" s="348" t="n">
        <v>61.640328846991</v>
      </c>
      <c r="G27" s="258" t="n">
        <v>747.0599999999999</v>
      </c>
      <c r="H27" s="258">
        <f>ROUND(F27*G27,2)</f>
        <v/>
      </c>
      <c r="J27" s="279" t="n"/>
    </row>
    <row r="30">
      <c r="B30" s="311" t="inlineStr">
        <is>
          <t>Составил ______________________        А.П. Николаева</t>
        </is>
      </c>
    </row>
    <row r="31">
      <c r="B31" s="246" t="inlineStr">
        <is>
          <t xml:space="preserve">                         (подпись, инициалы, фамилия)</t>
        </is>
      </c>
    </row>
    <row r="33">
      <c r="B33" s="311" t="inlineStr">
        <is>
          <t>Проверил ______________________        А.В. Костянецкая</t>
        </is>
      </c>
    </row>
    <row r="34">
      <c r="B34" s="246" t="inlineStr">
        <is>
          <t xml:space="preserve">                        (подпись, инициалы, фамилия)</t>
        </is>
      </c>
    </row>
  </sheetData>
  <mergeCells count="14">
    <mergeCell ref="A21:E21"/>
    <mergeCell ref="A3:H3"/>
    <mergeCell ref="A12:E12"/>
    <mergeCell ref="G7:H7"/>
    <mergeCell ref="A14:E14"/>
    <mergeCell ref="A10:E10"/>
    <mergeCell ref="A2:H2"/>
    <mergeCell ref="C7:C8"/>
    <mergeCell ref="A7:A8"/>
    <mergeCell ref="B7:B8"/>
    <mergeCell ref="D7:D8"/>
    <mergeCell ref="E7:E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RowHeight="14.4"/>
  <cols>
    <col width="4.109375" customWidth="1" style="308" min="1" max="1"/>
    <col width="36.33203125" customWidth="1" style="308" min="2" max="2"/>
    <col width="18.88671875" customWidth="1" style="308" min="3" max="3"/>
    <col width="18.33203125" customWidth="1" style="308" min="4" max="4"/>
    <col width="18.88671875" customWidth="1" style="308" min="5" max="5"/>
    <col width="11.44140625" customWidth="1" style="308" min="6" max="6"/>
    <col width="14.44140625" customWidth="1" style="308" min="7" max="7"/>
    <col width="9.109375" customWidth="1" style="308" min="8" max="11"/>
    <col width="13.5546875" customWidth="1" style="308" min="12" max="12"/>
    <col width="9.109375" customWidth="1" style="308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77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31" t="inlineStr">
        <is>
          <t>Ресурсная модель</t>
        </is>
      </c>
    </row>
    <row r="6">
      <c r="B6" s="277" t="n"/>
      <c r="C6" s="315" t="n"/>
      <c r="D6" s="315" t="n"/>
      <c r="E6" s="315" t="n"/>
    </row>
    <row r="7" ht="25.5" customHeight="1" s="308">
      <c r="B7" s="343" t="inlineStr">
        <is>
          <t>Наименование разрабатываемого показателя УНЦ — Опоры ВЛ 0,4 - 750 кВ. Одноцепная, все типы опор за исключением многогранных 220 кВ.</t>
        </is>
      </c>
    </row>
    <row r="8">
      <c r="B8" s="350" t="inlineStr">
        <is>
          <t>Единица измерения  — 1 км</t>
        </is>
      </c>
    </row>
    <row r="9">
      <c r="B9" s="277" t="n"/>
      <c r="C9" s="315" t="n"/>
      <c r="D9" s="315" t="n"/>
      <c r="E9" s="315" t="n"/>
    </row>
    <row r="10" ht="51" customHeight="1" s="308">
      <c r="B10" s="358" t="inlineStr">
        <is>
          <t>Наименование</t>
        </is>
      </c>
      <c r="C10" s="358" t="inlineStr">
        <is>
          <t>Сметная стоимость в ценах на 01.01.2023
 (руб.)</t>
        </is>
      </c>
      <c r="D10" s="358" t="inlineStr">
        <is>
          <t>Удельный вес, 
(в СМР)</t>
        </is>
      </c>
      <c r="E10" s="358" t="inlineStr">
        <is>
          <t>Удельный вес, % 
(от всего по РМ)</t>
        </is>
      </c>
    </row>
    <row r="11">
      <c r="B11" s="270" t="inlineStr">
        <is>
          <t>Оплата труда рабочих</t>
        </is>
      </c>
      <c r="C11" s="271">
        <f>'Прил.5 Расчет СМР и ОБ'!J15</f>
        <v/>
      </c>
      <c r="D11" s="272">
        <f>C11/$C$24</f>
        <v/>
      </c>
      <c r="E11" s="272">
        <f>C11/$C$40</f>
        <v/>
      </c>
    </row>
    <row r="12">
      <c r="B12" s="270" t="inlineStr">
        <is>
          <t>Эксплуатация машин основных</t>
        </is>
      </c>
      <c r="C12" s="271">
        <f>'Прил.5 Расчет СМР и ОБ'!J23</f>
        <v/>
      </c>
      <c r="D12" s="272">
        <f>C12/$C$24</f>
        <v/>
      </c>
      <c r="E12" s="272">
        <f>C12/$C$40</f>
        <v/>
      </c>
    </row>
    <row r="13">
      <c r="B13" s="270" t="inlineStr">
        <is>
          <t>Эксплуатация машин прочих</t>
        </is>
      </c>
      <c r="C13" s="271">
        <f>'Прил.5 Расчет СМР и ОБ'!J27</f>
        <v/>
      </c>
      <c r="D13" s="272">
        <f>C13/$C$24</f>
        <v/>
      </c>
      <c r="E13" s="272">
        <f>C13/$C$40</f>
        <v/>
      </c>
    </row>
    <row r="14">
      <c r="B14" s="270" t="inlineStr">
        <is>
          <t>ЭКСПЛУАТАЦИЯ МАШИН, ВСЕГО:</t>
        </is>
      </c>
      <c r="C14" s="271">
        <f>C13+C12</f>
        <v/>
      </c>
      <c r="D14" s="272">
        <f>C14/$C$24</f>
        <v/>
      </c>
      <c r="E14" s="272">
        <f>C14/$C$40</f>
        <v/>
      </c>
    </row>
    <row r="15">
      <c r="B15" s="270" t="inlineStr">
        <is>
          <t>в том числе зарплата машинистов</t>
        </is>
      </c>
      <c r="C15" s="271">
        <f>'Прил.5 Расчет СМР и ОБ'!J17</f>
        <v/>
      </c>
      <c r="D15" s="272">
        <f>C15/$C$24</f>
        <v/>
      </c>
      <c r="E15" s="272">
        <f>C15/$C$40</f>
        <v/>
      </c>
    </row>
    <row r="16">
      <c r="B16" s="270" t="inlineStr">
        <is>
          <t>Материалы основные</t>
        </is>
      </c>
      <c r="C16" s="271">
        <f>'Прил.5 Расчет СМР и ОБ'!J39</f>
        <v/>
      </c>
      <c r="D16" s="272">
        <f>C16/$C$24</f>
        <v/>
      </c>
      <c r="E16" s="272">
        <f>C16/$C$40</f>
        <v/>
      </c>
    </row>
    <row r="17">
      <c r="B17" s="270" t="inlineStr">
        <is>
          <t>Материалы прочие</t>
        </is>
      </c>
      <c r="C17" s="271">
        <f>'Прил.5 Расчет СМР и ОБ'!J44</f>
        <v/>
      </c>
      <c r="D17" s="272">
        <f>C17/$C$24</f>
        <v/>
      </c>
      <c r="E17" s="272">
        <f>C17/$C$40</f>
        <v/>
      </c>
    </row>
    <row r="18">
      <c r="B18" s="270" t="inlineStr">
        <is>
          <t>МАТЕРИАЛЫ, ВСЕГО:</t>
        </is>
      </c>
      <c r="C18" s="271">
        <f>C17+C16</f>
        <v/>
      </c>
      <c r="D18" s="272">
        <f>C18/$C$24</f>
        <v/>
      </c>
      <c r="E18" s="272">
        <f>C18/$C$40</f>
        <v/>
      </c>
    </row>
    <row r="19">
      <c r="B19" s="270" t="inlineStr">
        <is>
          <t>ИТОГО</t>
        </is>
      </c>
      <c r="C19" s="271">
        <f>C18+C14+C11</f>
        <v/>
      </c>
      <c r="D19" s="272" t="n"/>
      <c r="E19" s="270" t="n"/>
    </row>
    <row r="20">
      <c r="B20" s="270" t="inlineStr">
        <is>
          <t>Сметная прибыль, руб.</t>
        </is>
      </c>
      <c r="C20" s="271">
        <f>ROUND(C21*(C11+C15),2)</f>
        <v/>
      </c>
      <c r="D20" s="272">
        <f>C20/$C$24</f>
        <v/>
      </c>
      <c r="E20" s="272">
        <f>C20/$C$40</f>
        <v/>
      </c>
    </row>
    <row r="21">
      <c r="B21" s="270" t="inlineStr">
        <is>
          <t>Сметная прибыль, %</t>
        </is>
      </c>
      <c r="C21" s="275">
        <f>'Прил.5 Расчет СМР и ОБ'!D48</f>
        <v/>
      </c>
      <c r="D21" s="272" t="n"/>
      <c r="E21" s="270" t="n"/>
    </row>
    <row r="22">
      <c r="B22" s="270" t="inlineStr">
        <is>
          <t>Накладные расходы, руб.</t>
        </is>
      </c>
      <c r="C22" s="271">
        <f>ROUND(C23*(C11+C15),2)</f>
        <v/>
      </c>
      <c r="D22" s="272">
        <f>C22/$C$24</f>
        <v/>
      </c>
      <c r="E22" s="272">
        <f>C22/$C$40</f>
        <v/>
      </c>
    </row>
    <row r="23">
      <c r="B23" s="270" t="inlineStr">
        <is>
          <t>Накладные расходы, %</t>
        </is>
      </c>
      <c r="C23" s="275">
        <f>'Прил.5 Расчет СМР и ОБ'!D47</f>
        <v/>
      </c>
      <c r="D23" s="272" t="n"/>
      <c r="E23" s="270" t="n"/>
    </row>
    <row r="24">
      <c r="B24" s="270" t="inlineStr">
        <is>
          <t>ВСЕГО СМР с НР и СП</t>
        </is>
      </c>
      <c r="C24" s="271">
        <f>C19+C20+C22</f>
        <v/>
      </c>
      <c r="D24" s="272">
        <f>C24/$C$24</f>
        <v/>
      </c>
      <c r="E24" s="272">
        <f>C24/$C$40</f>
        <v/>
      </c>
    </row>
    <row r="25" ht="25.5" customHeight="1" s="308">
      <c r="B25" s="270" t="inlineStr">
        <is>
          <t>ВСЕГО стоимость оборудования, в том числе</t>
        </is>
      </c>
      <c r="C25" s="271">
        <f>'Прил.5 Расчет СМР и ОБ'!J33</f>
        <v/>
      </c>
      <c r="D25" s="272" t="n"/>
      <c r="E25" s="272">
        <f>C25/$C$40</f>
        <v/>
      </c>
    </row>
    <row r="26" ht="25.5" customHeight="1" s="308">
      <c r="B26" s="270" t="inlineStr">
        <is>
          <t>стоимость оборудования технологического</t>
        </is>
      </c>
      <c r="C26" s="271">
        <f>'Прил.5 Расчет СМР и ОБ'!J34</f>
        <v/>
      </c>
      <c r="D26" s="272" t="n"/>
      <c r="E26" s="272">
        <f>C26/$C$40</f>
        <v/>
      </c>
    </row>
    <row r="27">
      <c r="B27" s="270" t="inlineStr">
        <is>
          <t>ИТОГО (СМР + ОБОРУДОВАНИЕ)</t>
        </is>
      </c>
      <c r="C27" s="274">
        <f>C24+C25</f>
        <v/>
      </c>
      <c r="D27" s="272" t="n"/>
      <c r="E27" s="272">
        <f>C27/$C$40</f>
        <v/>
      </c>
    </row>
    <row r="28" ht="33" customHeight="1" s="308">
      <c r="B28" s="270" t="inlineStr">
        <is>
          <t>ПРОЧ. ЗАТР., УЧТЕННЫЕ ПОКАЗАТЕЛЕМ,  в том числе</t>
        </is>
      </c>
      <c r="C28" s="270" t="n"/>
      <c r="D28" s="270" t="n"/>
      <c r="E28" s="270" t="n"/>
      <c r="F28" s="273" t="n"/>
    </row>
    <row r="29" ht="25.5" customHeight="1" s="308">
      <c r="B29" s="270" t="inlineStr">
        <is>
          <t>Временные здания и сооружения - 3,3%</t>
        </is>
      </c>
      <c r="C29" s="274">
        <f>ROUND(C24*3.3%,2)</f>
        <v/>
      </c>
      <c r="D29" s="270" t="n"/>
      <c r="E29" s="272">
        <f>C29/$C$40</f>
        <v/>
      </c>
    </row>
    <row r="30" ht="38.25" customHeight="1" s="308">
      <c r="B30" s="270" t="inlineStr">
        <is>
          <t>Дополнительные затраты при производстве строительно-монтажных работ в зимнее время - 1%</t>
        </is>
      </c>
      <c r="C30" s="274">
        <f>ROUND((C24+C29)*1%,2)</f>
        <v/>
      </c>
      <c r="D30" s="270" t="n"/>
      <c r="E30" s="272">
        <f>C30/$C$40</f>
        <v/>
      </c>
      <c r="F30" s="273" t="n"/>
    </row>
    <row r="31">
      <c r="B31" s="270" t="inlineStr">
        <is>
          <t>Пусконаладочные работы</t>
        </is>
      </c>
      <c r="C31" s="274" t="n">
        <v>0</v>
      </c>
      <c r="D31" s="270" t="n"/>
      <c r="E31" s="272">
        <f>C31/$C$40</f>
        <v/>
      </c>
    </row>
    <row r="32" ht="25.5" customHeight="1" s="308">
      <c r="B32" s="270" t="inlineStr">
        <is>
          <t>Затраты по перевозке работников к месту работы и обратно</t>
        </is>
      </c>
      <c r="C32" s="274" t="n">
        <v>0</v>
      </c>
      <c r="D32" s="270" t="n"/>
      <c r="E32" s="272">
        <f>C32/$C$40</f>
        <v/>
      </c>
    </row>
    <row r="33" ht="25.5" customHeight="1" s="308">
      <c r="B33" s="270" t="inlineStr">
        <is>
          <t>Затраты, связанные с осуществлением работ вахтовым методом</t>
        </is>
      </c>
      <c r="C33" s="274" t="n">
        <v>0</v>
      </c>
      <c r="D33" s="270" t="n"/>
      <c r="E33" s="272">
        <f>C33/$C$40</f>
        <v/>
      </c>
    </row>
    <row r="34" ht="51" customHeight="1" s="308">
      <c r="B34" s="27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4" t="n">
        <v>0</v>
      </c>
      <c r="D34" s="270" t="n"/>
      <c r="E34" s="272">
        <f>C34/$C$40</f>
        <v/>
      </c>
      <c r="H34" s="281" t="n"/>
    </row>
    <row r="35" ht="76.5" customHeight="1" s="308">
      <c r="B35" s="27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4" t="n">
        <v>0</v>
      </c>
      <c r="D35" s="270" t="n"/>
      <c r="E35" s="272">
        <f>C35/$C$40</f>
        <v/>
      </c>
    </row>
    <row r="36" ht="25.5" customHeight="1" s="308">
      <c r="B36" s="270" t="inlineStr">
        <is>
          <t>Строительный контроль и содержание службы заказчика - 2,14%</t>
        </is>
      </c>
      <c r="C36" s="274">
        <f>ROUND((C27+C32+C33+C34+C35+C29+C31+C30)*2.14%,2)</f>
        <v/>
      </c>
      <c r="D36" s="270" t="n"/>
      <c r="E36" s="272">
        <f>C36/$C$40</f>
        <v/>
      </c>
      <c r="L36" s="273" t="n"/>
    </row>
    <row r="37">
      <c r="B37" s="270" t="inlineStr">
        <is>
          <t>Авторский надзор - 0,2%</t>
        </is>
      </c>
      <c r="C37" s="274">
        <f>ROUND((C27+C32+C33+C34+C35+C29+C31+C30)*0.2%,2)</f>
        <v/>
      </c>
      <c r="D37" s="270" t="n"/>
      <c r="E37" s="272">
        <f>C37/$C$40</f>
        <v/>
      </c>
      <c r="L37" s="273" t="n"/>
    </row>
    <row r="38" ht="38.25" customHeight="1" s="308">
      <c r="B38" s="270" t="inlineStr">
        <is>
          <t>ИТОГО (СМР+ОБОРУДОВАНИЕ+ПРОЧ. ЗАТР., УЧТЕННЫЕ ПОКАЗАТЕЛЕМ)</t>
        </is>
      </c>
      <c r="C38" s="271">
        <f>C27+C32+C33+C34+C35+C29+C31+C30+C36+C37</f>
        <v/>
      </c>
      <c r="D38" s="270" t="n"/>
      <c r="E38" s="272">
        <f>C38/$C$40</f>
        <v/>
      </c>
    </row>
    <row r="39" ht="13.5" customHeight="1" s="308">
      <c r="B39" s="270" t="inlineStr">
        <is>
          <t>Непредвиденные расходы</t>
        </is>
      </c>
      <c r="C39" s="271">
        <f>ROUND(C38*3%,2)</f>
        <v/>
      </c>
      <c r="D39" s="270" t="n"/>
      <c r="E39" s="272">
        <f>C39/$C$38</f>
        <v/>
      </c>
    </row>
    <row r="40">
      <c r="B40" s="270" t="inlineStr">
        <is>
          <t>ВСЕГО:</t>
        </is>
      </c>
      <c r="C40" s="271">
        <f>C39+C38</f>
        <v/>
      </c>
      <c r="D40" s="270" t="n"/>
      <c r="E40" s="272">
        <f>C40/$C$40</f>
        <v/>
      </c>
    </row>
    <row r="41">
      <c r="B41" s="270" t="inlineStr">
        <is>
          <t>ИТОГО ПОКАЗАТЕЛЬ НА ЕД. ИЗМ.</t>
        </is>
      </c>
      <c r="C41" s="271">
        <f>C40/'Прил.5 Расчет СМР и ОБ'!E51</f>
        <v/>
      </c>
      <c r="D41" s="270" t="n"/>
      <c r="E41" s="270" t="n"/>
    </row>
    <row r="42">
      <c r="B42" s="269" t="n"/>
      <c r="C42" s="315" t="n"/>
      <c r="D42" s="315" t="n"/>
      <c r="E42" s="315" t="n"/>
    </row>
    <row r="43">
      <c r="B43" s="269" t="inlineStr">
        <is>
          <t>Составил ____________________________ А.П. Николаева</t>
        </is>
      </c>
      <c r="C43" s="315" t="n"/>
      <c r="D43" s="315" t="n"/>
      <c r="E43" s="315" t="n"/>
    </row>
    <row r="44">
      <c r="B44" s="269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69" t="n"/>
      <c r="C45" s="315" t="n"/>
      <c r="D45" s="315" t="n"/>
      <c r="E45" s="315" t="n"/>
    </row>
    <row r="46">
      <c r="B46" s="269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50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43" workbookViewId="0">
      <selection activeCell="B52" sqref="B52"/>
    </sheetView>
  </sheetViews>
  <sheetFormatPr baseColWidth="8" defaultColWidth="9.109375" defaultRowHeight="14.4" outlineLevelRow="1"/>
  <cols>
    <col width="5.6640625" customWidth="1" style="316" min="1" max="1"/>
    <col width="22.554687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5" customWidth="1" style="316" min="6" max="6"/>
    <col width="13.44140625" customWidth="1" style="316" min="7" max="7"/>
    <col width="12.6640625" customWidth="1" style="316" min="8" max="8"/>
    <col width="13.88671875" customWidth="1" style="316" min="9" max="9"/>
    <col width="17.5546875" customWidth="1" style="316" min="10" max="10"/>
    <col width="10.88671875" customWidth="1" style="316" min="11" max="11"/>
    <col width="9.109375" customWidth="1" style="316" min="12" max="12"/>
    <col width="9.109375" customWidth="1" style="308" min="13" max="13"/>
  </cols>
  <sheetData>
    <row r="1" s="308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08">
      <c r="A2" s="316" t="n"/>
      <c r="B2" s="316" t="n"/>
      <c r="C2" s="316" t="n"/>
      <c r="D2" s="316" t="n"/>
      <c r="E2" s="316" t="n"/>
      <c r="F2" s="316" t="n"/>
      <c r="G2" s="316" t="n"/>
      <c r="H2" s="372" t="inlineStr">
        <is>
          <t>Приложение №5</t>
        </is>
      </c>
      <c r="K2" s="316" t="n"/>
      <c r="L2" s="316" t="n"/>
      <c r="M2" s="316" t="n"/>
      <c r="N2" s="316" t="n"/>
    </row>
    <row r="3" s="308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31" t="inlineStr">
        <is>
          <t>Расчет стоимости СМР и оборудования</t>
        </is>
      </c>
    </row>
    <row r="5" ht="12.75" customFormat="1" customHeight="1" s="315">
      <c r="A5" s="331" t="n"/>
      <c r="B5" s="331" t="n"/>
      <c r="C5" s="385" t="n"/>
      <c r="D5" s="331" t="n"/>
      <c r="E5" s="331" t="n"/>
      <c r="F5" s="331" t="n"/>
      <c r="G5" s="331" t="n"/>
      <c r="H5" s="331" t="n"/>
      <c r="I5" s="331" t="n"/>
      <c r="J5" s="331" t="n"/>
    </row>
    <row r="6" ht="12.75" customFormat="1" customHeight="1" s="315">
      <c r="A6" s="231" t="inlineStr">
        <is>
          <t>Наименование разрабатываемого показателя УНЦ</t>
        </is>
      </c>
      <c r="B6" s="230" t="n"/>
      <c r="C6" s="230" t="n"/>
      <c r="D6" s="376" t="inlineStr">
        <is>
          <t>Опоры ВЛ 0,4 - 750 кВ. Одноцепная, все типы опор за исключением многогранных 220 кВ.</t>
        </is>
      </c>
    </row>
    <row r="7" ht="12.75" customFormat="1" customHeight="1" s="315">
      <c r="A7" s="334" t="inlineStr">
        <is>
          <t>Единица измерения  — 1 км</t>
        </is>
      </c>
      <c r="I7" s="343" t="n"/>
      <c r="J7" s="343" t="n"/>
    </row>
    <row r="8" ht="13.5" customFormat="1" customHeight="1" s="315">
      <c r="A8" s="334" t="n"/>
    </row>
    <row r="9" ht="13.2" customFormat="1" customHeight="1" s="315"/>
    <row r="10" ht="27" customHeight="1" s="308">
      <c r="A10" s="358" t="inlineStr">
        <is>
          <t>№ пп.</t>
        </is>
      </c>
      <c r="B10" s="358" t="inlineStr">
        <is>
          <t>Код ресурса</t>
        </is>
      </c>
      <c r="C10" s="358" t="inlineStr">
        <is>
          <t>Наименование</t>
        </is>
      </c>
      <c r="D10" s="358" t="inlineStr">
        <is>
          <t>Ед. изм.</t>
        </is>
      </c>
      <c r="E10" s="358" t="inlineStr">
        <is>
          <t>Кол-во единиц по проектным данным</t>
        </is>
      </c>
      <c r="F10" s="358" t="inlineStr">
        <is>
          <t>Сметная стоимость в ценах на 01.01.2000 (руб.)</t>
        </is>
      </c>
      <c r="G10" s="429" t="n"/>
      <c r="H10" s="358" t="inlineStr">
        <is>
          <t>Удельный вес, %</t>
        </is>
      </c>
      <c r="I10" s="358" t="inlineStr">
        <is>
          <t>Сметная стоимость в ценах на 01.01.2023 (руб.)</t>
        </is>
      </c>
      <c r="J10" s="429" t="n"/>
      <c r="K10" s="316" t="n"/>
      <c r="L10" s="316" t="n"/>
      <c r="M10" s="316" t="n"/>
      <c r="N10" s="316" t="n"/>
    </row>
    <row r="11" ht="28.5" customHeight="1" s="308">
      <c r="A11" s="431" t="n"/>
      <c r="B11" s="431" t="n"/>
      <c r="C11" s="431" t="n"/>
      <c r="D11" s="431" t="n"/>
      <c r="E11" s="431" t="n"/>
      <c r="F11" s="358" t="inlineStr">
        <is>
          <t>на ед. изм.</t>
        </is>
      </c>
      <c r="G11" s="358" t="inlineStr">
        <is>
          <t>общая</t>
        </is>
      </c>
      <c r="H11" s="431" t="n"/>
      <c r="I11" s="358" t="inlineStr">
        <is>
          <t>на ед. изм.</t>
        </is>
      </c>
      <c r="J11" s="358" t="inlineStr">
        <is>
          <t>общая</t>
        </is>
      </c>
      <c r="K11" s="316" t="n"/>
      <c r="L11" s="316" t="n"/>
      <c r="M11" s="316" t="n"/>
      <c r="N11" s="316" t="n"/>
    </row>
    <row r="12" s="308">
      <c r="A12" s="358" t="n">
        <v>1</v>
      </c>
      <c r="B12" s="358" t="n">
        <v>2</v>
      </c>
      <c r="C12" s="358" t="n">
        <v>3</v>
      </c>
      <c r="D12" s="358" t="n">
        <v>4</v>
      </c>
      <c r="E12" s="358" t="n">
        <v>5</v>
      </c>
      <c r="F12" s="358" t="n">
        <v>6</v>
      </c>
      <c r="G12" s="358" t="n">
        <v>7</v>
      </c>
      <c r="H12" s="358" t="n">
        <v>8</v>
      </c>
      <c r="I12" s="352" t="n">
        <v>9</v>
      </c>
      <c r="J12" s="352" t="n">
        <v>10</v>
      </c>
      <c r="K12" s="316" t="n"/>
      <c r="L12" s="316" t="n"/>
      <c r="M12" s="316" t="n"/>
      <c r="N12" s="316" t="n"/>
    </row>
    <row r="13">
      <c r="A13" s="358" t="n"/>
      <c r="B13" s="356" t="inlineStr">
        <is>
          <t>Затраты труда рабочих-строителей</t>
        </is>
      </c>
      <c r="C13" s="428" t="n"/>
      <c r="D13" s="428" t="n"/>
      <c r="E13" s="428" t="n"/>
      <c r="F13" s="428" t="n"/>
      <c r="G13" s="428" t="n"/>
      <c r="H13" s="429" t="n"/>
      <c r="I13" s="217" t="n"/>
      <c r="J13" s="217" t="n"/>
    </row>
    <row r="14" ht="25.5" customHeight="1" s="308">
      <c r="A14" s="358" t="n">
        <v>1</v>
      </c>
      <c r="B14" s="301" t="inlineStr">
        <is>
          <t>1-4-2</t>
        </is>
      </c>
      <c r="C14" s="362" t="inlineStr">
        <is>
          <t>Затраты труда рабочих-строителей среднего разряда (4,2)</t>
        </is>
      </c>
      <c r="D14" s="363" t="inlineStr">
        <is>
          <t>чел.-ч.</t>
        </is>
      </c>
      <c r="E14" s="296" t="n">
        <v>101394.81983236</v>
      </c>
      <c r="F14" s="297" t="n">
        <v>9.92</v>
      </c>
      <c r="G14" s="297">
        <f>ROUND(E14*F14,2)</f>
        <v/>
      </c>
      <c r="H14" s="305">
        <f>G14/G15</f>
        <v/>
      </c>
      <c r="I14" s="297">
        <f>ФОТр.тек.!E13</f>
        <v/>
      </c>
      <c r="J14" s="227">
        <f>ROUND(I14*E14,2)</f>
        <v/>
      </c>
    </row>
    <row r="15" ht="25.5" customFormat="1" customHeight="1" s="316">
      <c r="A15" s="358" t="n"/>
      <c r="B15" s="363" t="n"/>
      <c r="C15" s="367" t="inlineStr">
        <is>
          <t>Итого по разделу "Затраты труда рабочих-строителей"</t>
        </is>
      </c>
      <c r="D15" s="363" t="inlineStr">
        <is>
          <t>чел.-ч.</t>
        </is>
      </c>
      <c r="E15" s="296">
        <f>SUM(E14:E14)</f>
        <v/>
      </c>
      <c r="F15" s="297" t="n"/>
      <c r="G15" s="297">
        <f>SUM(G14:G14)</f>
        <v/>
      </c>
      <c r="H15" s="366" t="n">
        <v>1</v>
      </c>
      <c r="I15" s="299" t="n"/>
      <c r="J15" s="227">
        <f>SUM(J14:J14)</f>
        <v/>
      </c>
    </row>
    <row r="16" ht="14.25" customFormat="1" customHeight="1" s="316">
      <c r="A16" s="358" t="n"/>
      <c r="B16" s="362" t="inlineStr">
        <is>
          <t>Затраты труда машинистов</t>
        </is>
      </c>
      <c r="C16" s="428" t="n"/>
      <c r="D16" s="428" t="n"/>
      <c r="E16" s="428" t="n"/>
      <c r="F16" s="428" t="n"/>
      <c r="G16" s="428" t="n"/>
      <c r="H16" s="429" t="n"/>
      <c r="I16" s="299" t="n"/>
      <c r="J16" s="217" t="n"/>
    </row>
    <row r="17" ht="14.25" customFormat="1" customHeight="1" s="316">
      <c r="A17" s="358" t="n">
        <v>2</v>
      </c>
      <c r="B17" s="363" t="n">
        <v>2</v>
      </c>
      <c r="C17" s="362" t="inlineStr">
        <is>
          <t>Затраты труда машинистов</t>
        </is>
      </c>
      <c r="D17" s="363" t="inlineStr">
        <is>
          <t>чел.-ч.</t>
        </is>
      </c>
      <c r="E17" s="296" t="n">
        <v>36241.257108925</v>
      </c>
      <c r="F17" s="297" t="n">
        <v>8.882124511957301</v>
      </c>
      <c r="G17" s="297">
        <f>ROUND(E17*F17,2)</f>
        <v/>
      </c>
      <c r="H17" s="366" t="n">
        <v>1</v>
      </c>
      <c r="I17" s="297">
        <f>ROUND(F17*'Прил. 10'!D11,2)</f>
        <v/>
      </c>
      <c r="J17" s="227">
        <f>ROUND(I17*E17,2)</f>
        <v/>
      </c>
    </row>
    <row r="18" ht="14.25" customFormat="1" customHeight="1" s="316">
      <c r="A18" s="358" t="n"/>
      <c r="B18" s="367" t="inlineStr">
        <is>
          <t>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299" t="n"/>
      <c r="J18" s="217" t="n"/>
    </row>
    <row r="19" ht="14.25" customFormat="1" customHeight="1" s="316">
      <c r="A19" s="358" t="n"/>
      <c r="B19" s="362" t="inlineStr">
        <is>
          <t>Основные машины и механизмы</t>
        </is>
      </c>
      <c r="C19" s="428" t="n"/>
      <c r="D19" s="428" t="n"/>
      <c r="E19" s="428" t="n"/>
      <c r="F19" s="428" t="n"/>
      <c r="G19" s="428" t="n"/>
      <c r="H19" s="429" t="n"/>
      <c r="I19" s="299" t="n"/>
      <c r="J19" s="217" t="n"/>
    </row>
    <row r="20" ht="25.5" customFormat="1" customHeight="1" s="316">
      <c r="A20" s="358" t="n">
        <v>3</v>
      </c>
      <c r="B20" s="301" t="inlineStr">
        <is>
          <t>91.15.02-029</t>
        </is>
      </c>
      <c r="C20" s="362" t="inlineStr">
        <is>
          <t>Тракторы на гусеничном ходу с лебедкой 132 кВт (180 л.с.)</t>
        </is>
      </c>
      <c r="D20" s="363" t="inlineStr">
        <is>
          <t>маш.час</t>
        </is>
      </c>
      <c r="E20" s="296" t="n">
        <v>15694.785740755</v>
      </c>
      <c r="F20" s="365" t="n">
        <v>147.43</v>
      </c>
      <c r="G20" s="297">
        <f>ROUND(E20*F20,2)</f>
        <v/>
      </c>
      <c r="H20" s="305">
        <f>G20/$G$28</f>
        <v/>
      </c>
      <c r="I20" s="297">
        <f>ROUND(F20*'Прил. 10'!$D$12,2)</f>
        <v/>
      </c>
      <c r="J20" s="227">
        <f>ROUND(I20*E20,2)</f>
        <v/>
      </c>
    </row>
    <row r="21" ht="25.5" customFormat="1" customHeight="1" s="316">
      <c r="A21" s="358" t="n">
        <v>4</v>
      </c>
      <c r="B21" s="301" t="inlineStr">
        <is>
          <t>91.13.03-111</t>
        </is>
      </c>
      <c r="C21" s="362" t="inlineStr">
        <is>
          <t>Спецавтомобили-вездеходы, грузоподъемность до 8 т</t>
        </is>
      </c>
      <c r="D21" s="363" t="inlineStr">
        <is>
          <t>маш.час</t>
        </is>
      </c>
      <c r="E21" s="296" t="n">
        <v>6491.8082098916</v>
      </c>
      <c r="F21" s="365" t="n">
        <v>189.95</v>
      </c>
      <c r="G21" s="297">
        <f>ROUND(E21*F21,2)</f>
        <v/>
      </c>
      <c r="H21" s="305">
        <f>G21/$G$28</f>
        <v/>
      </c>
      <c r="I21" s="297">
        <f>ROUND(F21*'Прил. 10'!$D$12,2)</f>
        <v/>
      </c>
      <c r="J21" s="227">
        <f>ROUND(I21*E21,2)</f>
        <v/>
      </c>
    </row>
    <row r="22" ht="51" customFormat="1" customHeight="1" s="316">
      <c r="A22" s="358" t="n">
        <v>5</v>
      </c>
      <c r="B22" s="224" t="inlineStr">
        <is>
          <t>91.05.14-516</t>
        </is>
      </c>
      <c r="C22" s="357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58" t="inlineStr">
        <is>
          <t>маш.час</t>
        </is>
      </c>
      <c r="E22" s="205" t="n">
        <v>11856.679162316</v>
      </c>
      <c r="F22" s="360" t="n">
        <v>77.64</v>
      </c>
      <c r="G22" s="227">
        <f>ROUND(E22*F22,2)</f>
        <v/>
      </c>
      <c r="H22" s="229">
        <f>G22/$G$28</f>
        <v/>
      </c>
      <c r="I22" s="227">
        <f>ROUND(F22*'Прил. 10'!$D$12,2)</f>
        <v/>
      </c>
      <c r="J22" s="227">
        <f>ROUND(I22*E22,2)</f>
        <v/>
      </c>
    </row>
    <row r="23" ht="14.25" customFormat="1" customHeight="1" s="316">
      <c r="A23" s="358" t="n"/>
      <c r="B23" s="358" t="n"/>
      <c r="C23" s="357" t="inlineStr">
        <is>
          <t>Итого основные машины и механизмы</t>
        </is>
      </c>
      <c r="D23" s="358" t="n"/>
      <c r="E23" s="205" t="n"/>
      <c r="F23" s="227" t="n"/>
      <c r="G23" s="227">
        <f>SUM(G20:G22)</f>
        <v/>
      </c>
      <c r="H23" s="361">
        <f>G23/G28</f>
        <v/>
      </c>
      <c r="I23" s="218" t="n"/>
      <c r="J23" s="227">
        <f>SUM(J20:J22)</f>
        <v/>
      </c>
    </row>
    <row r="24" outlineLevel="1" ht="25.5" customFormat="1" customHeight="1" s="316">
      <c r="A24" s="358" t="n">
        <v>6</v>
      </c>
      <c r="B24" s="224" t="inlineStr">
        <is>
          <t>91.05.05-015</t>
        </is>
      </c>
      <c r="C24" s="357" t="inlineStr">
        <is>
          <t>Краны на автомобильном ходу, грузоподъемность 16 т</t>
        </is>
      </c>
      <c r="D24" s="358" t="inlineStr">
        <is>
          <t>маш.час</t>
        </is>
      </c>
      <c r="E24" s="205" t="n">
        <v>2197.9839959628</v>
      </c>
      <c r="F24" s="360" t="n">
        <v>115.4</v>
      </c>
      <c r="G24" s="227">
        <f>ROUND(E24*F24,2)</f>
        <v/>
      </c>
      <c r="H24" s="229">
        <f>G24/$G$28</f>
        <v/>
      </c>
      <c r="I24" s="227">
        <f>ROUND(F24*'Прил. 10'!$D$12,2)</f>
        <v/>
      </c>
      <c r="J24" s="227">
        <f>ROUND(I24*E24,2)</f>
        <v/>
      </c>
    </row>
    <row r="25" outlineLevel="1" ht="25.5" customFormat="1" customHeight="1" s="316">
      <c r="A25" s="358" t="n">
        <v>7</v>
      </c>
      <c r="B25" s="224" t="inlineStr">
        <is>
          <t>91.06.09-101</t>
        </is>
      </c>
      <c r="C25" s="357" t="inlineStr">
        <is>
          <t>Стрелы монтажные А-образные для подъема опор ВЛ, высота до 22 м</t>
        </is>
      </c>
      <c r="D25" s="358" t="inlineStr">
        <is>
          <t>маш.час</t>
        </is>
      </c>
      <c r="E25" s="205" t="n">
        <v>2057.914156433</v>
      </c>
      <c r="F25" s="360" t="n">
        <v>6.24</v>
      </c>
      <c r="G25" s="227">
        <f>ROUND(E25*F25,2)</f>
        <v/>
      </c>
      <c r="H25" s="229">
        <f>G25/$G$28</f>
        <v/>
      </c>
      <c r="I25" s="227">
        <f>ROUND(F25*'Прил. 10'!$D$12,2)</f>
        <v/>
      </c>
      <c r="J25" s="227">
        <f>ROUND(I25*E25,2)</f>
        <v/>
      </c>
    </row>
    <row r="26" outlineLevel="1" ht="25.5" customFormat="1" customHeight="1" s="316">
      <c r="A26" s="358" t="n">
        <v>8</v>
      </c>
      <c r="B26" s="224" t="inlineStr">
        <is>
          <t>91.06.01-002</t>
        </is>
      </c>
      <c r="C26" s="357" t="inlineStr">
        <is>
          <t>Домкраты гидравлические, грузоподъемность 6,3-25 т</t>
        </is>
      </c>
      <c r="D26" s="358" t="inlineStr">
        <is>
          <t>маш.час</t>
        </is>
      </c>
      <c r="E26" s="205" t="n">
        <v>11847.073955339</v>
      </c>
      <c r="F26" s="360" t="n">
        <v>0.48</v>
      </c>
      <c r="G26" s="227">
        <f>ROUND(E26*F26,2)</f>
        <v/>
      </c>
      <c r="H26" s="229">
        <f>G26/$G$28</f>
        <v/>
      </c>
      <c r="I26" s="227">
        <f>ROUND(F26*'Прил. 10'!$D$12,2)</f>
        <v/>
      </c>
      <c r="J26" s="227">
        <f>ROUND(I26*E26,2)</f>
        <v/>
      </c>
    </row>
    <row r="27" ht="14.25" customFormat="1" customHeight="1" s="316">
      <c r="A27" s="358" t="n"/>
      <c r="B27" s="358" t="n"/>
      <c r="C27" s="357" t="inlineStr">
        <is>
          <t>Итого прочие машины и механизмы</t>
        </is>
      </c>
      <c r="D27" s="358" t="n"/>
      <c r="E27" s="359" t="n"/>
      <c r="F27" s="227" t="n"/>
      <c r="G27" s="218">
        <f>SUM(G24:G26)</f>
        <v/>
      </c>
      <c r="H27" s="229">
        <f>G27/G28</f>
        <v/>
      </c>
      <c r="I27" s="227" t="n"/>
      <c r="J27" s="227">
        <f>SUM(J24:J26)</f>
        <v/>
      </c>
    </row>
    <row r="28" ht="25.5" customFormat="1" customHeight="1" s="316">
      <c r="A28" s="358" t="n"/>
      <c r="B28" s="358" t="n"/>
      <c r="C28" s="356" t="inlineStr">
        <is>
          <t>Итого по разделу «Машины и механизмы»</t>
        </is>
      </c>
      <c r="D28" s="358" t="n"/>
      <c r="E28" s="359" t="n"/>
      <c r="F28" s="227" t="n"/>
      <c r="G28" s="227">
        <f>G27+G23</f>
        <v/>
      </c>
      <c r="H28" s="211" t="n">
        <v>1</v>
      </c>
      <c r="I28" s="212" t="n"/>
      <c r="J28" s="240">
        <f>J27+J23</f>
        <v/>
      </c>
    </row>
    <row r="29" ht="14.25" customFormat="1" customHeight="1" s="316">
      <c r="A29" s="358" t="n"/>
      <c r="B29" s="356" t="inlineStr">
        <is>
          <t>Оборудование</t>
        </is>
      </c>
      <c r="C29" s="428" t="n"/>
      <c r="D29" s="428" t="n"/>
      <c r="E29" s="428" t="n"/>
      <c r="F29" s="428" t="n"/>
      <c r="G29" s="428" t="n"/>
      <c r="H29" s="429" t="n"/>
      <c r="I29" s="217" t="n"/>
      <c r="J29" s="217" t="n"/>
    </row>
    <row r="30">
      <c r="A30" s="358" t="n"/>
      <c r="B30" s="357" t="inlineStr">
        <is>
          <t>Основное оборудование</t>
        </is>
      </c>
      <c r="C30" s="428" t="n"/>
      <c r="D30" s="428" t="n"/>
      <c r="E30" s="428" t="n"/>
      <c r="F30" s="428" t="n"/>
      <c r="G30" s="428" t="n"/>
      <c r="H30" s="429" t="n"/>
      <c r="I30" s="217" t="n"/>
      <c r="J30" s="217" t="n"/>
      <c r="L30" s="316" t="n"/>
    </row>
    <row r="31">
      <c r="A31" s="358" t="n"/>
      <c r="B31" s="358" t="n"/>
      <c r="C31" s="357" t="inlineStr">
        <is>
          <t>Итого основное оборудование</t>
        </is>
      </c>
      <c r="D31" s="358" t="n"/>
      <c r="E31" s="205" t="n"/>
      <c r="F31" s="360" t="n"/>
      <c r="G31" s="227" t="n">
        <v>0</v>
      </c>
      <c r="H31" s="361" t="n">
        <v>0</v>
      </c>
      <c r="I31" s="218" t="n"/>
      <c r="J31" s="227" t="n">
        <v>0</v>
      </c>
      <c r="L31" s="316" t="n"/>
    </row>
    <row r="32">
      <c r="A32" s="358" t="n"/>
      <c r="B32" s="358" t="n"/>
      <c r="C32" s="357" t="inlineStr">
        <is>
          <t>Итого прочее оборудование</t>
        </is>
      </c>
      <c r="D32" s="358" t="n"/>
      <c r="E32" s="205" t="n"/>
      <c r="F32" s="360" t="n"/>
      <c r="G32" s="227" t="n">
        <v>0</v>
      </c>
      <c r="H32" s="361" t="n">
        <v>0</v>
      </c>
      <c r="I32" s="218" t="n"/>
      <c r="J32" s="227" t="n">
        <v>0</v>
      </c>
      <c r="L32" s="316" t="n"/>
    </row>
    <row r="33">
      <c r="A33" s="358" t="n"/>
      <c r="B33" s="358" t="n"/>
      <c r="C33" s="356" t="inlineStr">
        <is>
          <t>Итого по разделу «Оборудование»</t>
        </is>
      </c>
      <c r="D33" s="358" t="n"/>
      <c r="E33" s="359" t="n"/>
      <c r="F33" s="360" t="n"/>
      <c r="G33" s="227">
        <f>G31+G32</f>
        <v/>
      </c>
      <c r="H33" s="361" t="n">
        <v>0</v>
      </c>
      <c r="I33" s="218" t="n"/>
      <c r="J33" s="227">
        <f>J32+J31</f>
        <v/>
      </c>
      <c r="L33" s="316" t="n"/>
    </row>
    <row r="34" ht="25.5" customHeight="1" s="308">
      <c r="A34" s="358" t="n"/>
      <c r="B34" s="358" t="n"/>
      <c r="C34" s="357" t="inlineStr">
        <is>
          <t>в том числе технологическое оборудование</t>
        </is>
      </c>
      <c r="D34" s="358" t="n"/>
      <c r="E34" s="219" t="n"/>
      <c r="F34" s="360" t="n"/>
      <c r="G34" s="227">
        <f>G33</f>
        <v/>
      </c>
      <c r="H34" s="361" t="n"/>
      <c r="I34" s="218" t="n"/>
      <c r="J34" s="227">
        <f>J33</f>
        <v/>
      </c>
      <c r="L34" s="316" t="n"/>
    </row>
    <row r="35" ht="14.25" customFormat="1" customHeight="1" s="316">
      <c r="A35" s="358" t="n"/>
      <c r="B35" s="356" t="inlineStr">
        <is>
          <t>Материалы</t>
        </is>
      </c>
      <c r="C35" s="428" t="n"/>
      <c r="D35" s="428" t="n"/>
      <c r="E35" s="428" t="n"/>
      <c r="F35" s="428" t="n"/>
      <c r="G35" s="428" t="n"/>
      <c r="H35" s="429" t="n"/>
      <c r="I35" s="217" t="n"/>
      <c r="J35" s="217" t="n"/>
      <c r="L35" s="316" t="n"/>
    </row>
    <row r="36" ht="14.25" customFormat="1" customHeight="1" s="316">
      <c r="A36" s="352" t="n"/>
      <c r="B36" s="351" t="inlineStr">
        <is>
          <t>Основные материалы</t>
        </is>
      </c>
      <c r="C36" s="432" t="n"/>
      <c r="D36" s="432" t="n"/>
      <c r="E36" s="432" t="n"/>
      <c r="F36" s="432" t="n"/>
      <c r="G36" s="432" t="n"/>
      <c r="H36" s="433" t="n"/>
      <c r="I36" s="233" t="n"/>
      <c r="J36" s="233" t="n"/>
      <c r="L36" s="316" t="n"/>
    </row>
    <row r="37" ht="51" customFormat="1" customHeight="1" s="316">
      <c r="A37" s="358" t="n">
        <v>9</v>
      </c>
      <c r="B37" s="363" t="inlineStr">
        <is>
          <t>БЦ.98.23</t>
        </is>
      </c>
      <c r="C37" s="362" t="inlineStr">
        <is>
          <t>Опоры решетчатые линий электропередачи оцинкованные, 220 кВ, анкерно-угловые, одностоечные, свободностоящие</t>
        </is>
      </c>
      <c r="D37" s="358" t="inlineStr">
        <is>
          <t>т</t>
        </is>
      </c>
      <c r="E37" s="306" t="n">
        <v>2849.9198</v>
      </c>
      <c r="F37" s="360">
        <f>ROUND(I37/'Прил. 10'!$D$13,2)</f>
        <v/>
      </c>
      <c r="G37" s="227">
        <f>ROUND(E37*F37,2)</f>
        <v/>
      </c>
      <c r="H37" s="229">
        <f>G37/$G$45</f>
        <v/>
      </c>
      <c r="I37" s="227" t="n">
        <v>227108.49</v>
      </c>
      <c r="J37" s="227">
        <f>ROUND(I37*E37,2)</f>
        <v/>
      </c>
      <c r="L37" s="316" t="n"/>
    </row>
    <row r="38" ht="51" customFormat="1" customHeight="1" s="316">
      <c r="A38" s="358" t="n">
        <v>10</v>
      </c>
      <c r="B38" s="363" t="inlineStr">
        <is>
          <t>БЦ.98.24</t>
        </is>
      </c>
      <c r="C38" s="362" t="inlineStr">
        <is>
          <t>Опоры решетчатые линий электропередачи оцинкованные, 220 кВ, промежуточные, одностоечные, свободностоящие</t>
        </is>
      </c>
      <c r="D38" s="358" t="inlineStr">
        <is>
          <t>т</t>
        </is>
      </c>
      <c r="E38" s="306" t="n">
        <v>1544.553</v>
      </c>
      <c r="F38" s="360">
        <f>ROUND(I38/'Прил. 10'!$D$13,2)</f>
        <v/>
      </c>
      <c r="G38" s="227">
        <f>ROUND(E38*F38,2)</f>
        <v/>
      </c>
      <c r="H38" s="229">
        <f>G38/$G$45</f>
        <v/>
      </c>
      <c r="I38" s="227" t="n">
        <v>220570.75</v>
      </c>
      <c r="J38" s="227">
        <f>ROUND(I38*E38,2)</f>
        <v/>
      </c>
      <c r="L38" s="316" t="n"/>
    </row>
    <row r="39" ht="14.25" customFormat="1" customHeight="1" s="316">
      <c r="A39" s="375" t="n"/>
      <c r="B39" s="235" t="n"/>
      <c r="C39" s="236" t="inlineStr">
        <is>
          <t>Итого основные материалы</t>
        </is>
      </c>
      <c r="D39" s="375" t="n"/>
      <c r="E39" s="238" t="n"/>
      <c r="F39" s="240" t="n"/>
      <c r="G39" s="240">
        <f>SUM(G37:G38)</f>
        <v/>
      </c>
      <c r="H39" s="229">
        <f>G39/$G$45</f>
        <v/>
      </c>
      <c r="I39" s="227" t="n"/>
      <c r="J39" s="240">
        <f>SUM(J37:J38)</f>
        <v/>
      </c>
      <c r="L39" s="316" t="n"/>
    </row>
    <row r="40" outlineLevel="1" ht="25.5" customFormat="1" customHeight="1" s="316">
      <c r="A40" s="358" t="n">
        <v>11</v>
      </c>
      <c r="B40" s="358" t="inlineStr">
        <is>
          <t>01.7.15.03-0035</t>
        </is>
      </c>
      <c r="C40" s="357" t="inlineStr">
        <is>
          <t>Болты с гайками и шайбами оцинкованные, диаметр 20 мм</t>
        </is>
      </c>
      <c r="D40" s="358" t="inlineStr">
        <is>
          <t>кг</t>
        </is>
      </c>
      <c r="E40" s="359" t="n">
        <v>128828.28729021</v>
      </c>
      <c r="F40" s="360" t="n">
        <v>24.97</v>
      </c>
      <c r="G40" s="227">
        <f>ROUND(E40*F40,2)</f>
        <v/>
      </c>
      <c r="H40" s="229">
        <f>G40/$G$45</f>
        <v/>
      </c>
      <c r="I40" s="227">
        <f>ROUND(F40*'Прил. 10'!$D$13,2)</f>
        <v/>
      </c>
      <c r="J40" s="227">
        <f>ROUND(I40*E40,2)</f>
        <v/>
      </c>
      <c r="L40" s="316" t="n"/>
    </row>
    <row r="41" outlineLevel="1" ht="38.25" customFormat="1" customHeight="1" s="316">
      <c r="A41" s="358" t="n">
        <v>12</v>
      </c>
      <c r="B41" s="358" t="inlineStr">
        <is>
          <t>Прайс из СД ОП</t>
        </is>
      </c>
      <c r="C41" s="357" t="inlineStr">
        <is>
          <t>Совмещенный информационный знак "Ограничения действий вблизи ВЛ"  600х900</t>
        </is>
      </c>
      <c r="D41" s="358" t="inlineStr">
        <is>
          <t>шт</t>
        </is>
      </c>
      <c r="E41" s="359" t="n">
        <v>410.9355256466</v>
      </c>
      <c r="F41" s="360" t="n">
        <v>2134.41</v>
      </c>
      <c r="G41" s="227">
        <f>ROUND(E41*F41,2)</f>
        <v/>
      </c>
      <c r="H41" s="229">
        <f>G41/$G$45</f>
        <v/>
      </c>
      <c r="I41" s="227">
        <f>ROUND(F41*'Прил. 10'!$D$13,2)</f>
        <v/>
      </c>
      <c r="J41" s="227">
        <f>ROUND(I41*E41,2)</f>
        <v/>
      </c>
    </row>
    <row r="42" outlineLevel="1" ht="25.5" customFormat="1" customHeight="1" s="316">
      <c r="A42" s="358" t="n">
        <v>13</v>
      </c>
      <c r="B42" s="358" t="inlineStr">
        <is>
          <t>Прайс из СД ОП</t>
        </is>
      </c>
      <c r="C42" s="357" t="inlineStr">
        <is>
          <t>Знак для обслуживания ВЛ с использованием вертолетов  400х500</t>
        </is>
      </c>
      <c r="D42" s="358" t="inlineStr">
        <is>
          <t>шт</t>
        </is>
      </c>
      <c r="E42" s="359" t="n">
        <v>82.187105129321</v>
      </c>
      <c r="F42" s="360" t="n">
        <v>1207.65</v>
      </c>
      <c r="G42" s="227">
        <f>ROUND(E42*F42,2)</f>
        <v/>
      </c>
      <c r="H42" s="229">
        <f>G42/$G$45</f>
        <v/>
      </c>
      <c r="I42" s="227">
        <f>ROUND(F42*'Прил. 10'!$D$13,2)</f>
        <v/>
      </c>
      <c r="J42" s="227">
        <f>ROUND(I42*E42,2)</f>
        <v/>
      </c>
    </row>
    <row r="43" outlineLevel="1" ht="25.5" customFormat="1" customHeight="1" s="316">
      <c r="A43" s="358" t="n">
        <v>14</v>
      </c>
      <c r="B43" s="358" t="inlineStr">
        <is>
          <t>Прайс из СД ОП</t>
        </is>
      </c>
      <c r="C43" s="357" t="inlineStr">
        <is>
          <t>Информационный знак "Расцвека фаз" 300х300</t>
        </is>
      </c>
      <c r="D43" s="358" t="inlineStr">
        <is>
          <t>шт</t>
        </is>
      </c>
      <c r="E43" s="359" t="n">
        <v>61.640328846991</v>
      </c>
      <c r="F43" s="360" t="n">
        <v>747.0599999999999</v>
      </c>
      <c r="G43" s="227">
        <f>ROUND(E43*F43,2)</f>
        <v/>
      </c>
      <c r="H43" s="229">
        <f>G43/$G$45</f>
        <v/>
      </c>
      <c r="I43" s="227">
        <f>ROUND(F43*'Прил. 10'!$D$13,2)</f>
        <v/>
      </c>
      <c r="J43" s="227">
        <f>ROUND(I43*E43,2)</f>
        <v/>
      </c>
    </row>
    <row r="44" ht="14.25" customFormat="1" customHeight="1" s="316">
      <c r="A44" s="358" t="n"/>
      <c r="B44" s="358" t="n"/>
      <c r="C44" s="357" t="inlineStr">
        <is>
          <t>Итого прочие материалы</t>
        </is>
      </c>
      <c r="D44" s="358" t="n"/>
      <c r="E44" s="359" t="n"/>
      <c r="F44" s="360" t="n"/>
      <c r="G44" s="227">
        <f>SUM(G40:G43)</f>
        <v/>
      </c>
      <c r="H44" s="229">
        <f>G44/$G$45</f>
        <v/>
      </c>
      <c r="I44" s="227" t="n"/>
      <c r="J44" s="227">
        <f>SUM(J40:J43)</f>
        <v/>
      </c>
    </row>
    <row r="45" ht="14.25" customFormat="1" customHeight="1" s="316">
      <c r="A45" s="358" t="n"/>
      <c r="B45" s="358" t="n"/>
      <c r="C45" s="356" t="inlineStr">
        <is>
          <t>Итого по разделу «Материалы»</t>
        </is>
      </c>
      <c r="D45" s="358" t="n"/>
      <c r="E45" s="359" t="n"/>
      <c r="F45" s="360" t="n"/>
      <c r="G45" s="297">
        <f>G39+G44</f>
        <v/>
      </c>
      <c r="H45" s="361">
        <f>G45/$G$45</f>
        <v/>
      </c>
      <c r="I45" s="227" t="n"/>
      <c r="J45" s="227">
        <f>J39+J44</f>
        <v/>
      </c>
    </row>
    <row r="46" ht="14.25" customFormat="1" customHeight="1" s="316">
      <c r="A46" s="358" t="n"/>
      <c r="B46" s="358" t="n"/>
      <c r="C46" s="357" t="inlineStr">
        <is>
          <t>ИТОГО ПО РМ</t>
        </is>
      </c>
      <c r="D46" s="358" t="n"/>
      <c r="E46" s="359" t="n"/>
      <c r="F46" s="360" t="n"/>
      <c r="G46" s="297">
        <f>G15+G28+G45</f>
        <v/>
      </c>
      <c r="H46" s="361" t="n"/>
      <c r="I46" s="227" t="n"/>
      <c r="J46" s="227">
        <f>J15+J28+J45</f>
        <v/>
      </c>
    </row>
    <row r="47" ht="14.25" customFormat="1" customHeight="1" s="316">
      <c r="A47" s="358" t="n"/>
      <c r="B47" s="358" t="n"/>
      <c r="C47" s="357" t="inlineStr">
        <is>
          <t>Накладные расходы</t>
        </is>
      </c>
      <c r="D47" s="220" t="n">
        <v>1.03</v>
      </c>
      <c r="E47" s="359" t="n"/>
      <c r="F47" s="360" t="n"/>
      <c r="G47" s="297">
        <f>D47*($G$15+$G$17)</f>
        <v/>
      </c>
      <c r="H47" s="361" t="n"/>
      <c r="I47" s="227" t="n"/>
      <c r="J47" s="227">
        <f>ROUND(D47*(J15+J17),2)</f>
        <v/>
      </c>
    </row>
    <row r="48" ht="14.25" customFormat="1" customHeight="1" s="316">
      <c r="A48" s="358" t="n"/>
      <c r="B48" s="358" t="n"/>
      <c r="C48" s="357" t="inlineStr">
        <is>
          <t>Сметная прибыль</t>
        </is>
      </c>
      <c r="D48" s="220" t="n">
        <v>0.6</v>
      </c>
      <c r="E48" s="359" t="n"/>
      <c r="F48" s="360" t="n"/>
      <c r="G48" s="297">
        <f>D48*($G$15+$G$17)</f>
        <v/>
      </c>
      <c r="H48" s="361" t="n"/>
      <c r="I48" s="227" t="n"/>
      <c r="J48" s="227">
        <f>ROUND(D48*(J15+J17),2)</f>
        <v/>
      </c>
    </row>
    <row r="49" ht="14.25" customFormat="1" customHeight="1" s="316">
      <c r="A49" s="358" t="n"/>
      <c r="B49" s="358" t="n"/>
      <c r="C49" s="357" t="inlineStr">
        <is>
          <t>Итого СМР (с НР и СП)</t>
        </is>
      </c>
      <c r="D49" s="358" t="n"/>
      <c r="E49" s="359" t="n"/>
      <c r="F49" s="360" t="n"/>
      <c r="G49" s="297">
        <f>G15+G28+G45+G47+G48</f>
        <v/>
      </c>
      <c r="H49" s="361" t="n"/>
      <c r="I49" s="227" t="n"/>
      <c r="J49" s="227">
        <f>J15+J28+J45+J47+J48</f>
        <v/>
      </c>
    </row>
    <row r="50" ht="14.25" customFormat="1" customHeight="1" s="316">
      <c r="A50" s="358" t="n"/>
      <c r="B50" s="358" t="n"/>
      <c r="C50" s="357" t="inlineStr">
        <is>
          <t>ВСЕГО СМР + ОБОРУДОВАНИЕ</t>
        </is>
      </c>
      <c r="D50" s="358" t="n"/>
      <c r="E50" s="359" t="n"/>
      <c r="F50" s="360" t="n"/>
      <c r="G50" s="227">
        <f>G49+G33</f>
        <v/>
      </c>
      <c r="H50" s="361" t="n"/>
      <c r="I50" s="227" t="n"/>
      <c r="J50" s="227">
        <f>J49+J33</f>
        <v/>
      </c>
    </row>
    <row r="51" ht="34.5" customFormat="1" customHeight="1" s="316">
      <c r="A51" s="358" t="n"/>
      <c r="B51" s="358" t="n"/>
      <c r="C51" s="357" t="inlineStr">
        <is>
          <t>ИТОГО ПОКАЗАТЕЛЬ НА ЕД. ИЗМ.</t>
        </is>
      </c>
      <c r="D51" s="358" t="inlineStr">
        <is>
          <t>км</t>
        </is>
      </c>
      <c r="E51" s="306" t="n">
        <v>164.4</v>
      </c>
      <c r="F51" s="360" t="n"/>
      <c r="G51" s="227">
        <f>G50/E51</f>
        <v/>
      </c>
      <c r="H51" s="361" t="n"/>
      <c r="I51" s="227" t="n"/>
      <c r="J51" s="227">
        <f>J50/E51</f>
        <v/>
      </c>
    </row>
    <row r="53" ht="14.25" customFormat="1" customHeight="1" s="316">
      <c r="A53" s="315" t="inlineStr">
        <is>
          <t>Составил ______________________    А.П. Николаева</t>
        </is>
      </c>
    </row>
    <row r="54" ht="14.25" customFormat="1" customHeight="1" s="316">
      <c r="A54" s="318" t="inlineStr">
        <is>
          <t xml:space="preserve">                         (подпись, инициалы, фамилия)</t>
        </is>
      </c>
    </row>
    <row r="55" ht="14.25" customFormat="1" customHeight="1" s="316">
      <c r="A55" s="315" t="n"/>
    </row>
    <row r="56" ht="14.25" customFormat="1" customHeight="1" s="316">
      <c r="A56" s="315" t="inlineStr">
        <is>
          <t>Проверил ______________________        А.В. Костянецкая</t>
        </is>
      </c>
    </row>
    <row r="57" ht="14.25" customFormat="1" customHeight="1" s="316">
      <c r="A57" s="318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  <rowBreaks count="1" manualBreakCount="1">
    <brk id="50" min="0" max="9" man="1"/>
  </rowBreaks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4.4"/>
  <cols>
    <col width="5.6640625" customWidth="1" style="308" min="1" max="1"/>
    <col width="17.5546875" customWidth="1" style="308" min="2" max="2"/>
    <col width="39.109375" customWidth="1" style="308" min="3" max="3"/>
    <col width="10.6640625" customWidth="1" style="308" min="4" max="4"/>
    <col width="13.88671875" customWidth="1" style="308" min="5" max="5"/>
    <col width="13.33203125" customWidth="1" style="308" min="6" max="6"/>
    <col width="14.109375" customWidth="1" style="308" min="7" max="7"/>
  </cols>
  <sheetData>
    <row r="1">
      <c r="A1" s="377" t="inlineStr">
        <is>
          <t>Приложение №6</t>
        </is>
      </c>
    </row>
    <row r="2" ht="21.75" customHeight="1" s="308">
      <c r="A2" s="377" t="n"/>
      <c r="B2" s="377" t="n"/>
      <c r="C2" s="377" t="n"/>
      <c r="D2" s="377" t="n"/>
      <c r="E2" s="377" t="n"/>
      <c r="F2" s="377" t="n"/>
      <c r="G2" s="377" t="n"/>
    </row>
    <row r="3">
      <c r="A3" s="331" t="inlineStr">
        <is>
          <t>Расчет стоимости оборудования</t>
        </is>
      </c>
    </row>
    <row r="4" ht="25.5" customHeight="1" s="308">
      <c r="A4" s="334" t="inlineStr">
        <is>
          <t>Наименование разрабатываемого показателя УНЦ — Опоры ВЛ 0,4 - 750 кВ. Одноцепная, все типы опор за исключением многогранных 220 кВ.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" customHeight="1" s="308">
      <c r="A6" s="382" t="inlineStr">
        <is>
          <t>№ пп.</t>
        </is>
      </c>
      <c r="B6" s="382" t="inlineStr">
        <is>
          <t>Код ресурса</t>
        </is>
      </c>
      <c r="C6" s="382" t="inlineStr">
        <is>
          <t>Наименование</t>
        </is>
      </c>
      <c r="D6" s="382" t="inlineStr">
        <is>
          <t>Ед. изм.</t>
        </is>
      </c>
      <c r="E6" s="358" t="inlineStr">
        <is>
          <t>Кол-во единиц по проектным данным</t>
        </is>
      </c>
      <c r="F6" s="382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58" t="inlineStr">
        <is>
          <t>на ед. изм.</t>
        </is>
      </c>
      <c r="G7" s="358" t="inlineStr">
        <is>
          <t>общая</t>
        </is>
      </c>
    </row>
    <row r="8">
      <c r="A8" s="358" t="n">
        <v>1</v>
      </c>
      <c r="B8" s="358" t="n">
        <v>2</v>
      </c>
      <c r="C8" s="358" t="n">
        <v>3</v>
      </c>
      <c r="D8" s="358" t="n">
        <v>4</v>
      </c>
      <c r="E8" s="358" t="n">
        <v>5</v>
      </c>
      <c r="F8" s="358" t="n">
        <v>6</v>
      </c>
      <c r="G8" s="358" t="n">
        <v>7</v>
      </c>
    </row>
    <row r="9" ht="15" customHeight="1" s="308">
      <c r="A9" s="270" t="n"/>
      <c r="B9" s="357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308">
      <c r="A10" s="358" t="n"/>
      <c r="B10" s="356" t="n"/>
      <c r="C10" s="357" t="inlineStr">
        <is>
          <t>ИТОГО ИНЖЕНЕРНОЕ ОБОРУДОВАНИЕ</t>
        </is>
      </c>
      <c r="D10" s="356" t="n"/>
      <c r="E10" s="148" t="n"/>
      <c r="F10" s="360" t="n"/>
      <c r="G10" s="360" t="n">
        <v>0</v>
      </c>
    </row>
    <row r="11">
      <c r="A11" s="358" t="n"/>
      <c r="B11" s="357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>
      <c r="A12" s="358" t="n">
        <v>1</v>
      </c>
      <c r="B12" s="357" t="n"/>
      <c r="C12" s="357" t="n"/>
      <c r="D12" s="358" t="n"/>
      <c r="E12" s="358" t="n"/>
      <c r="F12" s="360" t="n"/>
      <c r="G12" s="227" t="n"/>
    </row>
    <row r="13" ht="25.5" customHeight="1" s="308">
      <c r="A13" s="358" t="n"/>
      <c r="B13" s="357" t="n"/>
      <c r="C13" s="357" t="inlineStr">
        <is>
          <t>ИТОГО ТЕХНОЛОГИЧЕСКОЕ ОБОРУДОВАНИЕ</t>
        </is>
      </c>
      <c r="D13" s="357" t="n"/>
      <c r="E13" s="381" t="n"/>
      <c r="F13" s="360" t="n"/>
      <c r="G13" s="227">
        <f>SUM(G12:G12)</f>
        <v/>
      </c>
    </row>
    <row r="14" ht="19.5" customHeight="1" s="308">
      <c r="A14" s="358" t="n"/>
      <c r="B14" s="357" t="n"/>
      <c r="C14" s="357" t="inlineStr">
        <is>
          <t>Всего по разделу «Оборудование»</t>
        </is>
      </c>
      <c r="D14" s="357" t="n"/>
      <c r="E14" s="381" t="n"/>
      <c r="F14" s="360" t="n"/>
      <c r="G14" s="227">
        <f>G10+G13</f>
        <v/>
      </c>
    </row>
    <row r="15">
      <c r="A15" s="317" t="n"/>
      <c r="B15" s="151" t="n"/>
      <c r="C15" s="317" t="n"/>
      <c r="D15" s="317" t="n"/>
      <c r="E15" s="317" t="n"/>
      <c r="F15" s="317" t="n"/>
      <c r="G15" s="317" t="n"/>
    </row>
    <row r="16">
      <c r="A16" s="315" t="inlineStr">
        <is>
          <t>Составил ______________________    А.П. Николаева</t>
        </is>
      </c>
      <c r="B16" s="316" t="n"/>
      <c r="C16" s="316" t="n"/>
      <c r="D16" s="317" t="n"/>
      <c r="E16" s="317" t="n"/>
      <c r="F16" s="317" t="n"/>
      <c r="G16" s="317" t="n"/>
    </row>
    <row r="17">
      <c r="A17" s="318" t="inlineStr">
        <is>
          <t xml:space="preserve">                         (подпись, инициалы, фамилия)</t>
        </is>
      </c>
      <c r="B17" s="316" t="n"/>
      <c r="C17" s="316" t="n"/>
      <c r="D17" s="317" t="n"/>
      <c r="E17" s="317" t="n"/>
      <c r="F17" s="317" t="n"/>
      <c r="G17" s="317" t="n"/>
    </row>
    <row r="18">
      <c r="A18" s="315" t="n"/>
      <c r="B18" s="316" t="n"/>
      <c r="C18" s="316" t="n"/>
      <c r="D18" s="317" t="n"/>
      <c r="E18" s="317" t="n"/>
      <c r="F18" s="317" t="n"/>
      <c r="G18" s="317" t="n"/>
    </row>
    <row r="19">
      <c r="A19" s="315" t="inlineStr">
        <is>
          <t>Проверил ______________________        А.В. Костянецкая</t>
        </is>
      </c>
      <c r="B19" s="316" t="n"/>
      <c r="C19" s="316" t="n"/>
      <c r="D19" s="317" t="n"/>
      <c r="E19" s="317" t="n"/>
      <c r="F19" s="317" t="n"/>
      <c r="G19" s="317" t="n"/>
    </row>
    <row r="20">
      <c r="A20" s="318" t="inlineStr">
        <is>
          <t xml:space="preserve">                        (подпись, инициалы, фамилия)</t>
        </is>
      </c>
      <c r="B20" s="316" t="n"/>
      <c r="C20" s="316" t="n"/>
      <c r="D20" s="317" t="n"/>
      <c r="E20" s="317" t="n"/>
      <c r="F20" s="317" t="n"/>
      <c r="G20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08" min="1" max="1"/>
    <col width="22.44140625" customWidth="1" style="308" min="2" max="2"/>
    <col width="37.109375" customWidth="1" style="308" min="3" max="3"/>
    <col width="49" customWidth="1" style="308" min="4" max="4"/>
    <col width="9.109375" customWidth="1" style="308" min="5" max="5"/>
  </cols>
  <sheetData>
    <row r="1" ht="15.75" customHeight="1" s="308">
      <c r="A1" s="311" t="n"/>
      <c r="B1" s="311" t="n"/>
      <c r="C1" s="311" t="n"/>
      <c r="D1" s="311" t="inlineStr">
        <is>
          <t>Приложение №7</t>
        </is>
      </c>
    </row>
    <row r="2" ht="15.75" customHeight="1" s="308">
      <c r="A2" s="311" t="n"/>
      <c r="B2" s="311" t="n"/>
      <c r="C2" s="311" t="n"/>
      <c r="D2" s="311" t="n"/>
    </row>
    <row r="3" ht="15.75" customHeight="1" s="308">
      <c r="A3" s="311" t="n"/>
      <c r="B3" s="309" t="inlineStr">
        <is>
          <t>Расчет показателя УНЦ</t>
        </is>
      </c>
      <c r="C3" s="311" t="n"/>
      <c r="D3" s="311" t="n"/>
    </row>
    <row r="4" ht="15.75" customHeight="1" s="308">
      <c r="A4" s="311" t="n"/>
      <c r="B4" s="311" t="n"/>
      <c r="C4" s="311" t="n"/>
      <c r="D4" s="311" t="n"/>
    </row>
    <row r="5" ht="31.5" customHeight="1" s="308">
      <c r="A5" s="383" t="inlineStr">
        <is>
          <t xml:space="preserve">Наименование разрабатываемого показателя УНЦ - </t>
        </is>
      </c>
      <c r="D5" s="383">
        <f>'Прил.5 Расчет СМР и ОБ'!D6:J6</f>
        <v/>
      </c>
    </row>
    <row r="6" ht="15.75" customHeight="1" s="308">
      <c r="A6" s="311" t="inlineStr">
        <is>
          <t>Единица измерения  — 1 км</t>
        </is>
      </c>
      <c r="B6" s="311" t="n"/>
      <c r="C6" s="311" t="n"/>
      <c r="D6" s="311" t="n"/>
    </row>
    <row r="7" ht="15.75" customHeight="1" s="308">
      <c r="A7" s="311" t="n"/>
      <c r="B7" s="311" t="n"/>
      <c r="C7" s="311" t="n"/>
      <c r="D7" s="311" t="n"/>
    </row>
    <row r="8">
      <c r="A8" s="346" t="inlineStr">
        <is>
          <t>Код показателя</t>
        </is>
      </c>
      <c r="B8" s="346" t="inlineStr">
        <is>
          <t>Наименование показателя</t>
        </is>
      </c>
      <c r="C8" s="346" t="inlineStr">
        <is>
          <t>Наименование РМ, входящих в состав показателя</t>
        </is>
      </c>
      <c r="D8" s="346" t="inlineStr">
        <is>
          <t>Норматив цены на 01.01.2023, тыс.руб.</t>
        </is>
      </c>
    </row>
    <row r="9">
      <c r="A9" s="431" t="n"/>
      <c r="B9" s="431" t="n"/>
      <c r="C9" s="431" t="n"/>
      <c r="D9" s="431" t="n"/>
    </row>
    <row r="10" ht="15.75" customHeight="1" s="308">
      <c r="A10" s="346" t="n">
        <v>1</v>
      </c>
      <c r="B10" s="346" t="n">
        <v>2</v>
      </c>
      <c r="C10" s="346" t="n">
        <v>3</v>
      </c>
      <c r="D10" s="346" t="n">
        <v>4</v>
      </c>
    </row>
    <row r="11" ht="63" customHeight="1" s="308">
      <c r="A11" s="346" t="inlineStr">
        <is>
          <t>Л3-05-1</t>
        </is>
      </c>
      <c r="B11" s="346" t="inlineStr">
        <is>
          <t xml:space="preserve">УНЦ опор ВЛ 0,4 - 750 кВ </t>
        </is>
      </c>
      <c r="C11" s="313">
        <f>D5</f>
        <v/>
      </c>
      <c r="D11" s="314">
        <f>'Прил.4 РМ'!C41/1000</f>
        <v/>
      </c>
    </row>
    <row r="13">
      <c r="A13" s="315" t="inlineStr">
        <is>
          <t>Составил ______________________    А.П. Николаева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08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5" sqref="B25"/>
    </sheetView>
  </sheetViews>
  <sheetFormatPr baseColWidth="8" defaultRowHeight="14.4"/>
  <cols>
    <col width="9.109375" customWidth="1" style="308" min="1" max="1"/>
    <col width="40.6640625" customWidth="1" style="308" min="2" max="2"/>
    <col width="37" customWidth="1" style="308" min="3" max="3"/>
    <col width="32" customWidth="1" style="308" min="4" max="4"/>
    <col width="9.109375" customWidth="1" style="308" min="5" max="5"/>
  </cols>
  <sheetData>
    <row r="4" ht="15.75" customHeight="1" s="308">
      <c r="B4" s="338" t="inlineStr">
        <is>
          <t>Приложение № 10</t>
        </is>
      </c>
    </row>
    <row r="5" ht="18.75" customHeight="1" s="308">
      <c r="B5" s="189" t="n"/>
    </row>
    <row r="6" ht="15.75" customHeight="1" s="308">
      <c r="B6" s="339" t="inlineStr">
        <is>
          <t>Используемые индексы изменений сметной стоимости и нормы сопутствующих затрат</t>
        </is>
      </c>
    </row>
    <row r="7">
      <c r="B7" s="384" t="n"/>
    </row>
    <row r="8">
      <c r="B8" s="384" t="n"/>
      <c r="C8" s="384" t="n"/>
      <c r="D8" s="384" t="n"/>
      <c r="E8" s="384" t="n"/>
    </row>
    <row r="9" ht="47.25" customHeight="1" s="308">
      <c r="B9" s="346" t="inlineStr">
        <is>
          <t>Наименование индекса / норм сопутствующих затрат</t>
        </is>
      </c>
      <c r="C9" s="346" t="inlineStr">
        <is>
          <t>Дата применения и обоснование индекса / норм сопутствующих затрат</t>
        </is>
      </c>
      <c r="D9" s="346" t="inlineStr">
        <is>
          <t>Размер индекса / норма сопутствующих затрат</t>
        </is>
      </c>
    </row>
    <row r="10" ht="15.75" customHeight="1" s="308">
      <c r="B10" s="346" t="n">
        <v>1</v>
      </c>
      <c r="C10" s="346" t="n">
        <v>2</v>
      </c>
      <c r="D10" s="346" t="n">
        <v>3</v>
      </c>
    </row>
    <row r="11" ht="47.25" customHeight="1" s="308">
      <c r="B11" s="346" t="inlineStr">
        <is>
          <t xml:space="preserve">Индекс изменения сметной стоимости на 1 квартал 2023 года. ОЗП </t>
        </is>
      </c>
      <c r="C11" s="346" t="inlineStr">
        <is>
          <t>Письмо Минстроя России от 01.04.2023г. №17772-ИФ/09  прил.9</t>
        </is>
      </c>
      <c r="D11" s="346" t="n">
        <v>46.83</v>
      </c>
    </row>
    <row r="12" ht="47.25" customHeight="1" s="308">
      <c r="B12" s="346" t="inlineStr">
        <is>
          <t>Индекс изменения сметной стоимости на 1 квартал 2023 года. ЭМ</t>
        </is>
      </c>
      <c r="C12" s="346" t="inlineStr">
        <is>
          <t>Письмо Минстроя России от 01.04.2023г. №17772-ИФ/09  прил.9</t>
        </is>
      </c>
      <c r="D12" s="346" t="n">
        <v>11.96</v>
      </c>
    </row>
    <row r="13" ht="47.25" customHeight="1" s="308">
      <c r="B13" s="346" t="inlineStr">
        <is>
          <t>Индекс изменения сметной стоимости на 1 квартал 2023 года. МАТ</t>
        </is>
      </c>
      <c r="C13" s="346" t="inlineStr">
        <is>
          <t>Письмо Минстроя России от 01.04.2023г. №17772-ИФ/09  прил.9</t>
        </is>
      </c>
      <c r="D13" s="346" t="n">
        <v>9.84</v>
      </c>
    </row>
    <row r="14" ht="30.75" customHeight="1" s="308">
      <c r="B14" s="34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6" t="n">
        <v>6.26</v>
      </c>
    </row>
    <row r="15" ht="89.25" customHeight="1" s="308">
      <c r="B15" s="346" t="inlineStr">
        <is>
          <t>Временные здания и сооружения</t>
        </is>
      </c>
      <c r="C15" s="34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0.033</v>
      </c>
    </row>
    <row r="16" ht="78.75" customHeight="1" s="308">
      <c r="B16" s="346" t="inlineStr">
        <is>
          <t>Дополнительные затраты при производстве строительно-монтажных работ в зимнее время</t>
        </is>
      </c>
      <c r="C16" s="346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</v>
      </c>
    </row>
    <row r="17" ht="34.5" customHeight="1" s="308">
      <c r="B17" s="346" t="n"/>
      <c r="C17" s="346" t="n"/>
      <c r="D17" s="346" t="n"/>
    </row>
    <row r="18" ht="31.5" customHeight="1" s="308">
      <c r="B18" s="346" t="inlineStr">
        <is>
          <t>Строительный контроль</t>
        </is>
      </c>
      <c r="C18" s="346" t="inlineStr">
        <is>
          <t>Постановление Правительства РФ от 21.06.10 г. № 468</t>
        </is>
      </c>
      <c r="D18" s="192" t="n">
        <v>0.0214</v>
      </c>
    </row>
    <row r="19" ht="31.5" customHeight="1" s="308">
      <c r="B19" s="346" t="inlineStr">
        <is>
          <t>Авторский надзор - 0,2%</t>
        </is>
      </c>
      <c r="C19" s="346" t="inlineStr">
        <is>
          <t>Приказ от 4.08.2020 № 421/пр п.173</t>
        </is>
      </c>
      <c r="D19" s="192" t="n">
        <v>0.002</v>
      </c>
    </row>
    <row r="20" ht="24" customHeight="1" s="308">
      <c r="B20" s="346" t="inlineStr">
        <is>
          <t>Непредвиденные расходы</t>
        </is>
      </c>
      <c r="C20" s="346" t="inlineStr">
        <is>
          <t>Приказ от 4.08.2020 № 421/пр п.179</t>
        </is>
      </c>
      <c r="D20" s="192" t="n">
        <v>0.03</v>
      </c>
    </row>
    <row r="21" ht="18.75" customHeight="1" s="308">
      <c r="B21" s="190" t="n"/>
    </row>
    <row r="22" ht="18.75" customHeight="1" s="308">
      <c r="B22" s="190" t="n"/>
    </row>
    <row r="23" ht="18.75" customHeight="1" s="308">
      <c r="B23" s="190" t="n"/>
    </row>
    <row r="24" ht="18.75" customHeight="1" s="308">
      <c r="B24" s="190" t="n"/>
    </row>
    <row r="27">
      <c r="B27" s="315" t="inlineStr">
        <is>
          <t>Составил ______________________        Е.А. Князева</t>
        </is>
      </c>
      <c r="C27" s="316" t="n"/>
    </row>
    <row r="28">
      <c r="B28" s="318" t="inlineStr">
        <is>
          <t xml:space="preserve">                         (подпись, инициалы, фамилия)</t>
        </is>
      </c>
      <c r="C28" s="316" t="n"/>
    </row>
    <row r="29">
      <c r="B29" s="315" t="n"/>
      <c r="C29" s="316" t="n"/>
    </row>
    <row r="30">
      <c r="B30" s="315" t="inlineStr">
        <is>
          <t>Проверил ______________________        А.В. Костянецкая</t>
        </is>
      </c>
      <c r="C30" s="316" t="n"/>
    </row>
    <row r="31">
      <c r="B31" s="318" t="inlineStr">
        <is>
          <t xml:space="preserve">                        (подпись, инициалы, фамилия)</t>
        </is>
      </c>
      <c r="C31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25" sqref="D25"/>
    </sheetView>
  </sheetViews>
  <sheetFormatPr baseColWidth="8" defaultRowHeight="14.4"/>
  <cols>
    <col width="9.109375" customWidth="1" style="308" min="1" max="1"/>
    <col width="44.88671875" customWidth="1" style="308" min="2" max="2"/>
    <col width="13" customWidth="1" style="308" min="3" max="3"/>
    <col width="22.88671875" customWidth="1" style="308" min="4" max="4"/>
    <col width="21.5546875" customWidth="1" style="308" min="5" max="5"/>
    <col width="43.88671875" customWidth="1" style="308" min="6" max="6"/>
    <col width="9.109375" customWidth="1" style="308" min="7" max="7"/>
  </cols>
  <sheetData>
    <row r="2" ht="17.25" customHeight="1" s="308">
      <c r="A2" s="3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8">
      <c r="A4" s="173" t="inlineStr">
        <is>
          <t>Составлен в уровне цен на 01.01.2023 г.</t>
        </is>
      </c>
      <c r="B4" s="311" t="n"/>
      <c r="C4" s="311" t="n"/>
      <c r="D4" s="311" t="n"/>
      <c r="E4" s="311" t="n"/>
      <c r="F4" s="311" t="n"/>
      <c r="G4" s="311" t="n"/>
    </row>
    <row r="5" ht="15.75" customHeight="1" s="30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1" t="n"/>
    </row>
    <row r="6" ht="15.75" customHeight="1" s="30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1" t="n"/>
    </row>
    <row r="7" ht="110.25" customHeight="1" s="30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6" t="inlineStr">
        <is>
          <t>С1ср</t>
        </is>
      </c>
      <c r="D7" s="346" t="inlineStr">
        <is>
          <t>-</t>
        </is>
      </c>
      <c r="E7" s="314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1" t="n"/>
    </row>
    <row r="8" ht="31.5" customHeight="1" s="30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46" t="inlineStr">
        <is>
          <t>tср</t>
        </is>
      </c>
      <c r="D8" s="346" t="inlineStr">
        <is>
          <t>1973ч/12мес.</t>
        </is>
      </c>
      <c r="E8" s="314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08">
      <c r="A9" s="176" t="inlineStr">
        <is>
          <t>1.3</t>
        </is>
      </c>
      <c r="B9" s="180" t="inlineStr">
        <is>
          <t>Коэффициент увеличения</t>
        </is>
      </c>
      <c r="C9" s="346" t="inlineStr">
        <is>
          <t>Кув</t>
        </is>
      </c>
      <c r="D9" s="346" t="inlineStr">
        <is>
          <t>-</t>
        </is>
      </c>
      <c r="E9" s="314" t="n">
        <v>1</v>
      </c>
      <c r="F9" s="180" t="n"/>
      <c r="G9" s="182" t="n"/>
    </row>
    <row r="10" ht="15.75" customHeight="1" s="308">
      <c r="A10" s="176" t="inlineStr">
        <is>
          <t>1.4</t>
        </is>
      </c>
      <c r="B10" s="180" t="inlineStr">
        <is>
          <t>Средний разряд работ</t>
        </is>
      </c>
      <c r="C10" s="346" t="n"/>
      <c r="D10" s="346" t="n"/>
      <c r="E10" s="183" t="n">
        <v>4.2</v>
      </c>
      <c r="F10" s="180" t="inlineStr">
        <is>
          <t>РТМ</t>
        </is>
      </c>
      <c r="G10" s="182" t="n"/>
    </row>
    <row r="11" ht="78.75" customHeight="1" s="30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46" t="inlineStr">
        <is>
          <t>КТ</t>
        </is>
      </c>
      <c r="D11" s="346" t="inlineStr">
        <is>
          <t>-</t>
        </is>
      </c>
      <c r="E11" s="280" t="n">
        <v>1.38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1" t="n"/>
    </row>
    <row r="12" ht="78.75" customHeight="1" s="308">
      <c r="A12" s="176" t="inlineStr">
        <is>
          <t>1.6</t>
        </is>
      </c>
      <c r="B12" s="326" t="inlineStr">
        <is>
          <t>Коэффициент инфляции, определяемый поквартально</t>
        </is>
      </c>
      <c r="C12" s="346" t="inlineStr">
        <is>
          <t>Кинф</t>
        </is>
      </c>
      <c r="D12" s="346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8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46" t="inlineStr">
        <is>
          <t>ФОТр.тек.</t>
        </is>
      </c>
      <c r="D13" s="346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2025-01-24T12:10:05Z</dcterms:modified>
  <cp:lastModifiedBy>user1</cp:lastModifiedBy>
</cp:coreProperties>
</file>