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стоим'!$A$1:$J$25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/>
    </xf>
    <xf numFmtId="2" fontId="18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16" fillId="0" borderId="0" pivotButton="0" quotePrefix="0" xfId="0"/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G32"/>
  <sheetViews>
    <sheetView tabSelected="1" view="pageBreakPreview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05" min="1" max="2"/>
    <col width="36.88671875" customWidth="1" style="305" min="3" max="3"/>
    <col width="36.5546875" customWidth="1" style="305" min="4" max="6"/>
    <col width="37.44140625" customWidth="1" style="305" min="7" max="7"/>
    <col width="9.109375" customWidth="1" style="305" min="8" max="8"/>
  </cols>
  <sheetData>
    <row r="3">
      <c r="B3" s="320" t="inlineStr">
        <is>
          <t>Приложение № 1</t>
        </is>
      </c>
    </row>
    <row r="4">
      <c r="B4" s="321" t="inlineStr">
        <is>
          <t>Сравнительная таблица отбора объекта-представителя</t>
        </is>
      </c>
    </row>
    <row r="5">
      <c r="B5" s="257" t="n"/>
      <c r="C5" s="257" t="n"/>
      <c r="D5" s="257" t="n"/>
      <c r="E5" s="257" t="n"/>
      <c r="F5" s="257" t="n"/>
    </row>
    <row r="6">
      <c r="B6" s="257" t="n"/>
      <c r="C6" s="257" t="n"/>
      <c r="D6" s="257" t="n"/>
      <c r="E6" s="257" t="n"/>
      <c r="F6" s="257" t="n"/>
    </row>
    <row r="7">
      <c r="B7" s="322" t="inlineStr">
        <is>
          <t>Наименование разрабатываемого показателя УНЦ — Опоры ВЛ 0,4 - 750 кВ. Двухцепная, все типы опор за исключением многогранных 220 кВ.</t>
        </is>
      </c>
      <c r="G7" s="256" t="n"/>
    </row>
    <row r="8" ht="31.5" customHeight="1" s="302">
      <c r="B8" s="322" t="inlineStr">
        <is>
          <t>Сопоставимый уровень цен: 2 кв 2021</t>
        </is>
      </c>
    </row>
    <row r="9">
      <c r="B9" s="322" t="inlineStr">
        <is>
          <t>Единица измерения  — 1 км</t>
        </is>
      </c>
      <c r="G9" s="256" t="n"/>
    </row>
    <row r="10">
      <c r="B10" s="322" t="n"/>
    </row>
    <row r="11">
      <c r="B11" s="327" t="inlineStr">
        <is>
          <t>№ п/п</t>
        </is>
      </c>
      <c r="C11" s="327" t="inlineStr">
        <is>
          <t>Параметр</t>
        </is>
      </c>
      <c r="D11" s="251" t="inlineStr">
        <is>
          <t>Объект-представитель 1</t>
        </is>
      </c>
      <c r="E11" s="251" t="inlineStr">
        <is>
          <t>Объект-представитель 2</t>
        </is>
      </c>
      <c r="F11" s="251" t="inlineStr">
        <is>
          <t>Объект-представитель 3</t>
        </is>
      </c>
      <c r="G11" s="256" t="n"/>
    </row>
    <row r="12" ht="291" customHeight="1" s="302">
      <c r="B12" s="327" t="n">
        <v>1</v>
      </c>
      <c r="C12" s="251" t="inlineStr">
        <is>
          <t>Наименование объекта-представителя</t>
        </is>
      </c>
      <c r="D12" s="251" t="inlineStr">
        <is>
          <t>Строительство ПП 220 кВ Нюя с заходами ВЛ 220 кВ Городская – Пеледуй с отпайкой на ПС НПС-11 в РУ 220 кВ ПП 220 кВ Нюя ориентировочной протяженностью 4 км (4*1 км), строительство двухцепной ВЛ 220 кВ Нюя – Чаянда ориентировочной протяженностью 149 км (2*74,5), строительство ПС 220 кВ Чаянда трансформаторной мощностью 126 МВА (2*63 МВА)</t>
        </is>
      </c>
      <c r="E12" s="251" t="n"/>
      <c r="F12" s="251" t="n"/>
    </row>
    <row r="13" ht="31.5" customHeight="1" s="302">
      <c r="B13" s="327" t="n">
        <v>2</v>
      </c>
      <c r="C13" s="251" t="inlineStr">
        <is>
          <t>Наименование субъекта Российской Федерации</t>
        </is>
      </c>
      <c r="D13" s="251" t="inlineStr">
        <is>
          <t>Республика Саха</t>
        </is>
      </c>
      <c r="E13" s="251" t="n"/>
      <c r="F13" s="251" t="n"/>
    </row>
    <row r="14">
      <c r="B14" s="327" t="n">
        <v>3</v>
      </c>
      <c r="C14" s="251" t="inlineStr">
        <is>
          <t>Климатический район и подрайон</t>
        </is>
      </c>
      <c r="D14" s="251" t="inlineStr">
        <is>
          <t>IД</t>
        </is>
      </c>
      <c r="E14" s="251" t="n"/>
      <c r="F14" s="251" t="n"/>
    </row>
    <row r="15">
      <c r="B15" s="327" t="n">
        <v>4</v>
      </c>
      <c r="C15" s="251" t="inlineStr">
        <is>
          <t>Мощность объекта</t>
        </is>
      </c>
      <c r="D15" s="279" t="n">
        <v>66.42100000000001</v>
      </c>
      <c r="E15" s="279" t="n"/>
      <c r="F15" s="279" t="n"/>
    </row>
    <row r="16" ht="253.5" customHeight="1" s="302">
      <c r="B16" s="32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1" t="inlineStr">
        <is>
          <t>П220н-4.2т - 10 шт;
П220н-4.2т+6 - 1 шт;
П220н-4.2т-7.5 - 1 шт;
П220н-4.1 - 129 шт;
П220н-4.1-7.5 - 7 шт;
П220н-4.1+6 - 1 шт;
У220н-2.2 - 5 шт;
У220н-2.2+5 - 9 шт;
У220н-2.2+9 - 8 шт;
У220н-2.2+14 - 14 шт;
У220н-2.2т+5 - 4 шт;
У220н-2.2т+9 - 4 шт;
У220н-2.2т+14 - 7 шт.
Общая масса 2870, 56т</t>
        </is>
      </c>
      <c r="E16" s="251" t="n"/>
      <c r="F16" s="251" t="n"/>
    </row>
    <row r="17" ht="78.75" customHeight="1" s="302">
      <c r="B17" s="32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7">
        <f>SUM(D18:D21)</f>
        <v/>
      </c>
      <c r="E17" s="277" t="n"/>
      <c r="F17" s="277" t="n"/>
      <c r="G17" s="252" t="n"/>
    </row>
    <row r="18">
      <c r="B18" s="255" t="inlineStr">
        <is>
          <t>6.1</t>
        </is>
      </c>
      <c r="C18" s="251" t="inlineStr">
        <is>
          <t>строительно-монтажные работы</t>
        </is>
      </c>
      <c r="D18" s="277" t="n">
        <v>604367.5420688</v>
      </c>
      <c r="E18" s="277" t="n"/>
      <c r="F18" s="277" t="n"/>
    </row>
    <row r="19" ht="15.75" customHeight="1" s="302">
      <c r="B19" s="255" t="inlineStr">
        <is>
          <t>6.2</t>
        </is>
      </c>
      <c r="C19" s="251" t="inlineStr">
        <is>
          <t>оборудование и инвентарь</t>
        </is>
      </c>
      <c r="D19" s="277" t="n">
        <v>0</v>
      </c>
      <c r="E19" s="277" t="n"/>
      <c r="F19" s="277" t="n"/>
    </row>
    <row r="20" ht="16.5" customHeight="1" s="302">
      <c r="B20" s="255" t="inlineStr">
        <is>
          <t>6.3</t>
        </is>
      </c>
      <c r="C20" s="251" t="inlineStr">
        <is>
          <t>пусконаладочные работы</t>
        </is>
      </c>
      <c r="D20" s="277" t="n">
        <v>0</v>
      </c>
      <c r="E20" s="277" t="n"/>
      <c r="F20" s="277" t="n"/>
    </row>
    <row r="21" ht="35.25" customHeight="1" s="302">
      <c r="B21" s="255" t="inlineStr">
        <is>
          <t>6.4</t>
        </is>
      </c>
      <c r="C21" s="254" t="inlineStr">
        <is>
          <t>прочие и лимитированные затраты</t>
        </is>
      </c>
      <c r="D21" s="277">
        <f>D18*3.3%+(D18+D18*3.3%)*2.7%*1.05</f>
        <v/>
      </c>
      <c r="E21" s="277" t="n"/>
      <c r="F21" s="277" t="n"/>
    </row>
    <row r="22">
      <c r="B22" s="327" t="n">
        <v>7</v>
      </c>
      <c r="C22" s="254" t="inlineStr">
        <is>
          <t>Сопоставимый уровень цен</t>
        </is>
      </c>
      <c r="D22" s="327" t="inlineStr">
        <is>
          <t>2 кв 2021</t>
        </is>
      </c>
      <c r="E22" s="327" t="n"/>
      <c r="F22" s="327" t="n"/>
      <c r="G22" s="252" t="n"/>
    </row>
    <row r="23" ht="123" customHeight="1" s="302">
      <c r="B23" s="327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7">
        <f>D17/11.32*8.61</f>
        <v/>
      </c>
      <c r="E23" s="277" t="n"/>
      <c r="F23" s="277" t="n"/>
    </row>
    <row r="24" ht="60.75" customHeight="1" s="302">
      <c r="B24" s="32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7">
        <f>D23/D15</f>
        <v/>
      </c>
      <c r="E24" s="277" t="n"/>
      <c r="F24" s="277" t="n"/>
      <c r="G24" s="252" t="n"/>
    </row>
    <row r="25" ht="164.25" customHeight="1" s="302">
      <c r="B25" s="327" t="n">
        <v>10</v>
      </c>
      <c r="C25" s="251" t="inlineStr">
        <is>
          <t>Примечание</t>
        </is>
      </c>
      <c r="D25" s="251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опора</t>
        </is>
      </c>
      <c r="E25" s="251" t="n"/>
      <c r="F25" s="251" t="n"/>
    </row>
    <row r="26">
      <c r="B26" s="250" t="n"/>
      <c r="C26" s="249" t="n"/>
      <c r="D26" s="249" t="n"/>
      <c r="E26" s="249" t="n"/>
      <c r="F26" s="249" t="n"/>
    </row>
    <row r="27" ht="37.5" customHeight="1" s="302">
      <c r="B27" s="248" t="n"/>
    </row>
    <row r="28">
      <c r="B28" s="305" t="inlineStr">
        <is>
          <t>Составил ______________________    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49"/>
  <sheetViews>
    <sheetView view="pageBreakPreview" zoomScale="70" zoomScaleNormal="70" workbookViewId="0">
      <selection activeCell="C20" sqref="C20"/>
    </sheetView>
  </sheetViews>
  <sheetFormatPr baseColWidth="8" defaultColWidth="9.109375" defaultRowHeight="15.6"/>
  <cols>
    <col width="5.5546875" customWidth="1" style="305" min="1" max="1"/>
    <col width="9.109375" customWidth="1" style="305" min="2" max="2"/>
    <col width="35.33203125" customWidth="1" style="305" min="3" max="3"/>
    <col width="13.88671875" customWidth="1" style="305" min="4" max="4"/>
    <col width="24.88671875" customWidth="1" style="305" min="5" max="5"/>
    <col width="15.5546875" customWidth="1" style="305" min="6" max="6"/>
    <col width="14.88671875" customWidth="1" style="305" min="7" max="7"/>
    <col width="16.6640625" customWidth="1" style="305" min="8" max="8"/>
    <col width="13" customWidth="1" style="305" min="9" max="10"/>
    <col width="18" customWidth="1" style="305" min="11" max="11"/>
    <col width="9.109375" customWidth="1" style="305" min="12" max="12"/>
  </cols>
  <sheetData>
    <row r="3">
      <c r="B3" s="320" t="inlineStr">
        <is>
          <t>Приложение № 2</t>
        </is>
      </c>
      <c r="K3" s="248" t="n"/>
    </row>
    <row r="4">
      <c r="B4" s="321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15.75" customHeight="1" s="302">
      <c r="B6" s="328" t="inlineStr">
        <is>
          <t>Наименование разрабатываемого показателя УНЦ —  Опоры ВЛ 0,4 - 750 кВ. Двухцепная, все типы опор за исключением многогранных 220 кВ.</t>
        </is>
      </c>
      <c r="K6" s="248" t="n"/>
      <c r="L6" s="256" t="n"/>
    </row>
    <row r="7">
      <c r="B7" s="322" t="inlineStr">
        <is>
          <t>Единица измерения  — 1 км</t>
        </is>
      </c>
      <c r="L7" s="256" t="n"/>
    </row>
    <row r="8">
      <c r="B8" s="322" t="n"/>
    </row>
    <row r="9" ht="15.75" customHeight="1" s="302">
      <c r="B9" s="327" t="inlineStr">
        <is>
          <t>№ п/п</t>
        </is>
      </c>
      <c r="C9" s="3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7" t="inlineStr">
        <is>
          <t>Объект-представитель 1</t>
        </is>
      </c>
      <c r="E9" s="404" t="n"/>
      <c r="F9" s="404" t="n"/>
      <c r="G9" s="404" t="n"/>
      <c r="H9" s="404" t="n"/>
      <c r="I9" s="404" t="n"/>
      <c r="J9" s="405" t="n"/>
    </row>
    <row r="10" ht="15.75" customHeight="1" s="302">
      <c r="B10" s="406" t="n"/>
      <c r="C10" s="406" t="n"/>
      <c r="D10" s="327" t="inlineStr">
        <is>
          <t>Номер сметы</t>
        </is>
      </c>
      <c r="E10" s="327" t="inlineStr">
        <is>
          <t>Наименование сметы</t>
        </is>
      </c>
      <c r="F10" s="327" t="inlineStr">
        <is>
          <t>Сметная стоимость в уровне цен 4 кв. 2020 г., тыс. руб.</t>
        </is>
      </c>
      <c r="G10" s="404" t="n"/>
      <c r="H10" s="404" t="n"/>
      <c r="I10" s="404" t="n"/>
      <c r="J10" s="405" t="n"/>
    </row>
    <row r="11" ht="31.5" customHeight="1" s="302">
      <c r="B11" s="407" t="n"/>
      <c r="C11" s="407" t="n"/>
      <c r="D11" s="407" t="n"/>
      <c r="E11" s="407" t="n"/>
      <c r="F11" s="327" t="inlineStr">
        <is>
          <t>Строительные работы</t>
        </is>
      </c>
      <c r="G11" s="327" t="inlineStr">
        <is>
          <t>Монтажные работы</t>
        </is>
      </c>
      <c r="H11" s="327" t="inlineStr">
        <is>
          <t>Оборудование</t>
        </is>
      </c>
      <c r="I11" s="327" t="inlineStr">
        <is>
          <t>Прочее</t>
        </is>
      </c>
      <c r="J11" s="327" t="inlineStr">
        <is>
          <t>Всего</t>
        </is>
      </c>
    </row>
    <row r="12" ht="229.5" customHeight="1" s="302">
      <c r="B12" s="276" t="n">
        <v>1</v>
      </c>
      <c r="C12" s="278" t="inlineStr">
        <is>
          <t>П220н-4.2т - 10 шт;
П220н-4.2т+6 - 1 шт;
П220н-4.2т-7.5 - 1 шт;
П220н-4.1 - 129 шт;
П220н-4.1-7.5 - 7 шт;
П220н-4.1+6 - 1 шт;
У220н-2.2 - 5 шт;
У220н-2.2+5 - 9 шт;
У220н-2.2+9 - 8 шт;
У220н-2.2+14 - 14 шт;
У220н-2.2т+5 - 4 шт;
У220н-2.2т+9 - 4 шт;
У220н-2.2т+14 - 7 шт.
Общая масса 2370, 56т</t>
        </is>
      </c>
      <c r="D12" s="275" t="inlineStr">
        <is>
          <t>02-01-02</t>
        </is>
      </c>
      <c r="E12" s="251" t="inlineStr">
        <is>
          <t>Конструктивно-строительные решения</t>
        </is>
      </c>
      <c r="F12" s="271">
        <f>14802540.18/1000*8.46</f>
        <v/>
      </c>
      <c r="G12" s="260" t="n"/>
      <c r="H12" s="260" t="n"/>
      <c r="I12" s="260" t="n"/>
      <c r="J12" s="273">
        <f>SUM(F12:I12)</f>
        <v/>
      </c>
    </row>
    <row r="13" ht="15.75" customHeight="1" s="302">
      <c r="B13" s="326" t="inlineStr">
        <is>
          <t>Всего по объекту:</t>
        </is>
      </c>
      <c r="C13" s="404" t="n"/>
      <c r="D13" s="404" t="n"/>
      <c r="E13" s="405" t="n"/>
      <c r="F13" s="272">
        <f>SUM(F12:F12)</f>
        <v/>
      </c>
      <c r="G13" s="259" t="n"/>
      <c r="H13" s="259" t="n"/>
      <c r="I13" s="259" t="n"/>
      <c r="J13" s="274">
        <f>SUM(F13:I13)</f>
        <v/>
      </c>
    </row>
    <row r="14" ht="28.5" customHeight="1" s="302">
      <c r="B14" s="326" t="inlineStr">
        <is>
          <t>Всего по объекту в сопоставимом уровне цен 4 кв. 2020 г:</t>
        </is>
      </c>
      <c r="C14" s="404" t="n"/>
      <c r="D14" s="404" t="n"/>
      <c r="E14" s="405" t="n"/>
      <c r="F14" s="272">
        <f>F13</f>
        <v/>
      </c>
      <c r="G14" s="259" t="n"/>
      <c r="H14" s="259" t="n"/>
      <c r="I14" s="259" t="n"/>
      <c r="J14" s="274">
        <f>SUM(F14:I14)</f>
        <v/>
      </c>
    </row>
    <row r="17">
      <c r="B17" s="333" t="inlineStr">
        <is>
          <t>*</t>
        </is>
      </c>
      <c r="C17" s="305" t="inlineStr">
        <is>
          <t xml:space="preserve"> - стоимость с учетом исключения затрат на корректровку по транспортировке  свыше 30 км.</t>
        </is>
      </c>
    </row>
    <row r="21">
      <c r="B21" s="305" t="inlineStr">
        <is>
          <t>Составил ______________________        А.П. Николаева</t>
        </is>
      </c>
    </row>
    <row r="22">
      <c r="B22" s="248" t="inlineStr">
        <is>
          <t xml:space="preserve">                         (подпись, инициалы, фамилия)</t>
        </is>
      </c>
    </row>
    <row r="24">
      <c r="B24" s="305" t="inlineStr">
        <is>
          <t>Проверил ______________________        А.В. Костянецкая</t>
        </is>
      </c>
    </row>
    <row r="25">
      <c r="B25" s="248" t="inlineStr">
        <is>
          <t xml:space="preserve">                        (подпись, инициалы, фамилия)</t>
        </is>
      </c>
    </row>
    <row r="44">
      <c r="B44" s="327" t="inlineStr">
        <is>
          <t>№ п/п</t>
        </is>
      </c>
      <c r="C44" s="3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44" s="327" t="inlineStr">
        <is>
          <t>Объект-представитель 2</t>
        </is>
      </c>
      <c r="E44" s="404" t="n"/>
      <c r="F44" s="404" t="n"/>
      <c r="G44" s="404" t="n"/>
      <c r="H44" s="404" t="n"/>
      <c r="I44" s="404" t="n"/>
      <c r="J44" s="405" t="n"/>
    </row>
    <row r="45">
      <c r="B45" s="406" t="n"/>
      <c r="C45" s="406" t="n"/>
      <c r="D45" s="327" t="inlineStr">
        <is>
          <t>Номер сметы</t>
        </is>
      </c>
      <c r="E45" s="327" t="inlineStr">
        <is>
          <t>Наименование сметы</t>
        </is>
      </c>
      <c r="F45" s="327" t="inlineStr">
        <is>
          <t>Сметная стоимость в уровне цен 4 кв. 2020 г., тыс. руб.</t>
        </is>
      </c>
      <c r="G45" s="404" t="n"/>
      <c r="H45" s="404" t="n"/>
      <c r="I45" s="404" t="n"/>
      <c r="J45" s="405" t="n"/>
    </row>
    <row r="46" ht="31.5" customHeight="1" s="302">
      <c r="B46" s="407" t="n"/>
      <c r="C46" s="407" t="n"/>
      <c r="D46" s="407" t="n"/>
      <c r="E46" s="407" t="n"/>
      <c r="F46" s="327" t="inlineStr">
        <is>
          <t>Строительные работы</t>
        </is>
      </c>
      <c r="G46" s="327" t="inlineStr">
        <is>
          <t>Монтажные работы</t>
        </is>
      </c>
      <c r="H46" s="327" t="inlineStr">
        <is>
          <t>Оборудование</t>
        </is>
      </c>
      <c r="I46" s="327" t="inlineStr">
        <is>
          <t>Прочее</t>
        </is>
      </c>
      <c r="J46" s="327" t="inlineStr">
        <is>
          <t>Всего</t>
        </is>
      </c>
    </row>
    <row r="47" ht="244.5" customHeight="1" s="302">
      <c r="B47" s="276" t="n">
        <v>1</v>
      </c>
      <c r="C47" s="278" t="inlineStr">
        <is>
          <t>П220н-4.2т - 10 шт;
П220н-4.2т+6 - 1 шт;
П220н-4.2т-7.5 - 1 шт;
П220н-4.1 - 129 шт;
П220н-4.1-7.5 - 7 шт;
П220н-4.1+6 - 1 шт;
У220н-2.2 - 5 шт;
У220н-2.2+5 - 9 шт;
У220н-2.2+9 - 8 шт;
У220н-2.2+14 - 14 шт;
У220н-2.2т+5 - 4 шт;
У220н-2.2т+9 - 4 шт;
У220н-2.2т+14 - 7 шт.
Общая масса 2370, 56т</t>
        </is>
      </c>
      <c r="D47" s="275" t="inlineStr">
        <is>
          <t>02-01-02</t>
        </is>
      </c>
      <c r="E47" s="251" t="inlineStr">
        <is>
          <t>Конструктивно-строительные решения</t>
        </is>
      </c>
      <c r="F47" s="271">
        <f>14802540.18/1000*8.46</f>
        <v/>
      </c>
      <c r="G47" s="260" t="n"/>
      <c r="H47" s="260" t="n"/>
      <c r="I47" s="260" t="n"/>
      <c r="J47" s="273">
        <f>SUM(F47:I47)</f>
        <v/>
      </c>
    </row>
    <row r="48">
      <c r="B48" s="326" t="inlineStr">
        <is>
          <t>Всего по объекту:</t>
        </is>
      </c>
      <c r="C48" s="404" t="n"/>
      <c r="D48" s="404" t="n"/>
      <c r="E48" s="405" t="n"/>
      <c r="F48" s="272">
        <f>SUM(F47:F47)</f>
        <v/>
      </c>
      <c r="G48" s="259" t="n"/>
      <c r="H48" s="259" t="n"/>
      <c r="I48" s="259" t="n"/>
      <c r="J48" s="274">
        <f>SUM(F48:I48)</f>
        <v/>
      </c>
    </row>
    <row r="49" ht="28.5" customHeight="1" s="302">
      <c r="B49" s="326" t="inlineStr">
        <is>
          <t>Всего по объекту в сопоставимом уровне цен 4 кв. 2020 г:</t>
        </is>
      </c>
      <c r="C49" s="404" t="n"/>
      <c r="D49" s="404" t="n"/>
      <c r="E49" s="405" t="n"/>
      <c r="F49" s="272">
        <f>F48</f>
        <v/>
      </c>
      <c r="G49" s="259" t="n"/>
      <c r="H49" s="259" t="n"/>
      <c r="I49" s="259" t="n"/>
      <c r="J49" s="274">
        <f>SUM(F49:I49)</f>
        <v/>
      </c>
    </row>
  </sheetData>
  <mergeCells count="20">
    <mergeCell ref="B49:E49"/>
    <mergeCell ref="D9:J9"/>
    <mergeCell ref="F10:J10"/>
    <mergeCell ref="E10:E11"/>
    <mergeCell ref="D45:D46"/>
    <mergeCell ref="B4:K4"/>
    <mergeCell ref="D44:J44"/>
    <mergeCell ref="B7:K7"/>
    <mergeCell ref="F45:J45"/>
    <mergeCell ref="B6:J6"/>
    <mergeCell ref="B48:E48"/>
    <mergeCell ref="E45:E46"/>
    <mergeCell ref="B14:E14"/>
    <mergeCell ref="C44:C46"/>
    <mergeCell ref="B3:J3"/>
    <mergeCell ref="D10:D11"/>
    <mergeCell ref="B13:E13"/>
    <mergeCell ref="B44:B46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42"/>
  <sheetViews>
    <sheetView view="pageBreakPreview" topLeftCell="A28" zoomScale="85" workbookViewId="0">
      <selection activeCell="C37" sqref="C37"/>
    </sheetView>
  </sheetViews>
  <sheetFormatPr baseColWidth="8" defaultColWidth="9.109375" defaultRowHeight="15.6"/>
  <cols>
    <col width="9.109375" customWidth="1" style="305" min="1" max="1"/>
    <col width="12.5546875" customWidth="1" style="305" min="2" max="2"/>
    <col width="22.44140625" customWidth="1" style="305" min="3" max="3"/>
    <col width="49.6640625" customWidth="1" style="305" min="4" max="4"/>
    <col width="10.109375" customWidth="1" style="305" min="5" max="5"/>
    <col width="20.6640625" customWidth="1" style="305" min="6" max="6"/>
    <col width="16.109375" customWidth="1" style="305" min="7" max="7"/>
    <col width="16.6640625" customWidth="1" style="305" min="8" max="8"/>
    <col width="9.109375" customWidth="1" style="305" min="9" max="9"/>
  </cols>
  <sheetData>
    <row r="2">
      <c r="A2" s="320" t="inlineStr">
        <is>
          <t xml:space="preserve">Приложение № 3 </t>
        </is>
      </c>
    </row>
    <row r="3">
      <c r="A3" s="321" t="inlineStr">
        <is>
          <t>Объектная ресурсная ведомость</t>
        </is>
      </c>
    </row>
    <row r="4">
      <c r="A4" s="322" t="n"/>
    </row>
    <row r="5">
      <c r="A5" s="328" t="inlineStr">
        <is>
          <t>Наименование разрабатываемого показателя УНЦ -  Опоры ВЛ 0,4 - 750 кВ. Двухцепная, все типы опор за исключением многогранных 220 кВ.</t>
        </is>
      </c>
    </row>
    <row r="6">
      <c r="A6" s="328" t="n"/>
      <c r="B6" s="328" t="n"/>
      <c r="C6" s="328" t="n"/>
      <c r="D6" s="328" t="n"/>
      <c r="E6" s="328" t="n"/>
      <c r="F6" s="328" t="n"/>
      <c r="G6" s="328" t="n"/>
      <c r="H6" s="328" t="n"/>
    </row>
    <row r="7" ht="38.25" customHeight="1" s="302">
      <c r="A7" s="327" t="inlineStr">
        <is>
          <t>п/п</t>
        </is>
      </c>
      <c r="B7" s="327" t="inlineStr">
        <is>
          <t>№ЛСР</t>
        </is>
      </c>
      <c r="C7" s="327" t="inlineStr">
        <is>
          <t>Код ресурса</t>
        </is>
      </c>
      <c r="D7" s="327" t="inlineStr">
        <is>
          <t>Наименование ресурса</t>
        </is>
      </c>
      <c r="E7" s="327" t="inlineStr">
        <is>
          <t>Ед. изм.</t>
        </is>
      </c>
      <c r="F7" s="327" t="inlineStr">
        <is>
          <t>Кол-во единиц по данным объекта-представителя</t>
        </is>
      </c>
      <c r="G7" s="327" t="inlineStr">
        <is>
          <t>Сметная стоимость в ценах на 01.01.2000 (руб.)</t>
        </is>
      </c>
      <c r="H7" s="405" t="n"/>
    </row>
    <row r="8" ht="40.5" customHeight="1" s="302">
      <c r="A8" s="407" t="n"/>
      <c r="B8" s="407" t="n"/>
      <c r="C8" s="407" t="n"/>
      <c r="D8" s="407" t="n"/>
      <c r="E8" s="407" t="n"/>
      <c r="F8" s="407" t="n"/>
      <c r="G8" s="327" t="inlineStr">
        <is>
          <t>на ед.изм.</t>
        </is>
      </c>
      <c r="H8" s="327" t="inlineStr">
        <is>
          <t>общая</t>
        </is>
      </c>
    </row>
    <row r="9">
      <c r="A9" s="270" t="n">
        <v>1</v>
      </c>
      <c r="B9" s="270" t="n"/>
      <c r="C9" s="270" t="n">
        <v>2</v>
      </c>
      <c r="D9" s="270" t="inlineStr">
        <is>
          <t>З</t>
        </is>
      </c>
      <c r="E9" s="270" t="n">
        <v>4</v>
      </c>
      <c r="F9" s="270" t="n">
        <v>5</v>
      </c>
      <c r="G9" s="270" t="n">
        <v>6</v>
      </c>
      <c r="H9" s="270" t="n">
        <v>7</v>
      </c>
    </row>
    <row r="10" customFormat="1" s="303">
      <c r="A10" s="329" t="inlineStr">
        <is>
          <t>Затраты труда рабочих</t>
        </is>
      </c>
      <c r="B10" s="404" t="n"/>
      <c r="C10" s="404" t="n"/>
      <c r="D10" s="404" t="n"/>
      <c r="E10" s="405" t="n"/>
      <c r="F10" s="266">
        <f>SUM(F11:F11)</f>
        <v/>
      </c>
      <c r="G10" s="266" t="n"/>
      <c r="H10" s="266">
        <f>SUM(H11:H11)</f>
        <v/>
      </c>
    </row>
    <row r="11">
      <c r="A11" s="330" t="n">
        <v>1</v>
      </c>
      <c r="B11" s="269" t="inlineStr">
        <is>
          <t xml:space="preserve"> 02-06-02</t>
        </is>
      </c>
      <c r="C11" s="268" t="inlineStr">
        <is>
          <t>1-4-1</t>
        </is>
      </c>
      <c r="D11" s="331" t="inlineStr">
        <is>
          <t>Затраты труда рабочих (ср 4,1)</t>
        </is>
      </c>
      <c r="E11" s="330" t="inlineStr">
        <is>
          <t>чел.-ч</t>
        </is>
      </c>
      <c r="F11" s="330" t="n">
        <v>65098.839139344</v>
      </c>
      <c r="G11" s="262" t="n">
        <v>9.76</v>
      </c>
      <c r="H11" s="262">
        <f>ROUND(F11*G11,2)</f>
        <v/>
      </c>
      <c r="L11" s="280" t="n"/>
    </row>
    <row r="12">
      <c r="A12" s="329" t="inlineStr">
        <is>
          <t>Затраты труда машинистов</t>
        </is>
      </c>
      <c r="B12" s="404" t="n"/>
      <c r="C12" s="404" t="n"/>
      <c r="D12" s="404" t="n"/>
      <c r="E12" s="405" t="n"/>
      <c r="F12" s="329">
        <f>F13</f>
        <v/>
      </c>
      <c r="G12" s="266" t="n"/>
      <c r="H12" s="266">
        <f>H13</f>
        <v/>
      </c>
    </row>
    <row r="13">
      <c r="A13" s="330" t="n">
        <v>2</v>
      </c>
      <c r="B13" s="330" t="inlineStr">
        <is>
          <t xml:space="preserve"> 02-06-02</t>
        </is>
      </c>
      <c r="C13" s="331" t="n">
        <v>2</v>
      </c>
      <c r="D13" s="331" t="inlineStr">
        <is>
          <t>Затраты труда машинистов</t>
        </is>
      </c>
      <c r="E13" s="330" t="inlineStr">
        <is>
          <t>чел.-ч</t>
        </is>
      </c>
      <c r="F13" s="330" t="n">
        <v>23481.1500928</v>
      </c>
      <c r="G13" s="262" t="n">
        <v>0</v>
      </c>
      <c r="H13" s="262" t="n">
        <v>214155.17</v>
      </c>
    </row>
    <row r="14" customFormat="1" s="303">
      <c r="A14" s="329" t="inlineStr">
        <is>
          <t>Машины и механизмы</t>
        </is>
      </c>
      <c r="B14" s="404" t="n"/>
      <c r="C14" s="404" t="n"/>
      <c r="D14" s="404" t="n"/>
      <c r="E14" s="405" t="n"/>
      <c r="F14" s="329" t="n"/>
      <c r="G14" s="266" t="n"/>
      <c r="H14" s="266">
        <f>SUM(H15:H27)</f>
        <v/>
      </c>
    </row>
    <row r="15" ht="31.5" customHeight="1" s="302">
      <c r="A15" s="330" t="n">
        <v>3</v>
      </c>
      <c r="B15" s="330" t="inlineStr">
        <is>
          <t xml:space="preserve"> 02-06-02</t>
        </is>
      </c>
      <c r="C15" s="331" t="inlineStr">
        <is>
          <t>91.15.02-029</t>
        </is>
      </c>
      <c r="D15" s="331" t="inlineStr">
        <is>
          <t>Тракторы на гусеничном ходу с лебедкой 132 кВт (180 л.с.)</t>
        </is>
      </c>
      <c r="E15" s="330" t="inlineStr">
        <is>
          <t>маш.час</t>
        </is>
      </c>
      <c r="F15" s="330" t="n">
        <v>8981.2612635</v>
      </c>
      <c r="G15" s="262" t="n">
        <v>147.43</v>
      </c>
      <c r="H15" s="262">
        <f>ROUND(F15*G15,2)</f>
        <v/>
      </c>
      <c r="J15" s="280" t="n"/>
      <c r="K15" s="293" t="n"/>
    </row>
    <row r="16" ht="31.5" customFormat="1" customHeight="1" s="303">
      <c r="A16" s="330" t="n">
        <v>4</v>
      </c>
      <c r="B16" s="330" t="inlineStr">
        <is>
          <t xml:space="preserve"> 02-06-02</t>
        </is>
      </c>
      <c r="C16" s="331" t="inlineStr">
        <is>
          <t>91.13.03-111</t>
        </is>
      </c>
      <c r="D16" s="331" t="inlineStr">
        <is>
          <t>Спецавтомобили-вездеходы, грузоподъемность до 8 т</t>
        </is>
      </c>
      <c r="E16" s="330" t="inlineStr">
        <is>
          <t>маш.час</t>
        </is>
      </c>
      <c r="F16" s="330" t="n">
        <v>4115.110525</v>
      </c>
      <c r="G16" s="262" t="n">
        <v>189.95</v>
      </c>
      <c r="H16" s="262">
        <f>ROUND(F16*G16,2)</f>
        <v/>
      </c>
      <c r="K16" s="293" t="n"/>
    </row>
    <row r="17" ht="63" customFormat="1" customHeight="1" s="303">
      <c r="A17" s="330" t="n">
        <v>5</v>
      </c>
      <c r="B17" s="330" t="inlineStr">
        <is>
          <t xml:space="preserve"> 02-06-02</t>
        </is>
      </c>
      <c r="C17" s="331" t="inlineStr">
        <is>
          <t>91.05.14-516</t>
        </is>
      </c>
      <c r="D17" s="33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7" s="330" t="inlineStr">
        <is>
          <t>маш.час</t>
        </is>
      </c>
      <c r="F17" s="330" t="n">
        <v>6741.90001</v>
      </c>
      <c r="G17" s="262" t="n">
        <v>77.64</v>
      </c>
      <c r="H17" s="262">
        <f>ROUND(F17*G17,2)</f>
        <v/>
      </c>
      <c r="K17" s="293" t="n"/>
    </row>
    <row r="18" ht="47.25" customFormat="1" customHeight="1" s="303">
      <c r="A18" s="330" t="n">
        <v>6</v>
      </c>
      <c r="B18" s="330" t="inlineStr">
        <is>
          <t xml:space="preserve"> 02-06-02</t>
        </is>
      </c>
      <c r="C18" s="331" t="inlineStr">
        <is>
          <t>91.18.01-007</t>
        </is>
      </c>
      <c r="D18" s="33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18" s="330" t="inlineStr">
        <is>
          <t>маш.час</t>
        </is>
      </c>
      <c r="F18" s="330" t="n">
        <v>2145.862995</v>
      </c>
      <c r="G18" s="262" t="n">
        <v>90</v>
      </c>
      <c r="H18" s="262">
        <f>ROUND(F18*G18,2)</f>
        <v/>
      </c>
      <c r="K18" s="293" t="n"/>
    </row>
    <row r="19" ht="31.5" customFormat="1" customHeight="1" s="303">
      <c r="A19" s="330" t="n">
        <v>7</v>
      </c>
      <c r="B19" s="330" t="inlineStr">
        <is>
          <t xml:space="preserve"> 02-06-02</t>
        </is>
      </c>
      <c r="C19" s="331" t="inlineStr">
        <is>
          <t>91.05.05-015</t>
        </is>
      </c>
      <c r="D19" s="331" t="inlineStr">
        <is>
          <t>Краны на автомобильном ходу, грузоподъемность 16 т</t>
        </is>
      </c>
      <c r="E19" s="330" t="inlineStr">
        <is>
          <t>маш.час</t>
        </is>
      </c>
      <c r="F19" s="330" t="n">
        <v>1298.9926405</v>
      </c>
      <c r="G19" s="262" t="n">
        <v>115.4</v>
      </c>
      <c r="H19" s="262">
        <f>ROUND(F19*G19,2)</f>
        <v/>
      </c>
      <c r="K19" s="293" t="n"/>
    </row>
    <row r="20" customFormat="1" s="303">
      <c r="A20" s="330" t="n">
        <v>8</v>
      </c>
      <c r="B20" s="330" t="inlineStr">
        <is>
          <t xml:space="preserve"> 02-06-02</t>
        </is>
      </c>
      <c r="C20" s="331" t="inlineStr">
        <is>
          <t>91.06.06-014</t>
        </is>
      </c>
      <c r="D20" s="331" t="inlineStr">
        <is>
          <t>Автогидроподъемники, высота подъема 28 м</t>
        </is>
      </c>
      <c r="E20" s="330" t="inlineStr">
        <is>
          <t>маш.час</t>
        </is>
      </c>
      <c r="F20" s="330" t="n">
        <v>98.995328</v>
      </c>
      <c r="G20" s="262" t="n">
        <v>243.49</v>
      </c>
      <c r="H20" s="262">
        <f>ROUND(F20*G20,2)</f>
        <v/>
      </c>
      <c r="K20" s="293" t="n"/>
    </row>
    <row r="21" ht="31.5" customFormat="1" customHeight="1" s="303">
      <c r="A21" s="330" t="n">
        <v>9</v>
      </c>
      <c r="B21" s="330" t="inlineStr">
        <is>
          <t xml:space="preserve"> 02-06-02</t>
        </is>
      </c>
      <c r="C21" s="331" t="inlineStr">
        <is>
          <t>91.06.09-101</t>
        </is>
      </c>
      <c r="D21" s="331" t="inlineStr">
        <is>
          <t>Стрелы монтажные А-образные для подъема опор ВЛ, высота до 22 м</t>
        </is>
      </c>
      <c r="E21" s="330" t="inlineStr">
        <is>
          <t>маш.час</t>
        </is>
      </c>
      <c r="F21" s="330" t="n">
        <v>1190.418076</v>
      </c>
      <c r="G21" s="262" t="n">
        <v>6.25</v>
      </c>
      <c r="H21" s="262">
        <f>ROUND(F21*G21,2)</f>
        <v/>
      </c>
      <c r="K21" s="293" t="n"/>
    </row>
    <row r="22" ht="31.5" customFormat="1" customHeight="1" s="303">
      <c r="A22" s="330" t="n">
        <v>10</v>
      </c>
      <c r="B22" s="330" t="inlineStr">
        <is>
          <t xml:space="preserve"> 02-06-02</t>
        </is>
      </c>
      <c r="C22" s="331" t="inlineStr">
        <is>
          <t>91.06.01-002</t>
        </is>
      </c>
      <c r="D22" s="331" t="inlineStr">
        <is>
          <t>Домкраты гидравлические, грузоподъемность 6,3-25 т</t>
        </is>
      </c>
      <c r="E22" s="330" t="inlineStr">
        <is>
          <t>маш.час</t>
        </is>
      </c>
      <c r="F22" s="330" t="n">
        <v>6701.043745</v>
      </c>
      <c r="G22" s="262" t="n">
        <v>0.48</v>
      </c>
      <c r="H22" s="262">
        <f>ROUND(F22*G22,2)</f>
        <v/>
      </c>
      <c r="K22" s="293" t="n"/>
    </row>
    <row r="23" customFormat="1" s="303">
      <c r="A23" s="330" t="n">
        <v>11</v>
      </c>
      <c r="B23" s="330" t="inlineStr">
        <is>
          <t xml:space="preserve"> 02-06-02</t>
        </is>
      </c>
      <c r="C23" s="331" t="inlineStr">
        <is>
          <t>91.16.01-001</t>
        </is>
      </c>
      <c r="D23" s="331" t="inlineStr">
        <is>
          <t>Электростанции передвижные, мощность 2 кВт</t>
        </is>
      </c>
      <c r="E23" s="330" t="inlineStr">
        <is>
          <t>маш.час</t>
        </is>
      </c>
      <c r="F23" s="330" t="n">
        <v>98.995328</v>
      </c>
      <c r="G23" s="262" t="n">
        <v>22.29</v>
      </c>
      <c r="H23" s="262">
        <f>ROUND(F23*G23,2)</f>
        <v/>
      </c>
      <c r="K23" s="293" t="n"/>
    </row>
    <row r="24" ht="31.5" customHeight="1" s="302">
      <c r="A24" s="330" t="n">
        <v>12</v>
      </c>
      <c r="B24" s="330" t="inlineStr">
        <is>
          <t xml:space="preserve"> 02-06-02</t>
        </is>
      </c>
      <c r="C24" s="331" t="inlineStr">
        <is>
          <t>91.17.04-171</t>
        </is>
      </c>
      <c r="D24" s="331" t="inlineStr">
        <is>
          <t>Преобразователи сварочные номинальным сварочным током 315-500 А</t>
        </is>
      </c>
      <c r="E24" s="330" t="inlineStr">
        <is>
          <t>маш.час</t>
        </is>
      </c>
      <c r="F24" s="330" t="n">
        <v>53.87138</v>
      </c>
      <c r="G24" s="262" t="n">
        <v>12.31</v>
      </c>
      <c r="H24" s="262">
        <f>ROUND(F24*G24,2)</f>
        <v/>
      </c>
      <c r="K24" s="293" t="n"/>
    </row>
    <row r="25" ht="47.25" customHeight="1" s="302">
      <c r="A25" s="330" t="n">
        <v>13</v>
      </c>
      <c r="B25" s="330" t="inlineStr">
        <is>
          <t xml:space="preserve"> 02-06-02</t>
        </is>
      </c>
      <c r="C25" s="331" t="inlineStr">
        <is>
          <t>91.21.01-014</t>
        </is>
      </c>
      <c r="D25" s="33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25" s="330" t="inlineStr">
        <is>
          <t>маш.час</t>
        </is>
      </c>
      <c r="F25" s="330" t="n">
        <v>98.995328</v>
      </c>
      <c r="G25" s="262" t="n">
        <v>5.59</v>
      </c>
      <c r="H25" s="262">
        <f>ROUND(F25*G25,2)</f>
        <v/>
      </c>
    </row>
    <row r="26" ht="47.25" customHeight="1" s="302">
      <c r="A26" s="330" t="n">
        <v>14</v>
      </c>
      <c r="B26" s="330" t="inlineStr">
        <is>
          <t xml:space="preserve"> 02-06-02</t>
        </is>
      </c>
      <c r="C26" s="331" t="inlineStr">
        <is>
          <t>91.18.01-011</t>
        </is>
      </c>
      <c r="D26" s="331" t="inlineStr">
        <is>
          <t>Компрессоры передвижные с электродвигателем давление 600 кПа (6 ат), производительность 0,5 м3/мин</t>
        </is>
      </c>
      <c r="E26" s="330" t="inlineStr">
        <is>
          <t>маш.час</t>
        </is>
      </c>
      <c r="F26" s="330" t="n">
        <v>98.995328</v>
      </c>
      <c r="G26" s="262" t="n">
        <v>3.7</v>
      </c>
      <c r="H26" s="262">
        <f>ROUND(F26*G26,2)</f>
        <v/>
      </c>
    </row>
    <row r="27">
      <c r="A27" s="330" t="n">
        <v>15</v>
      </c>
      <c r="B27" s="330" t="inlineStr">
        <is>
          <t xml:space="preserve"> 02-06-02</t>
        </is>
      </c>
      <c r="C27" s="331" t="inlineStr">
        <is>
          <t>91.14.02-001</t>
        </is>
      </c>
      <c r="D27" s="331" t="inlineStr">
        <is>
          <t>Автомобили бортовые, грузоподъемность до 5 т</t>
        </is>
      </c>
      <c r="E27" s="330" t="inlineStr">
        <is>
          <t>маш.час</t>
        </is>
      </c>
      <c r="F27" s="330" t="n">
        <v>0.0320028</v>
      </c>
      <c r="G27" s="262" t="n">
        <v>65.93000000000001</v>
      </c>
      <c r="H27" s="262">
        <f>ROUND(F27*G27,2)</f>
        <v/>
      </c>
    </row>
    <row r="28">
      <c r="A28" s="329" t="inlineStr">
        <is>
          <t>Материалы</t>
        </is>
      </c>
      <c r="B28" s="404" t="n"/>
      <c r="C28" s="404" t="n"/>
      <c r="D28" s="404" t="n"/>
      <c r="E28" s="405" t="n"/>
      <c r="F28" s="329" t="n"/>
      <c r="G28" s="266" t="n"/>
      <c r="H28" s="266">
        <f>SUM(H29:H35)</f>
        <v/>
      </c>
    </row>
    <row r="29" ht="47.25" customHeight="1" s="302">
      <c r="A29" s="330" t="n">
        <v>16</v>
      </c>
      <c r="B29" s="330" t="inlineStr">
        <is>
          <t xml:space="preserve"> 02-06-02</t>
        </is>
      </c>
      <c r="C29" s="331" t="inlineStr">
        <is>
          <t>07.4.03.08-0002</t>
        </is>
      </c>
      <c r="D29" s="331" t="inlineStr">
        <is>
          <t>Опоры решетчатые линий электропередачи оцинкованные, 220 кВ, промежуточные, одностоечные, свободностоящие</t>
        </is>
      </c>
      <c r="E29" s="330" t="inlineStr">
        <is>
          <t>т</t>
        </is>
      </c>
      <c r="F29" s="330" t="n">
        <v>1521.655</v>
      </c>
      <c r="G29" s="262" t="n">
        <v>22415.73</v>
      </c>
      <c r="H29" s="262">
        <f>ROUND(F29*G29,2)</f>
        <v/>
      </c>
      <c r="J29" s="293" t="n"/>
    </row>
    <row r="30" ht="47.25" customHeight="1" s="302">
      <c r="A30" s="330" t="n">
        <v>17</v>
      </c>
      <c r="B30" s="330" t="inlineStr">
        <is>
          <t xml:space="preserve"> 02-06-02</t>
        </is>
      </c>
      <c r="C30" s="331" t="inlineStr">
        <is>
          <t>07.4.03.08-0001</t>
        </is>
      </c>
      <c r="D30" s="331" t="inlineStr">
        <is>
          <t>Опоры решетчатые линий электропередачи оцинкованные, 220 кВ, анкерно-угловые, одностоечные, свободностоящие</t>
        </is>
      </c>
      <c r="E30" s="330" t="inlineStr">
        <is>
          <t>т</t>
        </is>
      </c>
      <c r="F30" s="330" t="n">
        <v>1048.912</v>
      </c>
      <c r="G30" s="262" t="n">
        <v>23080.13</v>
      </c>
      <c r="H30" s="262">
        <f>ROUND(F30*G30,2)</f>
        <v/>
      </c>
      <c r="J30" s="293" t="n"/>
    </row>
    <row r="31" ht="31.5" customHeight="1" s="302">
      <c r="A31" s="330" t="n">
        <v>18</v>
      </c>
      <c r="B31" s="330" t="inlineStr">
        <is>
          <t xml:space="preserve"> 02-06-02</t>
        </is>
      </c>
      <c r="C31" s="331" t="inlineStr">
        <is>
          <t>Прайс из СД ОП</t>
        </is>
      </c>
      <c r="D31" s="331" t="inlineStr">
        <is>
          <t>Информационные знаки размером 600*900мм (номер опоры) весом 8.7кг</t>
        </is>
      </c>
      <c r="E31" s="330" t="inlineStr">
        <is>
          <t>шт</t>
        </is>
      </c>
      <c r="F31" s="330" t="n">
        <v>400</v>
      </c>
      <c r="G31" s="262" t="n">
        <v>1703</v>
      </c>
      <c r="H31" s="262">
        <f>ROUND(F31*G31,2)</f>
        <v/>
      </c>
      <c r="J31" s="293" t="n"/>
    </row>
    <row r="32" ht="47.25" customHeight="1" s="302">
      <c r="A32" s="330" t="n">
        <v>19</v>
      </c>
      <c r="B32" s="330" t="inlineStr">
        <is>
          <t xml:space="preserve"> 02-06-02</t>
        </is>
      </c>
      <c r="C32" s="331" t="inlineStr">
        <is>
          <t>14.4.02.04-0175</t>
        </is>
      </c>
      <c r="D32" s="331" t="inlineStr">
        <is>
          <t>Краска масляная готовая к применению для наружных и внутренних работ МА-15, сурик железный</t>
        </is>
      </c>
      <c r="E32" s="330" t="inlineStr">
        <is>
          <t>т</t>
        </is>
      </c>
      <c r="F32" s="330" t="n">
        <v>0.147213</v>
      </c>
      <c r="G32" s="262" t="n">
        <v>15584.15</v>
      </c>
      <c r="H32" s="262">
        <f>ROUND(F32*G32,2)</f>
        <v/>
      </c>
      <c r="J32" s="293" t="n"/>
    </row>
    <row r="33">
      <c r="A33" s="330" t="n">
        <v>20</v>
      </c>
      <c r="B33" s="330" t="inlineStr">
        <is>
          <t xml:space="preserve"> 02-06-02</t>
        </is>
      </c>
      <c r="C33" s="331" t="inlineStr">
        <is>
          <t>01.7.11.07-0036</t>
        </is>
      </c>
      <c r="D33" s="331" t="inlineStr">
        <is>
          <t>Электроды сварочные Э46, диаметр 4 мм</t>
        </is>
      </c>
      <c r="E33" s="330" t="inlineStr">
        <is>
          <t>кг</t>
        </is>
      </c>
      <c r="F33" s="330" t="n">
        <v>0.0778737</v>
      </c>
      <c r="G33" s="262" t="n">
        <v>16950.4</v>
      </c>
      <c r="H33" s="262">
        <f>ROUND(F33*G33,2)</f>
        <v/>
      </c>
      <c r="J33" s="293" t="n"/>
    </row>
    <row r="34" ht="47.25" customHeight="1" s="302">
      <c r="A34" s="330" t="n">
        <v>21</v>
      </c>
      <c r="B34" s="330" t="inlineStr">
        <is>
          <t xml:space="preserve"> 02-06-02</t>
        </is>
      </c>
      <c r="C34" s="331" t="inlineStr">
        <is>
          <t>14.5.05.01-0012</t>
        </is>
      </c>
      <c r="D34" s="331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34" s="330" t="inlineStr">
        <is>
          <t>т</t>
        </is>
      </c>
      <c r="F34" s="330" t="n">
        <v>88.54107999999999</v>
      </c>
      <c r="G34" s="262" t="n">
        <v>10.75</v>
      </c>
      <c r="H34" s="262">
        <f>ROUND(F34*G34,2)</f>
        <v/>
      </c>
      <c r="J34" s="293" t="n"/>
    </row>
    <row r="35">
      <c r="A35" s="330" t="n">
        <v>22</v>
      </c>
      <c r="B35" s="330" t="inlineStr">
        <is>
          <t xml:space="preserve"> 02-06-02</t>
        </is>
      </c>
      <c r="C35" s="331" t="inlineStr">
        <is>
          <t>08.1.02.11-0001</t>
        </is>
      </c>
      <c r="D35" s="331" t="inlineStr">
        <is>
          <t>Поковки из квадратных заготовок, масса 1,8 кг</t>
        </is>
      </c>
      <c r="E35" s="330" t="inlineStr">
        <is>
          <t>т</t>
        </is>
      </c>
      <c r="F35" s="330" t="n">
        <v>0.05664</v>
      </c>
      <c r="G35" s="262" t="n">
        <v>5989.05</v>
      </c>
      <c r="H35" s="262">
        <f>ROUND(F35*G35,2)</f>
        <v/>
      </c>
      <c r="J35" s="293" t="n"/>
    </row>
    <row r="38">
      <c r="B38" s="305" t="inlineStr">
        <is>
          <t>Составил ______________________        А.П. Николаева</t>
        </is>
      </c>
    </row>
    <row r="39">
      <c r="B39" s="248" t="inlineStr">
        <is>
          <t xml:space="preserve">                         (подпись, инициалы, фамилия)</t>
        </is>
      </c>
    </row>
    <row r="41">
      <c r="B41" s="305" t="inlineStr">
        <is>
          <t>Проверил ______________________        А.В. Костянецкая</t>
        </is>
      </c>
    </row>
    <row r="42">
      <c r="B42" s="248" t="inlineStr">
        <is>
          <t xml:space="preserve">                        (подпись, инициалы, фамилия)</t>
        </is>
      </c>
    </row>
  </sheetData>
  <mergeCells count="14">
    <mergeCell ref="A3:H3"/>
    <mergeCell ref="A12:E12"/>
    <mergeCell ref="G7:H7"/>
    <mergeCell ref="A14:E14"/>
    <mergeCell ref="A10:E10"/>
    <mergeCell ref="A2:H2"/>
    <mergeCell ref="A28:E28"/>
    <mergeCell ref="C7:C8"/>
    <mergeCell ref="A7:A8"/>
    <mergeCell ref="B7:B8"/>
    <mergeCell ref="D7:D8"/>
    <mergeCell ref="E7:E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RowHeight="14.4"/>
  <cols>
    <col width="4.109375" customWidth="1" style="302" min="1" max="1"/>
    <col width="36.33203125" customWidth="1" style="302" min="2" max="2"/>
    <col width="18.88671875" customWidth="1" style="302" min="3" max="3"/>
    <col width="18.33203125" customWidth="1" style="302" min="4" max="4"/>
    <col width="18.88671875" customWidth="1" style="302" min="5" max="5"/>
    <col width="11.44140625" customWidth="1" style="302" min="6" max="6"/>
    <col width="14.44140625" customWidth="1" style="302" min="7" max="7"/>
    <col width="9.109375" customWidth="1" style="302" min="8" max="11"/>
    <col width="13.5546875" customWidth="1" style="302" min="12" max="12"/>
    <col width="9.109375" customWidth="1" style="302" min="13" max="13"/>
  </cols>
  <sheetData>
    <row r="1">
      <c r="B1" s="309" t="n"/>
      <c r="C1" s="309" t="n"/>
      <c r="D1" s="309" t="n"/>
      <c r="E1" s="309" t="n"/>
    </row>
    <row r="2">
      <c r="B2" s="309" t="n"/>
      <c r="C2" s="309" t="n"/>
      <c r="D2" s="309" t="n"/>
      <c r="E2" s="353" t="inlineStr">
        <is>
          <t>Приложение № 4</t>
        </is>
      </c>
    </row>
    <row r="3">
      <c r="B3" s="309" t="n"/>
      <c r="C3" s="309" t="n"/>
      <c r="D3" s="309" t="n"/>
      <c r="E3" s="309" t="n"/>
    </row>
    <row r="4">
      <c r="B4" s="309" t="n"/>
      <c r="C4" s="309" t="n"/>
      <c r="D4" s="309" t="n"/>
      <c r="E4" s="309" t="n"/>
    </row>
    <row r="5">
      <c r="B5" s="313" t="inlineStr">
        <is>
          <t>Ресурсная модель</t>
        </is>
      </c>
    </row>
    <row r="6">
      <c r="B6" s="291" t="n"/>
      <c r="C6" s="309" t="n"/>
      <c r="D6" s="309" t="n"/>
      <c r="E6" s="309" t="n"/>
    </row>
    <row r="7" ht="25.5" customHeight="1" s="302">
      <c r="B7" s="325" t="inlineStr">
        <is>
          <t>Наименование разрабатываемого показателя УНЦ — Опоры ВЛ 0,4 - 750 кВ. Двухцепная, все типы опор за исключением многогранных 220 кВ.</t>
        </is>
      </c>
    </row>
    <row r="8">
      <c r="B8" s="332" t="inlineStr">
        <is>
          <t>Единица измерения  — 1 км</t>
        </is>
      </c>
    </row>
    <row r="9">
      <c r="B9" s="291" t="n"/>
      <c r="C9" s="309" t="n"/>
      <c r="D9" s="309" t="n"/>
      <c r="E9" s="309" t="n"/>
    </row>
    <row r="10" ht="51" customHeight="1" s="302">
      <c r="B10" s="336" t="inlineStr">
        <is>
          <t>Наименование</t>
        </is>
      </c>
      <c r="C10" s="336" t="inlineStr">
        <is>
          <t>Сметная стоимость в ценах на 01.01.2023
 (руб.)</t>
        </is>
      </c>
      <c r="D10" s="336" t="inlineStr">
        <is>
          <t>Удельный вес, 
(в СМР)</t>
        </is>
      </c>
      <c r="E10" s="336" t="inlineStr">
        <is>
          <t>Удельный вес, % 
(от всего по РМ)</t>
        </is>
      </c>
    </row>
    <row r="11">
      <c r="B11" s="283" t="inlineStr">
        <is>
          <t>Оплата труда рабочих</t>
        </is>
      </c>
      <c r="C11" s="284">
        <f>'Прил.5 Расчет СМР и ОБ'!J15</f>
        <v/>
      </c>
      <c r="D11" s="285">
        <f>C11/$C$24</f>
        <v/>
      </c>
      <c r="E11" s="285">
        <f>C11/$C$40</f>
        <v/>
      </c>
    </row>
    <row r="12">
      <c r="B12" s="283" t="inlineStr">
        <is>
          <t>Эксплуатация машин основных</t>
        </is>
      </c>
      <c r="C12" s="284">
        <f>'Прил.5 Расчет СМР и ОБ'!J23</f>
        <v/>
      </c>
      <c r="D12" s="285">
        <f>C12/$C$24</f>
        <v/>
      </c>
      <c r="E12" s="285">
        <f>C12/$C$40</f>
        <v/>
      </c>
    </row>
    <row r="13">
      <c r="B13" s="283" t="inlineStr">
        <is>
          <t>Эксплуатация машин прочих</t>
        </is>
      </c>
      <c r="C13" s="284">
        <f>'Прил.5 Расчет СМР и ОБ'!J34</f>
        <v/>
      </c>
      <c r="D13" s="285">
        <f>C13/$C$24</f>
        <v/>
      </c>
      <c r="E13" s="285">
        <f>C13/$C$40</f>
        <v/>
      </c>
    </row>
    <row r="14">
      <c r="B14" s="283" t="inlineStr">
        <is>
          <t>ЭКСПЛУАТАЦИЯ МАШИН, ВСЕГО:</t>
        </is>
      </c>
      <c r="C14" s="284">
        <f>C13+C12</f>
        <v/>
      </c>
      <c r="D14" s="285">
        <f>C14/$C$24</f>
        <v/>
      </c>
      <c r="E14" s="285">
        <f>C14/$C$40</f>
        <v/>
      </c>
    </row>
    <row r="15">
      <c r="B15" s="283" t="inlineStr">
        <is>
          <t>в том числе зарплата машинистов</t>
        </is>
      </c>
      <c r="C15" s="284">
        <f>'Прил.5 Расчет СМР и ОБ'!J17</f>
        <v/>
      </c>
      <c r="D15" s="285">
        <f>C15/$C$24</f>
        <v/>
      </c>
      <c r="E15" s="285">
        <f>C15/$C$40</f>
        <v/>
      </c>
    </row>
    <row r="16">
      <c r="B16" s="283" t="inlineStr">
        <is>
          <t>Материалы основные</t>
        </is>
      </c>
      <c r="C16" s="284">
        <f>'Прил.5 Расчет СМР и ОБ'!J46</f>
        <v/>
      </c>
      <c r="D16" s="285">
        <f>C16/$C$24</f>
        <v/>
      </c>
      <c r="E16" s="285">
        <f>C16/$C$40</f>
        <v/>
      </c>
    </row>
    <row r="17">
      <c r="B17" s="283" t="inlineStr">
        <is>
          <t>Материалы прочие</t>
        </is>
      </c>
      <c r="C17" s="284">
        <f>'Прил.5 Расчет СМР и ОБ'!J52</f>
        <v/>
      </c>
      <c r="D17" s="285">
        <f>C17/$C$24</f>
        <v/>
      </c>
      <c r="E17" s="285">
        <f>C17/$C$40</f>
        <v/>
      </c>
      <c r="G17" s="289" t="n"/>
    </row>
    <row r="18">
      <c r="B18" s="283" t="inlineStr">
        <is>
          <t>МАТЕРИАЛЫ, ВСЕГО:</t>
        </is>
      </c>
      <c r="C18" s="284">
        <f>C17+C16</f>
        <v/>
      </c>
      <c r="D18" s="285">
        <f>C18/$C$24</f>
        <v/>
      </c>
      <c r="E18" s="285">
        <f>C18/$C$40</f>
        <v/>
      </c>
    </row>
    <row r="19">
      <c r="B19" s="283" t="inlineStr">
        <is>
          <t>ИТОГО</t>
        </is>
      </c>
      <c r="C19" s="284">
        <f>C18+C14+C11</f>
        <v/>
      </c>
      <c r="D19" s="285" t="n"/>
      <c r="E19" s="283" t="n"/>
    </row>
    <row r="20">
      <c r="B20" s="283" t="inlineStr">
        <is>
          <t>Сметная прибыль, руб.</t>
        </is>
      </c>
      <c r="C20" s="284">
        <f>ROUND(C21*(C11+C15),2)</f>
        <v/>
      </c>
      <c r="D20" s="285">
        <f>C20/$C$24</f>
        <v/>
      </c>
      <c r="E20" s="285">
        <f>C20/$C$40</f>
        <v/>
      </c>
    </row>
    <row r="21">
      <c r="B21" s="283" t="inlineStr">
        <is>
          <t>Сметная прибыль, %</t>
        </is>
      </c>
      <c r="C21" s="288">
        <f>'Прил.5 Расчет СМР и ОБ'!D56</f>
        <v/>
      </c>
      <c r="D21" s="285" t="n"/>
      <c r="E21" s="283" t="n"/>
    </row>
    <row r="22">
      <c r="B22" s="283" t="inlineStr">
        <is>
          <t>Накладные расходы, руб.</t>
        </is>
      </c>
      <c r="C22" s="284">
        <f>ROUND(C23*(C11+C15),2)</f>
        <v/>
      </c>
      <c r="D22" s="285">
        <f>C22/$C$24</f>
        <v/>
      </c>
      <c r="E22" s="285">
        <f>C22/$C$40</f>
        <v/>
      </c>
    </row>
    <row r="23">
      <c r="B23" s="283" t="inlineStr">
        <is>
          <t>Накладные расходы, %</t>
        </is>
      </c>
      <c r="C23" s="288">
        <f>'Прил.5 Расчет СМР и ОБ'!D55</f>
        <v/>
      </c>
      <c r="D23" s="285" t="n"/>
      <c r="E23" s="283" t="n"/>
    </row>
    <row r="24">
      <c r="B24" s="283" t="inlineStr">
        <is>
          <t>ВСЕГО СМР с НР и СП</t>
        </is>
      </c>
      <c r="C24" s="284">
        <f>C19+C20+C22</f>
        <v/>
      </c>
      <c r="D24" s="285">
        <f>C24/$C$24</f>
        <v/>
      </c>
      <c r="E24" s="285">
        <f>C24/$C$40</f>
        <v/>
      </c>
    </row>
    <row r="25" ht="25.5" customHeight="1" s="302">
      <c r="B25" s="283" t="inlineStr">
        <is>
          <t>ВСЕГО стоимость оборудования, в том числе</t>
        </is>
      </c>
      <c r="C25" s="284">
        <f>'Прил.5 Расчет СМР и ОБ'!J40</f>
        <v/>
      </c>
      <c r="D25" s="285" t="n"/>
      <c r="E25" s="285">
        <f>C25/$C$40</f>
        <v/>
      </c>
    </row>
    <row r="26" ht="25.5" customHeight="1" s="302">
      <c r="B26" s="283" t="inlineStr">
        <is>
          <t>стоимость оборудования технологического</t>
        </is>
      </c>
      <c r="C26" s="284">
        <f>'Прил.5 Расчет СМР и ОБ'!J41</f>
        <v/>
      </c>
      <c r="D26" s="285" t="n"/>
      <c r="E26" s="285">
        <f>C26/$C$40</f>
        <v/>
      </c>
    </row>
    <row r="27">
      <c r="B27" s="283" t="inlineStr">
        <is>
          <t>ИТОГО (СМР + ОБОРУДОВАНИЕ)</t>
        </is>
      </c>
      <c r="C27" s="287">
        <f>C24+C25</f>
        <v/>
      </c>
      <c r="D27" s="285" t="n"/>
      <c r="E27" s="285">
        <f>C27/$C$40</f>
        <v/>
      </c>
    </row>
    <row r="28" ht="33" customHeight="1" s="302">
      <c r="B28" s="283" t="inlineStr">
        <is>
          <t>ПРОЧ. ЗАТР., УЧТЕННЫЕ ПОКАЗАТЕЛЕМ,  в том числе</t>
        </is>
      </c>
      <c r="C28" s="283" t="n"/>
      <c r="D28" s="283" t="n"/>
      <c r="E28" s="283" t="n"/>
      <c r="F28" s="286" t="n"/>
    </row>
    <row r="29" ht="25.5" customHeight="1" s="302">
      <c r="B29" s="283" t="inlineStr">
        <is>
          <t>Временные здания и сооружения - 3,3%</t>
        </is>
      </c>
      <c r="C29" s="287">
        <f>ROUND(C24*3.3%,2)</f>
        <v/>
      </c>
      <c r="D29" s="283" t="n"/>
      <c r="E29" s="285">
        <f>C29/$C$40</f>
        <v/>
      </c>
    </row>
    <row r="30" ht="38.25" customHeight="1" s="302">
      <c r="B30" s="283" t="inlineStr">
        <is>
          <t>Дополнительные затраты при производстве строительно-монтажных работ в зимнее время - 1%</t>
        </is>
      </c>
      <c r="C30" s="287">
        <f>ROUND((C24+C29)*1%,2)</f>
        <v/>
      </c>
      <c r="D30" s="283" t="n"/>
      <c r="E30" s="285">
        <f>C30/$C$40</f>
        <v/>
      </c>
      <c r="F30" s="286" t="n"/>
    </row>
    <row r="31">
      <c r="B31" s="283" t="inlineStr">
        <is>
          <t>Пусконаладочные работы</t>
        </is>
      </c>
      <c r="C31" s="287" t="n">
        <v>0</v>
      </c>
      <c r="D31" s="283" t="n"/>
      <c r="E31" s="285">
        <f>C31/$C$40</f>
        <v/>
      </c>
    </row>
    <row r="32" ht="25.5" customHeight="1" s="302">
      <c r="B32" s="283" t="inlineStr">
        <is>
          <t>Затраты по перевозке работников к месту работы и обратно</t>
        </is>
      </c>
      <c r="C32" s="287">
        <f>ROUND($C$270,2)</f>
        <v/>
      </c>
      <c r="D32" s="283" t="n"/>
      <c r="E32" s="285">
        <f>C32/$C$40</f>
        <v/>
      </c>
    </row>
    <row r="33" ht="25.5" customHeight="1" s="302">
      <c r="B33" s="283" t="inlineStr">
        <is>
          <t>Затраты, связанные с осуществлением работ вахтовым методом</t>
        </is>
      </c>
      <c r="C33" s="287">
        <f>ROUND($C$270,2)</f>
        <v/>
      </c>
      <c r="D33" s="283" t="n"/>
      <c r="E33" s="285">
        <f>C33/$C$40</f>
        <v/>
      </c>
    </row>
    <row r="34" ht="51" customHeight="1" s="302">
      <c r="B34" s="28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>
        <f>ROUND($C$270,2)</f>
        <v/>
      </c>
      <c r="D34" s="283" t="n"/>
      <c r="E34" s="285">
        <f>C34/$C$40</f>
        <v/>
      </c>
      <c r="H34" s="295" t="n"/>
    </row>
    <row r="35" ht="76.5" customHeight="1" s="302">
      <c r="B35" s="28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ROUND($C$270,2)</f>
        <v/>
      </c>
      <c r="D35" s="283" t="n"/>
      <c r="E35" s="285">
        <f>C35/$C$40</f>
        <v/>
      </c>
    </row>
    <row r="36" ht="25.5" customHeight="1" s="302">
      <c r="B36" s="283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3" t="n"/>
      <c r="E36" s="285">
        <f>C36/$C$40</f>
        <v/>
      </c>
      <c r="L36" s="286" t="n"/>
    </row>
    <row r="37">
      <c r="B37" s="283" t="inlineStr">
        <is>
          <t>Авторский надзор - 0,2%</t>
        </is>
      </c>
      <c r="C37" s="287">
        <f>ROUND((C27+C32+C33+C34+C35+C29+C31+C30)*0.2%,2)</f>
        <v/>
      </c>
      <c r="D37" s="283" t="n"/>
      <c r="E37" s="285">
        <f>C37/$C$40</f>
        <v/>
      </c>
      <c r="L37" s="286" t="n"/>
    </row>
    <row r="38" ht="38.25" customHeight="1" s="302">
      <c r="B38" s="283" t="inlineStr">
        <is>
          <t>ИТОГО (СМР+ОБОРУДОВАНИЕ+ПРОЧ. ЗАТР., УЧТЕННЫЕ ПОКАЗАТЕЛЕМ)</t>
        </is>
      </c>
      <c r="C38" s="284">
        <f>C27+C32+C33+C34+C35+C29+C31+C30+C36+C37</f>
        <v/>
      </c>
      <c r="D38" s="283" t="n"/>
      <c r="E38" s="285">
        <f>C38/$C$40</f>
        <v/>
      </c>
    </row>
    <row r="39" ht="13.5" customHeight="1" s="302">
      <c r="B39" s="283" t="inlineStr">
        <is>
          <t>Непредвиденные расходы</t>
        </is>
      </c>
      <c r="C39" s="284">
        <f>ROUND(C38*3%,2)</f>
        <v/>
      </c>
      <c r="D39" s="283" t="n"/>
      <c r="E39" s="285">
        <f>C39/$C$38</f>
        <v/>
      </c>
    </row>
    <row r="40">
      <c r="B40" s="283" t="inlineStr">
        <is>
          <t>ВСЕГО:</t>
        </is>
      </c>
      <c r="C40" s="284">
        <f>C39+C38</f>
        <v/>
      </c>
      <c r="D40" s="283" t="n"/>
      <c r="E40" s="285">
        <f>C40/$C$40</f>
        <v/>
      </c>
    </row>
    <row r="41">
      <c r="B41" s="283" t="inlineStr">
        <is>
          <t>ИТОГО ПОКАЗАТЕЛЬ НА ЕД. ИЗМ.</t>
        </is>
      </c>
      <c r="C41" s="284">
        <f>C40/'Прил.5 Расчет СМР и ОБ'!E59</f>
        <v/>
      </c>
      <c r="D41" s="283" t="n"/>
      <c r="E41" s="283" t="n"/>
    </row>
    <row r="42">
      <c r="B42" s="282" t="n"/>
      <c r="C42" s="309" t="n"/>
      <c r="D42" s="309" t="n"/>
      <c r="E42" s="309" t="n"/>
    </row>
    <row r="43">
      <c r="B43" s="282" t="inlineStr">
        <is>
          <t>Составил ____________________________ А.П. Николаева</t>
        </is>
      </c>
      <c r="C43" s="309" t="n"/>
      <c r="D43" s="309" t="n"/>
      <c r="E43" s="309" t="n"/>
    </row>
    <row r="44">
      <c r="B44" s="282" t="inlineStr">
        <is>
          <t xml:space="preserve">(должность, подпись, инициалы, фамилия) </t>
        </is>
      </c>
      <c r="C44" s="309" t="n"/>
      <c r="D44" s="309" t="n"/>
      <c r="E44" s="309" t="n"/>
    </row>
    <row r="45">
      <c r="B45" s="282" t="n"/>
      <c r="C45" s="309" t="n"/>
      <c r="D45" s="309" t="n"/>
      <c r="E45" s="309" t="n"/>
    </row>
    <row r="46">
      <c r="B46" s="282" t="inlineStr">
        <is>
          <t>Проверил ____________________________ А.В. Костянецкая</t>
        </is>
      </c>
      <c r="C46" s="309" t="n"/>
      <c r="D46" s="309" t="n"/>
      <c r="E46" s="309" t="n"/>
    </row>
    <row r="47">
      <c r="B47" s="332" t="inlineStr">
        <is>
          <t>(должность, подпись, инициалы, фамилия)</t>
        </is>
      </c>
      <c r="D47" s="309" t="n"/>
      <c r="E47" s="309" t="n"/>
    </row>
    <row r="49">
      <c r="B49" s="309" t="n"/>
      <c r="C49" s="309" t="n"/>
      <c r="D49" s="309" t="n"/>
      <c r="E49" s="309" t="n"/>
    </row>
    <row r="50">
      <c r="B50" s="309" t="n"/>
      <c r="C50" s="309" t="n"/>
      <c r="D50" s="309" t="n"/>
      <c r="E50" s="3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6" zoomScale="85" workbookViewId="0">
      <selection activeCell="B60" sqref="B60"/>
    </sheetView>
  </sheetViews>
  <sheetFormatPr baseColWidth="8" defaultColWidth="9.109375" defaultRowHeight="14.4" outlineLevelRow="1"/>
  <cols>
    <col width="5.6640625" customWidth="1" style="310" min="1" max="1"/>
    <col width="22.5546875" customWidth="1" style="310" min="2" max="2"/>
    <col width="39.109375" customWidth="1" style="310" min="3" max="3"/>
    <col width="10.6640625" customWidth="1" style="310" min="4" max="4"/>
    <col width="12.6640625" customWidth="1" style="310" min="5" max="5"/>
    <col width="15" customWidth="1" style="310" min="6" max="6"/>
    <col width="13.44140625" customWidth="1" style="310" min="7" max="7"/>
    <col width="12.6640625" customWidth="1" style="310" min="8" max="8"/>
    <col width="13.88671875" customWidth="1" style="310" min="9" max="9"/>
    <col width="17.5546875" customWidth="1" style="310" min="10" max="10"/>
    <col width="10.88671875" customWidth="1" style="310" min="11" max="11"/>
    <col width="9.109375" customWidth="1" style="310" min="12" max="12"/>
    <col width="9.109375" customWidth="1" style="302" min="13" max="13"/>
  </cols>
  <sheetData>
    <row r="1" s="302">
      <c r="A1" s="310" t="n"/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</row>
    <row r="2" ht="15.75" customHeight="1" s="302">
      <c r="A2" s="310" t="n"/>
      <c r="B2" s="310" t="n"/>
      <c r="C2" s="310" t="n"/>
      <c r="D2" s="310" t="n"/>
      <c r="E2" s="310" t="n"/>
      <c r="F2" s="310" t="n"/>
      <c r="G2" s="310" t="n"/>
      <c r="H2" s="333" t="inlineStr">
        <is>
          <t>Приложение №5</t>
        </is>
      </c>
      <c r="K2" s="310" t="n"/>
      <c r="L2" s="310" t="n"/>
      <c r="M2" s="310" t="n"/>
      <c r="N2" s="310" t="n"/>
    </row>
    <row r="3" s="302">
      <c r="A3" s="310" t="n"/>
      <c r="B3" s="310" t="n"/>
      <c r="C3" s="310" t="n"/>
      <c r="D3" s="310" t="n"/>
      <c r="E3" s="310" t="n"/>
      <c r="F3" s="310" t="n"/>
      <c r="G3" s="310" t="n"/>
      <c r="H3" s="310" t="n"/>
      <c r="I3" s="310" t="n"/>
      <c r="J3" s="310" t="n"/>
      <c r="K3" s="310" t="n"/>
      <c r="L3" s="310" t="n"/>
      <c r="M3" s="310" t="n"/>
      <c r="N3" s="310" t="n"/>
    </row>
    <row r="4" ht="12.75" customFormat="1" customHeight="1" s="309">
      <c r="A4" s="313" t="inlineStr">
        <is>
          <t>Расчет стоимости СМР и оборудования</t>
        </is>
      </c>
    </row>
    <row r="5" ht="12.75" customFormat="1" customHeight="1" s="309">
      <c r="A5" s="313" t="n"/>
      <c r="B5" s="313" t="n"/>
      <c r="C5" s="361" t="n"/>
      <c r="D5" s="313" t="n"/>
      <c r="E5" s="313" t="n"/>
      <c r="F5" s="313" t="n"/>
      <c r="G5" s="313" t="n"/>
      <c r="H5" s="313" t="n"/>
      <c r="I5" s="313" t="n"/>
      <c r="J5" s="313" t="n"/>
    </row>
    <row r="6" ht="12.75" customFormat="1" customHeight="1" s="309">
      <c r="A6" s="235" t="inlineStr">
        <is>
          <t>Наименование разрабатываемого показателя УНЦ</t>
        </is>
      </c>
      <c r="B6" s="234" t="n"/>
      <c r="C6" s="234" t="n"/>
      <c r="D6" s="339" t="inlineStr">
        <is>
          <t>Опоры ВЛ 0,4 - 750 кВ. Двухцепная, все типы опор за исключением многогранных 220 кВ.</t>
        </is>
      </c>
    </row>
    <row r="7" ht="12.75" customFormat="1" customHeight="1" s="309">
      <c r="A7" s="316" t="inlineStr">
        <is>
          <t>Единица измерения  — 1 км</t>
        </is>
      </c>
      <c r="I7" s="325" t="n"/>
      <c r="J7" s="325" t="n"/>
    </row>
    <row r="8" ht="13.5" customFormat="1" customHeight="1" s="309">
      <c r="A8" s="316" t="n"/>
    </row>
    <row r="9" ht="13.2" customFormat="1" customHeight="1" s="309"/>
    <row r="10" ht="27" customHeight="1" s="302">
      <c r="A10" s="336" t="inlineStr">
        <is>
          <t>№ пп.</t>
        </is>
      </c>
      <c r="B10" s="336" t="inlineStr">
        <is>
          <t>Код ресурса</t>
        </is>
      </c>
      <c r="C10" s="336" t="inlineStr">
        <is>
          <t>Наименование</t>
        </is>
      </c>
      <c r="D10" s="336" t="inlineStr">
        <is>
          <t>Ед. изм.</t>
        </is>
      </c>
      <c r="E10" s="336" t="inlineStr">
        <is>
          <t>Кол-во единиц по проектным данным</t>
        </is>
      </c>
      <c r="F10" s="336" t="inlineStr">
        <is>
          <t>Сметная стоимость в ценах на 01.01.2000 (руб.)</t>
        </is>
      </c>
      <c r="G10" s="405" t="n"/>
      <c r="H10" s="336" t="inlineStr">
        <is>
          <t>Удельный вес, %</t>
        </is>
      </c>
      <c r="I10" s="336" t="inlineStr">
        <is>
          <t>Сметная стоимость в ценах на 01.01.2023 (руб.)</t>
        </is>
      </c>
      <c r="J10" s="405" t="n"/>
      <c r="K10" s="310" t="n"/>
      <c r="L10" s="310" t="n"/>
      <c r="M10" s="310" t="n"/>
      <c r="N10" s="310" t="n"/>
    </row>
    <row r="11" ht="28.5" customHeight="1" s="302">
      <c r="A11" s="407" t="n"/>
      <c r="B11" s="407" t="n"/>
      <c r="C11" s="407" t="n"/>
      <c r="D11" s="407" t="n"/>
      <c r="E11" s="407" t="n"/>
      <c r="F11" s="336" t="inlineStr">
        <is>
          <t>на ед. изм.</t>
        </is>
      </c>
      <c r="G11" s="336" t="inlineStr">
        <is>
          <t>общая</t>
        </is>
      </c>
      <c r="H11" s="407" t="n"/>
      <c r="I11" s="336" t="inlineStr">
        <is>
          <t>на ед. изм.</t>
        </is>
      </c>
      <c r="J11" s="336" t="inlineStr">
        <is>
          <t>общая</t>
        </is>
      </c>
      <c r="K11" s="310" t="n"/>
      <c r="L11" s="310" t="n"/>
      <c r="M11" s="310" t="n"/>
      <c r="N11" s="310" t="n"/>
    </row>
    <row r="12" s="302">
      <c r="A12" s="336" t="n">
        <v>1</v>
      </c>
      <c r="B12" s="336" t="n">
        <v>2</v>
      </c>
      <c r="C12" s="336" t="n">
        <v>3</v>
      </c>
      <c r="D12" s="336" t="n">
        <v>4</v>
      </c>
      <c r="E12" s="336" t="n">
        <v>5</v>
      </c>
      <c r="F12" s="336" t="n">
        <v>6</v>
      </c>
      <c r="G12" s="336" t="n">
        <v>7</v>
      </c>
      <c r="H12" s="336" t="n">
        <v>8</v>
      </c>
      <c r="I12" s="337" t="n">
        <v>9</v>
      </c>
      <c r="J12" s="337" t="n">
        <v>10</v>
      </c>
      <c r="K12" s="310" t="n"/>
      <c r="L12" s="310" t="n"/>
      <c r="M12" s="310" t="n"/>
      <c r="N12" s="310" t="n"/>
    </row>
    <row r="13">
      <c r="A13" s="336" t="n"/>
      <c r="B13" s="344" t="inlineStr">
        <is>
          <t>Затраты труда рабочих-строителей</t>
        </is>
      </c>
      <c r="C13" s="404" t="n"/>
      <c r="D13" s="404" t="n"/>
      <c r="E13" s="404" t="n"/>
      <c r="F13" s="404" t="n"/>
      <c r="G13" s="404" t="n"/>
      <c r="H13" s="405" t="n"/>
      <c r="I13" s="217" t="n"/>
      <c r="J13" s="217" t="n"/>
    </row>
    <row r="14" ht="25.5" customHeight="1" s="302">
      <c r="A14" s="336" t="n">
        <v>1</v>
      </c>
      <c r="B14" s="232" t="inlineStr">
        <is>
          <t>1-4-1</t>
        </is>
      </c>
      <c r="C14" s="345" t="inlineStr">
        <is>
          <t>Затраты труда рабочих-строителей среднего разряда (4,1)</t>
        </is>
      </c>
      <c r="D14" s="336" t="inlineStr">
        <is>
          <t>чел.-ч.</t>
        </is>
      </c>
      <c r="E14" s="230" t="n">
        <v>65098.839139344</v>
      </c>
      <c r="F14" s="228" t="n">
        <v>9.76</v>
      </c>
      <c r="G14" s="228">
        <f>'Прил. 3'!H10</f>
        <v/>
      </c>
      <c r="H14" s="231">
        <f>G14/G15</f>
        <v/>
      </c>
      <c r="I14" s="228">
        <f>ФОТр.тек.!E13</f>
        <v/>
      </c>
      <c r="J14" s="228">
        <f>ROUND(I14*E14,2)</f>
        <v/>
      </c>
    </row>
    <row r="15" ht="25.5" customFormat="1" customHeight="1" s="310">
      <c r="A15" s="336" t="n"/>
      <c r="B15" s="336" t="n"/>
      <c r="C15" s="344" t="inlineStr">
        <is>
          <t>Итого по разделу "Затраты труда рабочих-строителей"</t>
        </is>
      </c>
      <c r="D15" s="336" t="inlineStr">
        <is>
          <t>чел.-ч.</t>
        </is>
      </c>
      <c r="E15" s="230">
        <f>SUM(E14:E14)</f>
        <v/>
      </c>
      <c r="F15" s="228" t="n"/>
      <c r="G15" s="228">
        <f>SUM(G14:G14)</f>
        <v/>
      </c>
      <c r="H15" s="348" t="n">
        <v>1</v>
      </c>
      <c r="I15" s="217" t="n"/>
      <c r="J15" s="228">
        <f>SUM(J14:J14)</f>
        <v/>
      </c>
    </row>
    <row r="16" ht="14.25" customFormat="1" customHeight="1" s="310">
      <c r="A16" s="336" t="n"/>
      <c r="B16" s="345" t="inlineStr">
        <is>
          <t>Затраты труда машинистов</t>
        </is>
      </c>
      <c r="C16" s="404" t="n"/>
      <c r="D16" s="404" t="n"/>
      <c r="E16" s="404" t="n"/>
      <c r="F16" s="404" t="n"/>
      <c r="G16" s="404" t="n"/>
      <c r="H16" s="405" t="n"/>
      <c r="I16" s="217" t="n"/>
      <c r="J16" s="217" t="n"/>
    </row>
    <row r="17" ht="14.25" customFormat="1" customHeight="1" s="310">
      <c r="A17" s="336" t="n">
        <v>2</v>
      </c>
      <c r="B17" s="336" t="n">
        <v>2</v>
      </c>
      <c r="C17" s="345" t="inlineStr">
        <is>
          <t>Затраты труда машинистов</t>
        </is>
      </c>
      <c r="D17" s="336" t="inlineStr">
        <is>
          <t>чел.-ч.</t>
        </is>
      </c>
      <c r="E17" s="230" t="n">
        <v>23481.1500928</v>
      </c>
      <c r="F17" s="228">
        <f>G17/E17</f>
        <v/>
      </c>
      <c r="G17" s="228">
        <f>'Прил. 3'!H12</f>
        <v/>
      </c>
      <c r="H17" s="348" t="n">
        <v>1</v>
      </c>
      <c r="I17" s="228">
        <f>ROUND(F17*'Прил. 10'!D11,2)</f>
        <v/>
      </c>
      <c r="J17" s="228">
        <f>ROUND(I17*E17,2)</f>
        <v/>
      </c>
    </row>
    <row r="18" ht="14.25" customFormat="1" customHeight="1" s="310">
      <c r="A18" s="336" t="n"/>
      <c r="B18" s="344" t="inlineStr">
        <is>
          <t>Машины и механизмы</t>
        </is>
      </c>
      <c r="C18" s="404" t="n"/>
      <c r="D18" s="404" t="n"/>
      <c r="E18" s="404" t="n"/>
      <c r="F18" s="404" t="n"/>
      <c r="G18" s="404" t="n"/>
      <c r="H18" s="405" t="n"/>
      <c r="I18" s="217" t="n"/>
      <c r="J18" s="217" t="n"/>
    </row>
    <row r="19" ht="14.25" customFormat="1" customHeight="1" s="310">
      <c r="A19" s="336" t="n"/>
      <c r="B19" s="345" t="inlineStr">
        <is>
          <t>Основные машины и механизмы</t>
        </is>
      </c>
      <c r="C19" s="404" t="n"/>
      <c r="D19" s="404" t="n"/>
      <c r="E19" s="404" t="n"/>
      <c r="F19" s="404" t="n"/>
      <c r="G19" s="404" t="n"/>
      <c r="H19" s="405" t="n"/>
      <c r="I19" s="217" t="n"/>
      <c r="J19" s="217" t="n"/>
    </row>
    <row r="20" ht="25.5" customFormat="1" customHeight="1" s="310">
      <c r="A20" s="336" t="n">
        <v>3</v>
      </c>
      <c r="B20" s="232" t="inlineStr">
        <is>
          <t>91.15.02-029</t>
        </is>
      </c>
      <c r="C20" s="345" t="inlineStr">
        <is>
          <t>Тракторы на гусеничном ходу с лебедкой 132 кВт (180 л.с.)</t>
        </is>
      </c>
      <c r="D20" s="336" t="inlineStr">
        <is>
          <t>маш.час</t>
        </is>
      </c>
      <c r="E20" s="230" t="n">
        <v>8981.2612635</v>
      </c>
      <c r="F20" s="347" t="n">
        <v>147.43</v>
      </c>
      <c r="G20" s="228">
        <f>ROUND(E20*F20,2)</f>
        <v/>
      </c>
      <c r="H20" s="231">
        <f>G20/$G$35</f>
        <v/>
      </c>
      <c r="I20" s="228">
        <f>ROUND(F20*'Прил. 10'!$D$12,2)</f>
        <v/>
      </c>
      <c r="J20" s="228">
        <f>ROUND(I20*E20,2)</f>
        <v/>
      </c>
    </row>
    <row r="21" ht="25.5" customFormat="1" customHeight="1" s="310">
      <c r="A21" s="336" t="n">
        <v>4</v>
      </c>
      <c r="B21" s="232" t="inlineStr">
        <is>
          <t>91.13.03-111</t>
        </is>
      </c>
      <c r="C21" s="345" t="inlineStr">
        <is>
          <t>Спецавтомобили-вездеходы, грузоподъемность до 8 т</t>
        </is>
      </c>
      <c r="D21" s="336" t="inlineStr">
        <is>
          <t>маш.час</t>
        </is>
      </c>
      <c r="E21" s="230" t="n">
        <v>4115.110525</v>
      </c>
      <c r="F21" s="347" t="n">
        <v>189.95</v>
      </c>
      <c r="G21" s="228">
        <f>ROUND(E21*F21,2)</f>
        <v/>
      </c>
      <c r="H21" s="231">
        <f>G21/$G$35</f>
        <v/>
      </c>
      <c r="I21" s="228">
        <f>ROUND(F21*'Прил. 10'!$D$12,2)</f>
        <v/>
      </c>
      <c r="J21" s="228">
        <f>ROUND(I21*E21,2)</f>
        <v/>
      </c>
    </row>
    <row r="22" ht="51" customFormat="1" customHeight="1" s="310">
      <c r="A22" s="336" t="n">
        <v>5</v>
      </c>
      <c r="B22" s="232" t="inlineStr">
        <is>
          <t>91.05.14-516</t>
        </is>
      </c>
      <c r="C22" s="345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36" t="inlineStr">
        <is>
          <t>маш.час</t>
        </is>
      </c>
      <c r="E22" s="230" t="n">
        <v>6741.90001</v>
      </c>
      <c r="F22" s="347" t="n">
        <v>77.64</v>
      </c>
      <c r="G22" s="228">
        <f>ROUND(E22*F22,2)</f>
        <v/>
      </c>
      <c r="H22" s="231">
        <f>G22/$G$35</f>
        <v/>
      </c>
      <c r="I22" s="228">
        <f>ROUND(F22*'Прил. 10'!$D$12,2)</f>
        <v/>
      </c>
      <c r="J22" s="228">
        <f>ROUND(I22*E22,2)</f>
        <v/>
      </c>
    </row>
    <row r="23" ht="14.25" customFormat="1" customHeight="1" s="310">
      <c r="A23" s="336" t="n"/>
      <c r="B23" s="336" t="n"/>
      <c r="C23" s="345" t="inlineStr">
        <is>
          <t>Итого основные машины и механизмы</t>
        </is>
      </c>
      <c r="D23" s="336" t="n"/>
      <c r="E23" s="230" t="n"/>
      <c r="F23" s="228" t="n"/>
      <c r="G23" s="228">
        <f>SUM(G20:G22)</f>
        <v/>
      </c>
      <c r="H23" s="348">
        <f>G23/G35</f>
        <v/>
      </c>
      <c r="I23" s="218" t="n"/>
      <c r="J23" s="228">
        <f>SUM(J20:J22)</f>
        <v/>
      </c>
    </row>
    <row r="24" outlineLevel="1" ht="51" customFormat="1" customHeight="1" s="310">
      <c r="A24" s="336" t="n">
        <v>6</v>
      </c>
      <c r="B24" s="232" t="inlineStr">
        <is>
          <t>91.18.01-007</t>
        </is>
      </c>
      <c r="C24" s="34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36" t="inlineStr">
        <is>
          <t>маш.час</t>
        </is>
      </c>
      <c r="E24" s="230" t="n">
        <v>2145.862995</v>
      </c>
      <c r="F24" s="347" t="n">
        <v>90</v>
      </c>
      <c r="G24" s="228">
        <f>ROUND(E24*F24,2)</f>
        <v/>
      </c>
      <c r="H24" s="231">
        <f>G24/$G$35</f>
        <v/>
      </c>
      <c r="I24" s="228">
        <f>ROUND(F24*'Прил. 10'!$D$12,2)</f>
        <v/>
      </c>
      <c r="J24" s="228">
        <f>ROUND(I24*E24,2)</f>
        <v/>
      </c>
    </row>
    <row r="25" outlineLevel="1" ht="25.5" customFormat="1" customHeight="1" s="310">
      <c r="A25" s="336" t="n">
        <v>7</v>
      </c>
      <c r="B25" s="232" t="inlineStr">
        <is>
          <t>91.05.05-015</t>
        </is>
      </c>
      <c r="C25" s="345" t="inlineStr">
        <is>
          <t>Краны на автомобильном ходу, грузоподъемность 16 т</t>
        </is>
      </c>
      <c r="D25" s="336" t="inlineStr">
        <is>
          <t>маш.час</t>
        </is>
      </c>
      <c r="E25" s="230" t="n">
        <v>1298.9926405</v>
      </c>
      <c r="F25" s="347" t="n">
        <v>115.4</v>
      </c>
      <c r="G25" s="228">
        <f>ROUND(E25*F25,2)</f>
        <v/>
      </c>
      <c r="H25" s="231">
        <f>G25/$G$35</f>
        <v/>
      </c>
      <c r="I25" s="228">
        <f>ROUND(F25*'Прил. 10'!$D$12,2)</f>
        <v/>
      </c>
      <c r="J25" s="228">
        <f>ROUND(I25*E25,2)</f>
        <v/>
      </c>
    </row>
    <row r="26" outlineLevel="1" ht="25.5" customFormat="1" customHeight="1" s="310">
      <c r="A26" s="336" t="n">
        <v>8</v>
      </c>
      <c r="B26" s="232" t="inlineStr">
        <is>
          <t>91.06.06-014</t>
        </is>
      </c>
      <c r="C26" s="345" t="inlineStr">
        <is>
          <t>Автогидроподъемники, высота подъема 28 м</t>
        </is>
      </c>
      <c r="D26" s="336" t="inlineStr">
        <is>
          <t>маш.час</t>
        </is>
      </c>
      <c r="E26" s="230" t="n">
        <v>98.995328</v>
      </c>
      <c r="F26" s="347" t="n">
        <v>243.49</v>
      </c>
      <c r="G26" s="228">
        <f>ROUND(E26*F26,2)</f>
        <v/>
      </c>
      <c r="H26" s="231">
        <f>G26/$G$35</f>
        <v/>
      </c>
      <c r="I26" s="228">
        <f>ROUND(F26*'Прил. 10'!$D$12,2)</f>
        <v/>
      </c>
      <c r="J26" s="228">
        <f>ROUND(I26*E26,2)</f>
        <v/>
      </c>
    </row>
    <row r="27" outlineLevel="1" ht="25.5" customFormat="1" customHeight="1" s="310">
      <c r="A27" s="336" t="n">
        <v>9</v>
      </c>
      <c r="B27" s="232" t="inlineStr">
        <is>
          <t>91.06.09-101</t>
        </is>
      </c>
      <c r="C27" s="345" t="inlineStr">
        <is>
          <t>Стрелы монтажные А-образные для подъема опор ВЛ, высота до 22 м</t>
        </is>
      </c>
      <c r="D27" s="336" t="inlineStr">
        <is>
          <t>маш.час</t>
        </is>
      </c>
      <c r="E27" s="230" t="n">
        <v>1190.418076</v>
      </c>
      <c r="F27" s="347" t="n">
        <v>6.25</v>
      </c>
      <c r="G27" s="228">
        <f>ROUND(E27*F27,2)</f>
        <v/>
      </c>
      <c r="H27" s="231">
        <f>G27/$G$35</f>
        <v/>
      </c>
      <c r="I27" s="228">
        <f>ROUND(F27*'Прил. 10'!$D$12,2)</f>
        <v/>
      </c>
      <c r="J27" s="228">
        <f>ROUND(I27*E27,2)</f>
        <v/>
      </c>
    </row>
    <row r="28" outlineLevel="1" ht="25.5" customFormat="1" customHeight="1" s="310">
      <c r="A28" s="336" t="n">
        <v>10</v>
      </c>
      <c r="B28" s="232" t="inlineStr">
        <is>
          <t>91.06.01-002</t>
        </is>
      </c>
      <c r="C28" s="345" t="inlineStr">
        <is>
          <t>Домкраты гидравлические, грузоподъемность 6,3-25 т</t>
        </is>
      </c>
      <c r="D28" s="336" t="inlineStr">
        <is>
          <t>маш.час</t>
        </is>
      </c>
      <c r="E28" s="230" t="n">
        <v>6701.043745</v>
      </c>
      <c r="F28" s="347" t="n">
        <v>0.48</v>
      </c>
      <c r="G28" s="228">
        <f>ROUND(E28*F28,2)</f>
        <v/>
      </c>
      <c r="H28" s="231">
        <f>G28/$G$35</f>
        <v/>
      </c>
      <c r="I28" s="228">
        <f>ROUND(F28*'Прил. 10'!$D$12,2)</f>
        <v/>
      </c>
      <c r="J28" s="228">
        <f>ROUND(I28*E28,2)</f>
        <v/>
      </c>
    </row>
    <row r="29" outlineLevel="1" ht="25.5" customFormat="1" customHeight="1" s="310">
      <c r="A29" s="336" t="n">
        <v>11</v>
      </c>
      <c r="B29" s="232" t="inlineStr">
        <is>
          <t>91.16.01-001</t>
        </is>
      </c>
      <c r="C29" s="345" t="inlineStr">
        <is>
          <t>Электростанции передвижные, мощность 2 кВт</t>
        </is>
      </c>
      <c r="D29" s="336" t="inlineStr">
        <is>
          <t>маш.час</t>
        </is>
      </c>
      <c r="E29" s="230" t="n">
        <v>98.995328</v>
      </c>
      <c r="F29" s="347" t="n">
        <v>22.29</v>
      </c>
      <c r="G29" s="228">
        <f>ROUND(E29*F29,2)</f>
        <v/>
      </c>
      <c r="H29" s="231">
        <f>G29/$G$35</f>
        <v/>
      </c>
      <c r="I29" s="228">
        <f>ROUND(F29*'Прил. 10'!$D$12,2)</f>
        <v/>
      </c>
      <c r="J29" s="228">
        <f>ROUND(I29*E29,2)</f>
        <v/>
      </c>
    </row>
    <row r="30" outlineLevel="1" ht="25.5" customFormat="1" customHeight="1" s="310">
      <c r="A30" s="336" t="n">
        <v>12</v>
      </c>
      <c r="B30" s="232" t="inlineStr">
        <is>
          <t>91.17.04-171</t>
        </is>
      </c>
      <c r="C30" s="345" t="inlineStr">
        <is>
          <t>Преобразователи сварочные номинальным сварочным током 315-500 А</t>
        </is>
      </c>
      <c r="D30" s="336" t="inlineStr">
        <is>
          <t>маш.час</t>
        </is>
      </c>
      <c r="E30" s="230" t="n">
        <v>53.87138</v>
      </c>
      <c r="F30" s="347" t="n">
        <v>12.31</v>
      </c>
      <c r="G30" s="228">
        <f>ROUND(E30*F30,2)</f>
        <v/>
      </c>
      <c r="H30" s="231">
        <f>G30/$G$35</f>
        <v/>
      </c>
      <c r="I30" s="228">
        <f>ROUND(F30*'Прил. 10'!$D$12,2)</f>
        <v/>
      </c>
      <c r="J30" s="228">
        <f>ROUND(I30*E30,2)</f>
        <v/>
      </c>
    </row>
    <row r="31" outlineLevel="1" ht="51" customFormat="1" customHeight="1" s="310">
      <c r="A31" s="336" t="n">
        <v>13</v>
      </c>
      <c r="B31" s="232" t="inlineStr">
        <is>
          <t>91.21.01-014</t>
        </is>
      </c>
      <c r="C31" s="34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1" s="336" t="inlineStr">
        <is>
          <t>маш.час</t>
        </is>
      </c>
      <c r="E31" s="230" t="n">
        <v>98.995328</v>
      </c>
      <c r="F31" s="347" t="n">
        <v>5.59</v>
      </c>
      <c r="G31" s="228">
        <f>ROUND(E31*F31,2)</f>
        <v/>
      </c>
      <c r="H31" s="231">
        <f>G31/$G$35</f>
        <v/>
      </c>
      <c r="I31" s="228">
        <f>ROUND(F31*'Прил. 10'!$D$12,2)</f>
        <v/>
      </c>
      <c r="J31" s="228">
        <f>ROUND(I31*E31,2)</f>
        <v/>
      </c>
    </row>
    <row r="32" outlineLevel="1" ht="38.25" customFormat="1" customHeight="1" s="310">
      <c r="A32" s="336" t="n">
        <v>14</v>
      </c>
      <c r="B32" s="232" t="inlineStr">
        <is>
          <t>91.18.01-011</t>
        </is>
      </c>
      <c r="C32" s="345" t="inlineStr">
        <is>
          <t>Компрессоры передвижные с электродвигателем давление 600 кПа (6 ат), производительность 0,5 м3/мин</t>
        </is>
      </c>
      <c r="D32" s="336" t="inlineStr">
        <is>
          <t>маш.час</t>
        </is>
      </c>
      <c r="E32" s="230" t="n">
        <v>98.995328</v>
      </c>
      <c r="F32" s="347" t="n">
        <v>3.7</v>
      </c>
      <c r="G32" s="228">
        <f>ROUND(E32*F32,2)</f>
        <v/>
      </c>
      <c r="H32" s="231">
        <f>G32/$G$35</f>
        <v/>
      </c>
      <c r="I32" s="228">
        <f>ROUND(F32*'Прил. 10'!$D$12,2)</f>
        <v/>
      </c>
      <c r="J32" s="228">
        <f>ROUND(I32*E32,2)</f>
        <v/>
      </c>
    </row>
    <row r="33" outlineLevel="1" ht="25.5" customFormat="1" customHeight="1" s="310">
      <c r="A33" s="336" t="n">
        <v>15</v>
      </c>
      <c r="B33" s="232" t="inlineStr">
        <is>
          <t>91.14.02-001</t>
        </is>
      </c>
      <c r="C33" s="345" t="inlineStr">
        <is>
          <t>Автомобили бортовые, грузоподъемность до 5 т</t>
        </is>
      </c>
      <c r="D33" s="336" t="inlineStr">
        <is>
          <t>маш.час</t>
        </is>
      </c>
      <c r="E33" s="230" t="n">
        <v>0.0320028</v>
      </c>
      <c r="F33" s="347" t="n">
        <v>65.93000000000001</v>
      </c>
      <c r="G33" s="228">
        <f>ROUND(E33*F33,2)</f>
        <v/>
      </c>
      <c r="H33" s="231">
        <f>G33/$G$35</f>
        <v/>
      </c>
      <c r="I33" s="228">
        <f>ROUND(F33*'Прил. 10'!$D$12,2)</f>
        <v/>
      </c>
      <c r="J33" s="228">
        <f>ROUND(I33*E33,2)</f>
        <v/>
      </c>
    </row>
    <row r="34" ht="14.25" customFormat="1" customHeight="1" s="310">
      <c r="A34" s="336" t="n"/>
      <c r="B34" s="336" t="n"/>
      <c r="C34" s="345" t="inlineStr">
        <is>
          <t>Итого прочие машины и механизмы</t>
        </is>
      </c>
      <c r="D34" s="336" t="n"/>
      <c r="E34" s="346" t="n"/>
      <c r="F34" s="228" t="n"/>
      <c r="G34" s="218">
        <f>SUM(G24:G33)</f>
        <v/>
      </c>
      <c r="H34" s="231">
        <f>G34/G35</f>
        <v/>
      </c>
      <c r="I34" s="228" t="n"/>
      <c r="J34" s="228">
        <f>SUM(J24:J33)</f>
        <v/>
      </c>
    </row>
    <row r="35" ht="25.5" customFormat="1" customHeight="1" s="310">
      <c r="A35" s="336" t="n"/>
      <c r="B35" s="336" t="n"/>
      <c r="C35" s="344" t="inlineStr">
        <is>
          <t>Итого по разделу «Машины и механизмы»</t>
        </is>
      </c>
      <c r="D35" s="336" t="n"/>
      <c r="E35" s="346" t="n"/>
      <c r="F35" s="228" t="n"/>
      <c r="G35" s="228">
        <f>G34+G23</f>
        <v/>
      </c>
      <c r="H35" s="211" t="n">
        <v>1</v>
      </c>
      <c r="I35" s="212" t="n"/>
      <c r="J35" s="243">
        <f>J34+J23</f>
        <v/>
      </c>
    </row>
    <row r="36" ht="14.25" customFormat="1" customHeight="1" s="310">
      <c r="A36" s="336" t="n"/>
      <c r="B36" s="344" t="inlineStr">
        <is>
          <t>Оборудование</t>
        </is>
      </c>
      <c r="C36" s="404" t="n"/>
      <c r="D36" s="404" t="n"/>
      <c r="E36" s="404" t="n"/>
      <c r="F36" s="404" t="n"/>
      <c r="G36" s="404" t="n"/>
      <c r="H36" s="405" t="n"/>
      <c r="I36" s="217" t="n"/>
      <c r="J36" s="217" t="n"/>
    </row>
    <row r="37">
      <c r="A37" s="336" t="n"/>
      <c r="B37" s="345" t="inlineStr">
        <is>
          <t>Основное оборудование</t>
        </is>
      </c>
      <c r="C37" s="404" t="n"/>
      <c r="D37" s="404" t="n"/>
      <c r="E37" s="404" t="n"/>
      <c r="F37" s="404" t="n"/>
      <c r="G37" s="404" t="n"/>
      <c r="H37" s="405" t="n"/>
      <c r="I37" s="217" t="n"/>
      <c r="J37" s="217" t="n"/>
      <c r="K37" s="310" t="n"/>
      <c r="L37" s="310" t="n"/>
    </row>
    <row r="38">
      <c r="A38" s="336" t="n"/>
      <c r="B38" s="336" t="n"/>
      <c r="C38" s="345" t="inlineStr">
        <is>
          <t>Итого основное оборудование</t>
        </is>
      </c>
      <c r="D38" s="336" t="n"/>
      <c r="E38" s="230" t="n"/>
      <c r="F38" s="347" t="n"/>
      <c r="G38" s="228" t="n">
        <v>0</v>
      </c>
      <c r="H38" s="348" t="n">
        <v>0</v>
      </c>
      <c r="I38" s="218" t="n"/>
      <c r="J38" s="228" t="n">
        <v>0</v>
      </c>
      <c r="K38" s="310" t="n"/>
      <c r="L38" s="310" t="n"/>
    </row>
    <row r="39">
      <c r="A39" s="336" t="n"/>
      <c r="B39" s="336" t="n"/>
      <c r="C39" s="345" t="inlineStr">
        <is>
          <t>Итого прочее оборудование</t>
        </is>
      </c>
      <c r="D39" s="336" t="n"/>
      <c r="E39" s="230" t="n"/>
      <c r="F39" s="347" t="n"/>
      <c r="G39" s="228" t="n">
        <v>0</v>
      </c>
      <c r="H39" s="348" t="n">
        <v>0</v>
      </c>
      <c r="I39" s="218" t="n"/>
      <c r="J39" s="228" t="n">
        <v>0</v>
      </c>
      <c r="K39" s="310" t="n"/>
      <c r="L39" s="310" t="n"/>
    </row>
    <row r="40">
      <c r="A40" s="336" t="n"/>
      <c r="B40" s="336" t="n"/>
      <c r="C40" s="344" t="inlineStr">
        <is>
          <t>Итого по разделу «Оборудование»</t>
        </is>
      </c>
      <c r="D40" s="336" t="n"/>
      <c r="E40" s="346" t="n"/>
      <c r="F40" s="347" t="n"/>
      <c r="G40" s="228">
        <f>G38+G39</f>
        <v/>
      </c>
      <c r="H40" s="348" t="n">
        <v>0</v>
      </c>
      <c r="I40" s="218" t="n"/>
      <c r="J40" s="228">
        <f>J39+J38</f>
        <v/>
      </c>
      <c r="K40" s="310" t="n"/>
      <c r="L40" s="310" t="n"/>
    </row>
    <row r="41" ht="25.5" customHeight="1" s="302">
      <c r="A41" s="336" t="n"/>
      <c r="B41" s="336" t="n"/>
      <c r="C41" s="345" t="inlineStr">
        <is>
          <t>в том числе технологическое оборудование</t>
        </is>
      </c>
      <c r="D41" s="336" t="n"/>
      <c r="E41" s="297" t="n"/>
      <c r="F41" s="347" t="n"/>
      <c r="G41" s="228">
        <f>G40</f>
        <v/>
      </c>
      <c r="H41" s="348" t="n"/>
      <c r="I41" s="218" t="n"/>
      <c r="J41" s="228">
        <f>J40</f>
        <v/>
      </c>
      <c r="K41" s="310" t="n"/>
      <c r="L41" s="310" t="n"/>
    </row>
    <row r="42" ht="14.25" customFormat="1" customHeight="1" s="310">
      <c r="A42" s="336" t="n"/>
      <c r="B42" s="344" t="inlineStr">
        <is>
          <t>Материалы</t>
        </is>
      </c>
      <c r="C42" s="404" t="n"/>
      <c r="D42" s="404" t="n"/>
      <c r="E42" s="404" t="n"/>
      <c r="F42" s="404" t="n"/>
      <c r="G42" s="404" t="n"/>
      <c r="H42" s="405" t="n"/>
      <c r="I42" s="217" t="n"/>
      <c r="J42" s="217" t="n"/>
    </row>
    <row r="43" ht="14.25" customFormat="1" customHeight="1" s="310">
      <c r="A43" s="337" t="n"/>
      <c r="B43" s="340" t="inlineStr">
        <is>
          <t>Основные материалы</t>
        </is>
      </c>
      <c r="C43" s="408" t="n"/>
      <c r="D43" s="408" t="n"/>
      <c r="E43" s="408" t="n"/>
      <c r="F43" s="408" t="n"/>
      <c r="G43" s="408" t="n"/>
      <c r="H43" s="409" t="n"/>
      <c r="I43" s="237" t="n"/>
      <c r="J43" s="237" t="n"/>
    </row>
    <row r="44" ht="51" customFormat="1" customHeight="1" s="310">
      <c r="A44" s="336" t="n">
        <v>16</v>
      </c>
      <c r="B44" s="300" t="inlineStr">
        <is>
          <t>БЦ.98.24</t>
        </is>
      </c>
      <c r="C44" s="345" t="inlineStr">
        <is>
          <t>Опоры решетчатые линий электропередачи оцинкованные, 220 кВ, промежуточные, одностоечные, свободностоящие</t>
        </is>
      </c>
      <c r="D44" s="336" t="inlineStr">
        <is>
          <t>т</t>
        </is>
      </c>
      <c r="E44" s="297" t="n">
        <v>1521.655</v>
      </c>
      <c r="F44" s="347">
        <f>ROUND(I44/'Прил. 10'!$D$13,2)</f>
        <v/>
      </c>
      <c r="G44" s="228">
        <f>ROUND(E44*F44,2)</f>
        <v/>
      </c>
      <c r="H44" s="231">
        <f>G44/$G$53</f>
        <v/>
      </c>
      <c r="I44" s="228" t="n">
        <v>220570.75</v>
      </c>
      <c r="J44" s="228">
        <f>ROUND(I44*E44,2)</f>
        <v/>
      </c>
    </row>
    <row r="45" ht="51" customFormat="1" customHeight="1" s="310">
      <c r="A45" s="336" t="n">
        <v>17</v>
      </c>
      <c r="B45" s="300" t="inlineStr">
        <is>
          <t>БЦ.98.23</t>
        </is>
      </c>
      <c r="C45" s="345" t="inlineStr">
        <is>
          <t>Опоры решетчатые линий электропередачи оцинкованные, 220 кВ, анкерно-угловые, одностоечные, свободностоящие</t>
        </is>
      </c>
      <c r="D45" s="336" t="inlineStr">
        <is>
          <t>т</t>
        </is>
      </c>
      <c r="E45" s="297" t="n">
        <v>1048.912</v>
      </c>
      <c r="F45" s="347">
        <f>ROUND(I45/'Прил. 10'!$D$13,2)</f>
        <v/>
      </c>
      <c r="G45" s="228">
        <f>ROUND(E45*F45,2)</f>
        <v/>
      </c>
      <c r="H45" s="231">
        <f>G45/$G$53</f>
        <v/>
      </c>
      <c r="I45" s="228" t="n">
        <v>227108.49</v>
      </c>
      <c r="J45" s="228">
        <f>ROUND(I45*E45,2)</f>
        <v/>
      </c>
    </row>
    <row r="46" ht="14.25" customFormat="1" customHeight="1" s="310">
      <c r="A46" s="338" t="n"/>
      <c r="B46" s="239" t="n"/>
      <c r="C46" s="240" t="inlineStr">
        <is>
          <t>Итого основные материалы</t>
        </is>
      </c>
      <c r="D46" s="338" t="n"/>
      <c r="E46" s="298" t="n"/>
      <c r="F46" s="243" t="n"/>
      <c r="G46" s="243">
        <f>SUM(G44:G45)</f>
        <v/>
      </c>
      <c r="H46" s="231">
        <f>G46/$G$53</f>
        <v/>
      </c>
      <c r="I46" s="228" t="n"/>
      <c r="J46" s="243">
        <f>SUM(J44:J45)</f>
        <v/>
      </c>
    </row>
    <row r="47" outlineLevel="1" ht="25.5" customFormat="1" customHeight="1" s="310">
      <c r="A47" s="336" t="n">
        <v>18</v>
      </c>
      <c r="B47" s="336" t="inlineStr">
        <is>
          <t>Прайс из СД ОП</t>
        </is>
      </c>
      <c r="C47" s="345" t="inlineStr">
        <is>
          <t>Информационные знаки размером 600*900мм (номер опоры) весом 8.7кг</t>
        </is>
      </c>
      <c r="D47" s="336" t="inlineStr">
        <is>
          <t>шт</t>
        </is>
      </c>
      <c r="E47" s="297" t="n">
        <v>400</v>
      </c>
      <c r="F47" s="347" t="n">
        <v>1703</v>
      </c>
      <c r="G47" s="228">
        <f>ROUND(E47*F47,2)</f>
        <v/>
      </c>
      <c r="H47" s="231">
        <f>G47/$G$53</f>
        <v/>
      </c>
      <c r="I47" s="228">
        <f>ROUND(F47*'Прил. 10'!$D$13,2)</f>
        <v/>
      </c>
      <c r="J47" s="228">
        <f>ROUND(I47*E47,2)</f>
        <v/>
      </c>
    </row>
    <row r="48" outlineLevel="1" ht="38.25" customFormat="1" customHeight="1" s="310">
      <c r="A48" s="336" t="n">
        <v>19</v>
      </c>
      <c r="B48" s="336" t="inlineStr">
        <is>
          <t>14.4.02.04-0175</t>
        </is>
      </c>
      <c r="C48" s="345" t="inlineStr">
        <is>
          <t>Краска масляная готовая к применению для наружных и внутренних работ МА-15, сурик железный</t>
        </is>
      </c>
      <c r="D48" s="336" t="inlineStr">
        <is>
          <t>т</t>
        </is>
      </c>
      <c r="E48" s="297" t="n">
        <v>0.147213</v>
      </c>
      <c r="F48" s="347" t="n">
        <v>15584.15</v>
      </c>
      <c r="G48" s="228">
        <f>ROUND(E48*F48,2)</f>
        <v/>
      </c>
      <c r="H48" s="231">
        <f>G48/$G$53</f>
        <v/>
      </c>
      <c r="I48" s="228">
        <f>ROUND(F48*'Прил. 10'!$D$13,2)</f>
        <v/>
      </c>
      <c r="J48" s="228">
        <f>ROUND(I48*E48,2)</f>
        <v/>
      </c>
    </row>
    <row r="49" outlineLevel="1" ht="14.25" customFormat="1" customHeight="1" s="310">
      <c r="A49" s="336" t="n">
        <v>20</v>
      </c>
      <c r="B49" s="336" t="inlineStr">
        <is>
          <t>01.7.11.07-0036</t>
        </is>
      </c>
      <c r="C49" s="345" t="inlineStr">
        <is>
          <t>Электроды сварочные Э46, диаметр 4 мм</t>
        </is>
      </c>
      <c r="D49" s="336" t="inlineStr">
        <is>
          <t>кг</t>
        </is>
      </c>
      <c r="E49" s="297" t="n">
        <v>0.0778737</v>
      </c>
      <c r="F49" s="347" t="n">
        <v>16950.4</v>
      </c>
      <c r="G49" s="228">
        <f>ROUND(E49*F49,2)</f>
        <v/>
      </c>
      <c r="H49" s="231">
        <f>G49/$G$53</f>
        <v/>
      </c>
      <c r="I49" s="228">
        <f>ROUND(F49*'Прил. 10'!$D$13,2)</f>
        <v/>
      </c>
      <c r="J49" s="228">
        <f>ROUND(I49*E49,2)</f>
        <v/>
      </c>
    </row>
    <row r="50" outlineLevel="1" ht="51" customFormat="1" customHeight="1" s="310">
      <c r="A50" s="336" t="n">
        <v>21</v>
      </c>
      <c r="B50" s="336" t="inlineStr">
        <is>
          <t>14.5.05.01-0012</t>
        </is>
      </c>
      <c r="C50" s="345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50" s="336" t="inlineStr">
        <is>
          <t>т</t>
        </is>
      </c>
      <c r="E50" s="297" t="n">
        <v>88.54107999999999</v>
      </c>
      <c r="F50" s="347" t="n">
        <v>10.75</v>
      </c>
      <c r="G50" s="228">
        <f>ROUND(E50*F50,2)</f>
        <v/>
      </c>
      <c r="H50" s="231">
        <f>G50/$G$53</f>
        <v/>
      </c>
      <c r="I50" s="228">
        <f>ROUND(F50*'Прил. 10'!$D$13,2)</f>
        <v/>
      </c>
      <c r="J50" s="228">
        <f>ROUND(I50*E50,2)</f>
        <v/>
      </c>
    </row>
    <row r="51" outlineLevel="1" ht="25.5" customFormat="1" customHeight="1" s="310">
      <c r="A51" s="336" t="n">
        <v>22</v>
      </c>
      <c r="B51" s="336" t="inlineStr">
        <is>
          <t>08.1.02.11-0001</t>
        </is>
      </c>
      <c r="C51" s="345" t="inlineStr">
        <is>
          <t>Поковки из квадратных заготовок, масса 1,8 кг</t>
        </is>
      </c>
      <c r="D51" s="336" t="inlineStr">
        <is>
          <t>т</t>
        </is>
      </c>
      <c r="E51" s="297" t="n">
        <v>0.05664</v>
      </c>
      <c r="F51" s="347" t="n">
        <v>5989.05</v>
      </c>
      <c r="G51" s="228">
        <f>ROUND(E51*F51,2)</f>
        <v/>
      </c>
      <c r="H51" s="231">
        <f>G51/$G$53</f>
        <v/>
      </c>
      <c r="I51" s="228">
        <f>ROUND(F51*'Прил. 10'!$D$13,2)</f>
        <v/>
      </c>
      <c r="J51" s="228">
        <f>ROUND(I51*E51,2)</f>
        <v/>
      </c>
    </row>
    <row r="52" ht="14.25" customFormat="1" customHeight="1" s="310">
      <c r="A52" s="336" t="n"/>
      <c r="B52" s="336" t="n"/>
      <c r="C52" s="345" t="inlineStr">
        <is>
          <t>Итого прочие материалы</t>
        </is>
      </c>
      <c r="D52" s="336" t="n"/>
      <c r="E52" s="346" t="n"/>
      <c r="F52" s="347" t="n"/>
      <c r="G52" s="228">
        <f>SUM(G47:G51)</f>
        <v/>
      </c>
      <c r="H52" s="231">
        <f>G52/$G$53</f>
        <v/>
      </c>
      <c r="I52" s="228" t="n"/>
      <c r="J52" s="228">
        <f>SUM(J47:J51)</f>
        <v/>
      </c>
    </row>
    <row r="53" ht="14.25" customFormat="1" customHeight="1" s="310">
      <c r="A53" s="336" t="n"/>
      <c r="B53" s="336" t="n"/>
      <c r="C53" s="344" t="inlineStr">
        <is>
          <t>Итого по разделу «Материалы»</t>
        </is>
      </c>
      <c r="D53" s="336" t="n"/>
      <c r="E53" s="346" t="n"/>
      <c r="F53" s="347" t="n"/>
      <c r="G53" s="228">
        <f>G46+G52</f>
        <v/>
      </c>
      <c r="H53" s="348">
        <f>G53/$G$53</f>
        <v/>
      </c>
      <c r="I53" s="228" t="n"/>
      <c r="J53" s="228">
        <f>J46+J52</f>
        <v/>
      </c>
    </row>
    <row r="54" ht="14.25" customFormat="1" customHeight="1" s="310">
      <c r="A54" s="336" t="n"/>
      <c r="B54" s="336" t="n"/>
      <c r="C54" s="345" t="inlineStr">
        <is>
          <t>ИТОГО ПО РМ</t>
        </is>
      </c>
      <c r="D54" s="336" t="n"/>
      <c r="E54" s="346" t="n"/>
      <c r="F54" s="347" t="n"/>
      <c r="G54" s="228">
        <f>G15+G35+G53</f>
        <v/>
      </c>
      <c r="H54" s="348" t="n"/>
      <c r="I54" s="228" t="n"/>
      <c r="J54" s="228">
        <f>J15+J35+J53</f>
        <v/>
      </c>
    </row>
    <row r="55" ht="14.25" customFormat="1" customHeight="1" s="310">
      <c r="A55" s="336" t="n"/>
      <c r="B55" s="336" t="n"/>
      <c r="C55" s="345" t="inlineStr">
        <is>
          <t>Накладные расходы</t>
        </is>
      </c>
      <c r="D55" s="220">
        <f>ROUND(G55/(G$17+$G$15),2)</f>
        <v/>
      </c>
      <c r="E55" s="346" t="n"/>
      <c r="F55" s="347" t="n"/>
      <c r="G55" s="228" t="n">
        <v>875255.52</v>
      </c>
      <c r="H55" s="348" t="n"/>
      <c r="I55" s="228" t="n"/>
      <c r="J55" s="228">
        <f>ROUND(D55*(J15+J17),2)</f>
        <v/>
      </c>
    </row>
    <row r="56" ht="14.25" customFormat="1" customHeight="1" s="310">
      <c r="A56" s="336" t="n"/>
      <c r="B56" s="336" t="n"/>
      <c r="C56" s="345" t="inlineStr">
        <is>
          <t>Сметная прибыль</t>
        </is>
      </c>
      <c r="D56" s="220">
        <f>ROUND(G56/(G$15+G$17),2)</f>
        <v/>
      </c>
      <c r="E56" s="346" t="n"/>
      <c r="F56" s="347" t="n"/>
      <c r="G56" s="228" t="n">
        <v>510249.35</v>
      </c>
      <c r="H56" s="348" t="n"/>
      <c r="I56" s="228" t="n"/>
      <c r="J56" s="228">
        <f>ROUND(D56*(J15+J17),2)</f>
        <v/>
      </c>
    </row>
    <row r="57" ht="14.25" customFormat="1" customHeight="1" s="310">
      <c r="A57" s="336" t="n"/>
      <c r="B57" s="336" t="n"/>
      <c r="C57" s="345" t="inlineStr">
        <is>
          <t>Итого СМР (с НР и СП)</t>
        </is>
      </c>
      <c r="D57" s="336" t="n"/>
      <c r="E57" s="346" t="n"/>
      <c r="F57" s="347" t="n"/>
      <c r="G57" s="228">
        <f>G15+G35+G53+G55+G56</f>
        <v/>
      </c>
      <c r="H57" s="348" t="n"/>
      <c r="I57" s="228" t="n"/>
      <c r="J57" s="228">
        <f>J15+J35+J53+J55+J56</f>
        <v/>
      </c>
    </row>
    <row r="58" ht="14.25" customFormat="1" customHeight="1" s="310">
      <c r="A58" s="336" t="n"/>
      <c r="B58" s="336" t="n"/>
      <c r="C58" s="345" t="inlineStr">
        <is>
          <t>ВСЕГО СМР + ОБОРУДОВАНИЕ</t>
        </is>
      </c>
      <c r="D58" s="336" t="n"/>
      <c r="E58" s="346" t="n"/>
      <c r="F58" s="347" t="n"/>
      <c r="G58" s="228">
        <f>G57+G40</f>
        <v/>
      </c>
      <c r="H58" s="348" t="n"/>
      <c r="I58" s="228" t="n"/>
      <c r="J58" s="228">
        <f>J57+J40</f>
        <v/>
      </c>
    </row>
    <row r="59" ht="34.5" customFormat="1" customHeight="1" s="310">
      <c r="A59" s="336" t="n"/>
      <c r="B59" s="336" t="n"/>
      <c r="C59" s="345" t="inlineStr">
        <is>
          <t>ИТОГО ПОКАЗАТЕЛЬ НА ЕД. ИЗМ.</t>
        </is>
      </c>
      <c r="D59" s="336" t="inlineStr">
        <is>
          <t>км</t>
        </is>
      </c>
      <c r="E59" s="296" t="n">
        <v>66.42100000000001</v>
      </c>
      <c r="F59" s="347" t="n"/>
      <c r="G59" s="228">
        <f>G58/E59</f>
        <v/>
      </c>
      <c r="H59" s="348" t="n"/>
      <c r="I59" s="228" t="n"/>
      <c r="J59" s="228">
        <f>J58/E59</f>
        <v/>
      </c>
    </row>
    <row r="61" ht="14.25" customFormat="1" customHeight="1" s="310">
      <c r="A61" s="309" t="inlineStr">
        <is>
          <t>Составил ______________________    А.П. Николаева</t>
        </is>
      </c>
    </row>
    <row r="62" ht="14.25" customFormat="1" customHeight="1" s="310">
      <c r="A62" s="312" t="inlineStr">
        <is>
          <t xml:space="preserve">                         (подпись, инициалы, фамилия)</t>
        </is>
      </c>
    </row>
    <row r="63" ht="14.25" customFormat="1" customHeight="1" s="310">
      <c r="A63" s="309" t="n"/>
    </row>
    <row r="64" ht="14.25" customFormat="1" customHeight="1" s="310">
      <c r="A64" s="309" t="inlineStr">
        <is>
          <t>Проверил ______________________        А.В. Костянецкая</t>
        </is>
      </c>
    </row>
    <row r="65" ht="14.25" customFormat="1" customHeight="1" s="310">
      <c r="A65" s="3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4.4"/>
  <cols>
    <col width="5.6640625" customWidth="1" style="302" min="1" max="1"/>
    <col width="17.5546875" customWidth="1" style="302" min="2" max="2"/>
    <col width="39.109375" customWidth="1" style="302" min="3" max="3"/>
    <col width="10.6640625" customWidth="1" style="302" min="4" max="4"/>
    <col width="13.88671875" customWidth="1" style="302" min="5" max="5"/>
    <col width="13.33203125" customWidth="1" style="302" min="6" max="6"/>
    <col width="14.109375" customWidth="1" style="302" min="7" max="7"/>
  </cols>
  <sheetData>
    <row r="1">
      <c r="A1" s="353" t="inlineStr">
        <is>
          <t>Приложение №6</t>
        </is>
      </c>
    </row>
    <row r="2" ht="21.75" customHeight="1" s="302">
      <c r="A2" s="353" t="n"/>
      <c r="B2" s="353" t="n"/>
      <c r="C2" s="353" t="n"/>
      <c r="D2" s="353" t="n"/>
      <c r="E2" s="353" t="n"/>
      <c r="F2" s="353" t="n"/>
      <c r="G2" s="353" t="n"/>
    </row>
    <row r="3">
      <c r="A3" s="313" t="inlineStr">
        <is>
          <t>Расчет стоимости оборудования</t>
        </is>
      </c>
    </row>
    <row r="4" ht="25.5" customHeight="1" s="302">
      <c r="A4" s="316" t="inlineStr">
        <is>
          <t>Наименование разрабатываемого показателя УНЦ — Опоры ВЛ 0,4 - 750 кВ. Двухцепная, все типы опор за исключением многогранных 220 кВ.</t>
        </is>
      </c>
    </row>
    <row r="5">
      <c r="A5" s="309" t="n"/>
      <c r="B5" s="309" t="n"/>
      <c r="C5" s="309" t="n"/>
      <c r="D5" s="309" t="n"/>
      <c r="E5" s="309" t="n"/>
      <c r="F5" s="309" t="n"/>
      <c r="G5" s="309" t="n"/>
    </row>
    <row r="6" ht="30" customHeight="1" s="302">
      <c r="A6" s="358" t="inlineStr">
        <is>
          <t>№ пп.</t>
        </is>
      </c>
      <c r="B6" s="358" t="inlineStr">
        <is>
          <t>Код ресурса</t>
        </is>
      </c>
      <c r="C6" s="358" t="inlineStr">
        <is>
          <t>Наименование</t>
        </is>
      </c>
      <c r="D6" s="358" t="inlineStr">
        <is>
          <t>Ед. изм.</t>
        </is>
      </c>
      <c r="E6" s="336" t="inlineStr">
        <is>
          <t>Кол-во единиц по проектным данным</t>
        </is>
      </c>
      <c r="F6" s="358" t="inlineStr">
        <is>
          <t>Сметная стоимость в ценах на 01.01.2000 (руб.)</t>
        </is>
      </c>
      <c r="G6" s="405" t="n"/>
    </row>
    <row r="7">
      <c r="A7" s="407" t="n"/>
      <c r="B7" s="407" t="n"/>
      <c r="C7" s="407" t="n"/>
      <c r="D7" s="407" t="n"/>
      <c r="E7" s="407" t="n"/>
      <c r="F7" s="336" t="inlineStr">
        <is>
          <t>на ед. изм.</t>
        </is>
      </c>
      <c r="G7" s="336" t="inlineStr">
        <is>
          <t>общая</t>
        </is>
      </c>
    </row>
    <row r="8">
      <c r="A8" s="336" t="n">
        <v>1</v>
      </c>
      <c r="B8" s="336" t="n">
        <v>2</v>
      </c>
      <c r="C8" s="336" t="n">
        <v>3</v>
      </c>
      <c r="D8" s="336" t="n">
        <v>4</v>
      </c>
      <c r="E8" s="336" t="n">
        <v>5</v>
      </c>
      <c r="F8" s="336" t="n">
        <v>6</v>
      </c>
      <c r="G8" s="336" t="n">
        <v>7</v>
      </c>
    </row>
    <row r="9" ht="15" customHeight="1" s="302">
      <c r="A9" s="283" t="n"/>
      <c r="B9" s="345" t="inlineStr">
        <is>
          <t>ИНЖЕНЕРНОЕ ОБОРУДОВАНИЕ</t>
        </is>
      </c>
      <c r="C9" s="404" t="n"/>
      <c r="D9" s="404" t="n"/>
      <c r="E9" s="404" t="n"/>
      <c r="F9" s="404" t="n"/>
      <c r="G9" s="405" t="n"/>
    </row>
    <row r="10" ht="27" customHeight="1" s="302">
      <c r="A10" s="336" t="n"/>
      <c r="B10" s="344" t="n"/>
      <c r="C10" s="345" t="inlineStr">
        <is>
          <t>ИТОГО ИНЖЕНЕРНОЕ ОБОРУДОВАНИЕ</t>
        </is>
      </c>
      <c r="D10" s="344" t="n"/>
      <c r="E10" s="148" t="n"/>
      <c r="F10" s="347" t="n"/>
      <c r="G10" s="347" t="n">
        <v>0</v>
      </c>
    </row>
    <row r="11">
      <c r="A11" s="336" t="n"/>
      <c r="B11" s="345" t="inlineStr">
        <is>
          <t>ТЕХНОЛОГИЧЕСКОЕ ОБОРУДОВАНИЕ</t>
        </is>
      </c>
      <c r="C11" s="404" t="n"/>
      <c r="D11" s="404" t="n"/>
      <c r="E11" s="404" t="n"/>
      <c r="F11" s="404" t="n"/>
      <c r="G11" s="405" t="n"/>
    </row>
    <row r="12">
      <c r="A12" s="336" t="n">
        <v>1</v>
      </c>
      <c r="B12" s="345" t="n"/>
      <c r="C12" s="345" t="n"/>
      <c r="D12" s="336" t="n"/>
      <c r="E12" s="336" t="n"/>
      <c r="F12" s="347" t="n"/>
      <c r="G12" s="228" t="n"/>
    </row>
    <row r="13" ht="25.5" customHeight="1" s="302">
      <c r="A13" s="336" t="n"/>
      <c r="B13" s="345" t="n"/>
      <c r="C13" s="345" t="inlineStr">
        <is>
          <t>ИТОГО ТЕХНОЛОГИЧЕСКОЕ ОБОРУДОВАНИЕ</t>
        </is>
      </c>
      <c r="D13" s="345" t="n"/>
      <c r="E13" s="357" t="n"/>
      <c r="F13" s="347" t="n"/>
      <c r="G13" s="228">
        <f>SUM(G12:G12)</f>
        <v/>
      </c>
    </row>
    <row r="14" ht="19.5" customHeight="1" s="302">
      <c r="A14" s="336" t="n"/>
      <c r="B14" s="345" t="n"/>
      <c r="C14" s="345" t="inlineStr">
        <is>
          <t>Всего по разделу «Оборудование»</t>
        </is>
      </c>
      <c r="D14" s="345" t="n"/>
      <c r="E14" s="357" t="n"/>
      <c r="F14" s="347" t="n"/>
      <c r="G14" s="228">
        <f>G10+G13</f>
        <v/>
      </c>
    </row>
    <row r="15">
      <c r="A15" s="311" t="n"/>
      <c r="B15" s="151" t="n"/>
      <c r="C15" s="311" t="n"/>
      <c r="D15" s="311" t="n"/>
      <c r="E15" s="311" t="n"/>
      <c r="F15" s="311" t="n"/>
      <c r="G15" s="311" t="n"/>
    </row>
    <row r="16">
      <c r="A16" s="309" t="inlineStr">
        <is>
          <t>Составил ______________________    А.П. Николаева</t>
        </is>
      </c>
      <c r="B16" s="310" t="n"/>
      <c r="C16" s="310" t="n"/>
      <c r="D16" s="311" t="n"/>
      <c r="E16" s="311" t="n"/>
      <c r="F16" s="311" t="n"/>
      <c r="G16" s="311" t="n"/>
    </row>
    <row r="17">
      <c r="A17" s="312" t="inlineStr">
        <is>
          <t xml:space="preserve">                         (подпись, инициалы, фамилия)</t>
        </is>
      </c>
      <c r="B17" s="310" t="n"/>
      <c r="C17" s="310" t="n"/>
      <c r="D17" s="311" t="n"/>
      <c r="E17" s="311" t="n"/>
      <c r="F17" s="311" t="n"/>
      <c r="G17" s="311" t="n"/>
    </row>
    <row r="18">
      <c r="A18" s="309" t="n"/>
      <c r="B18" s="310" t="n"/>
      <c r="C18" s="310" t="n"/>
      <c r="D18" s="311" t="n"/>
      <c r="E18" s="311" t="n"/>
      <c r="F18" s="311" t="n"/>
      <c r="G18" s="311" t="n"/>
    </row>
    <row r="19">
      <c r="A19" s="309" t="inlineStr">
        <is>
          <t>Проверил ______________________        А.В. Костянецкая</t>
        </is>
      </c>
      <c r="B19" s="310" t="n"/>
      <c r="C19" s="310" t="n"/>
      <c r="D19" s="311" t="n"/>
      <c r="E19" s="311" t="n"/>
      <c r="F19" s="311" t="n"/>
      <c r="G19" s="311" t="n"/>
    </row>
    <row r="20">
      <c r="A20" s="312" t="inlineStr">
        <is>
          <t xml:space="preserve">                        (подпись, инициалы, фамилия)</t>
        </is>
      </c>
      <c r="B20" s="310" t="n"/>
      <c r="C20" s="310" t="n"/>
      <c r="D20" s="311" t="n"/>
      <c r="E20" s="311" t="n"/>
      <c r="F20" s="311" t="n"/>
      <c r="G20" s="3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topLeftCell="A4" workbookViewId="0">
      <selection activeCell="B12" sqref="B12"/>
    </sheetView>
  </sheetViews>
  <sheetFormatPr baseColWidth="8" defaultRowHeight="14.4"/>
  <cols>
    <col width="12.6640625" customWidth="1" style="302" min="1" max="1"/>
    <col width="22.44140625" customWidth="1" style="302" min="2" max="2"/>
    <col width="37.109375" customWidth="1" style="302" min="3" max="3"/>
    <col width="49" customWidth="1" style="302" min="4" max="4"/>
    <col width="9.109375" customWidth="1" style="302" min="5" max="5"/>
  </cols>
  <sheetData>
    <row r="1" ht="15.75" customHeight="1" s="302">
      <c r="A1" s="305" t="n"/>
      <c r="B1" s="305" t="n"/>
      <c r="C1" s="305" t="n"/>
      <c r="D1" s="305" t="inlineStr">
        <is>
          <t>Приложение №7</t>
        </is>
      </c>
    </row>
    <row r="2" ht="15.75" customHeight="1" s="302">
      <c r="A2" s="305" t="n"/>
      <c r="B2" s="305" t="n"/>
      <c r="C2" s="305" t="n"/>
      <c r="D2" s="305" t="n"/>
    </row>
    <row r="3" ht="15.75" customHeight="1" s="302">
      <c r="A3" s="305" t="n"/>
      <c r="B3" s="303" t="inlineStr">
        <is>
          <t>Расчет показателя УНЦ</t>
        </is>
      </c>
      <c r="C3" s="305" t="n"/>
      <c r="D3" s="305" t="n"/>
    </row>
    <row r="4" ht="15.75" customHeight="1" s="302">
      <c r="A4" s="305" t="n"/>
      <c r="B4" s="305" t="n"/>
      <c r="C4" s="305" t="n"/>
      <c r="D4" s="305" t="n"/>
    </row>
    <row r="5" ht="31.5" customHeight="1" s="302">
      <c r="A5" s="359" t="inlineStr">
        <is>
          <t xml:space="preserve">Наименование разрабатываемого показателя УНЦ - </t>
        </is>
      </c>
      <c r="D5" s="359">
        <f>'Прил.5 Расчет СМР и ОБ'!D6:J6</f>
        <v/>
      </c>
    </row>
    <row r="6" ht="15.75" customHeight="1" s="302">
      <c r="A6" s="305" t="inlineStr">
        <is>
          <t>Единица измерения  — 1 км</t>
        </is>
      </c>
      <c r="B6" s="305" t="n"/>
      <c r="C6" s="305" t="n"/>
      <c r="D6" s="305" t="n"/>
    </row>
    <row r="7" ht="15.75" customHeight="1" s="302">
      <c r="A7" s="305" t="n"/>
      <c r="B7" s="305" t="n"/>
      <c r="C7" s="305" t="n"/>
      <c r="D7" s="305" t="n"/>
    </row>
    <row r="8">
      <c r="A8" s="327" t="inlineStr">
        <is>
          <t>Код показателя</t>
        </is>
      </c>
      <c r="B8" s="327" t="inlineStr">
        <is>
          <t>Наименование показателя</t>
        </is>
      </c>
      <c r="C8" s="327" t="inlineStr">
        <is>
          <t>Наименование РМ, входящих в состав показателя</t>
        </is>
      </c>
      <c r="D8" s="327" t="inlineStr">
        <is>
          <t>Норматив цены на 01.01.2023, тыс.руб.</t>
        </is>
      </c>
    </row>
    <row r="9">
      <c r="A9" s="407" t="n"/>
      <c r="B9" s="407" t="n"/>
      <c r="C9" s="407" t="n"/>
      <c r="D9" s="407" t="n"/>
    </row>
    <row r="10" ht="15.75" customHeight="1" s="302">
      <c r="A10" s="327" t="n">
        <v>1</v>
      </c>
      <c r="B10" s="327" t="n">
        <v>2</v>
      </c>
      <c r="C10" s="327" t="n">
        <v>3</v>
      </c>
      <c r="D10" s="327" t="n">
        <v>4</v>
      </c>
    </row>
    <row r="11" ht="63" customHeight="1" s="302">
      <c r="A11" s="327" t="inlineStr">
        <is>
          <t>Л3-05-2</t>
        </is>
      </c>
      <c r="B11" s="327" t="inlineStr">
        <is>
          <t xml:space="preserve">УНЦ опор ВЛ 0,4 - 750 кВ </t>
        </is>
      </c>
      <c r="C11" s="307">
        <f>D5</f>
        <v/>
      </c>
      <c r="D11" s="308">
        <f>'Прил.4 РМ'!C41/1000</f>
        <v/>
      </c>
    </row>
    <row r="13">
      <c r="A13" s="309" t="inlineStr">
        <is>
          <t>Составил ______________________    А.П. Николаева</t>
        </is>
      </c>
      <c r="B13" s="310" t="n"/>
      <c r="C13" s="310" t="n"/>
      <c r="D13" s="311" t="n"/>
    </row>
    <row r="14">
      <c r="A14" s="312" t="inlineStr">
        <is>
          <t xml:space="preserve">                         (подпись, инициалы, фамилия)</t>
        </is>
      </c>
      <c r="B14" s="310" t="n"/>
      <c r="C14" s="310" t="n"/>
      <c r="D14" s="311" t="n"/>
    </row>
    <row r="15">
      <c r="A15" s="309" t="n"/>
      <c r="B15" s="310" t="n"/>
      <c r="C15" s="310" t="n"/>
      <c r="D15" s="311" t="n"/>
    </row>
    <row r="16">
      <c r="A16" s="309" t="inlineStr">
        <is>
          <t>Проверил ______________________        А.В. Костянецкая</t>
        </is>
      </c>
      <c r="B16" s="310" t="n"/>
      <c r="C16" s="310" t="n"/>
      <c r="D16" s="311" t="n"/>
    </row>
    <row r="17" ht="20.25" customHeight="1" s="302">
      <c r="A17" s="312" t="inlineStr">
        <is>
          <t xml:space="preserve">                        (подпись, инициалы, фамилия)</t>
        </is>
      </c>
      <c r="B17" s="310" t="n"/>
      <c r="C17" s="310" t="n"/>
      <c r="D17" s="3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zoomScale="60" zoomScaleNormal="85" workbookViewId="0">
      <selection activeCell="C16" sqref="C16"/>
    </sheetView>
  </sheetViews>
  <sheetFormatPr baseColWidth="8" defaultRowHeight="14.4"/>
  <cols>
    <col width="9.109375" customWidth="1" style="302" min="1" max="1"/>
    <col width="40.6640625" customWidth="1" style="302" min="2" max="2"/>
    <col width="37" customWidth="1" style="302" min="3" max="3"/>
    <col width="32" customWidth="1" style="302" min="4" max="4"/>
    <col width="9.109375" customWidth="1" style="302" min="5" max="5"/>
  </cols>
  <sheetData>
    <row r="4" ht="15.75" customHeight="1" s="302">
      <c r="B4" s="320" t="inlineStr">
        <is>
          <t>Приложение № 10</t>
        </is>
      </c>
    </row>
    <row r="5" ht="18.75" customHeight="1" s="302">
      <c r="B5" s="189" t="n"/>
    </row>
    <row r="6" ht="15.75" customHeight="1" s="302">
      <c r="B6" s="321" t="inlineStr">
        <is>
          <t>Используемые индексы изменений сметной стоимости и нормы сопутствующих затрат</t>
        </is>
      </c>
    </row>
    <row r="7">
      <c r="B7" s="360" t="n"/>
    </row>
    <row r="8">
      <c r="B8" s="360" t="n"/>
      <c r="C8" s="360" t="n"/>
      <c r="D8" s="360" t="n"/>
      <c r="E8" s="360" t="n"/>
    </row>
    <row r="9" ht="47.25" customHeight="1" s="302">
      <c r="B9" s="327" t="inlineStr">
        <is>
          <t>Наименование индекса / норм сопутствующих затрат</t>
        </is>
      </c>
      <c r="C9" s="327" t="inlineStr">
        <is>
          <t>Дата применения и обоснование индекса / норм сопутствующих затрат</t>
        </is>
      </c>
      <c r="D9" s="327" t="inlineStr">
        <is>
          <t>Размер индекса / норма сопутствующих затрат</t>
        </is>
      </c>
    </row>
    <row r="10" ht="15.75" customHeight="1" s="302">
      <c r="B10" s="327" t="n">
        <v>1</v>
      </c>
      <c r="C10" s="327" t="n">
        <v>2</v>
      </c>
      <c r="D10" s="327" t="n">
        <v>3</v>
      </c>
    </row>
    <row r="11" ht="45" customHeight="1" s="302">
      <c r="B11" s="327" t="inlineStr">
        <is>
          <t xml:space="preserve">Индекс изменения сметной стоимости на 1 квартал 2023 года. ОЗП </t>
        </is>
      </c>
      <c r="C11" s="327" t="inlineStr">
        <is>
          <t>Письмо Минстроя России от 01.04.2023г. №17772-ИФ/09 прил.9</t>
        </is>
      </c>
      <c r="D11" s="327" t="n">
        <v>46.83</v>
      </c>
    </row>
    <row r="12" ht="29.25" customHeight="1" s="302">
      <c r="B12" s="327" t="inlineStr">
        <is>
          <t>Индекс изменения сметной стоимости на 1 квартал 2023 года. ЭМ</t>
        </is>
      </c>
      <c r="C12" s="327" t="inlineStr">
        <is>
          <t>Письмо Минстроя России от 01.04.2023г. №17772-ИФ/09 прил.9</t>
        </is>
      </c>
      <c r="D12" s="327" t="n">
        <v>11.96</v>
      </c>
    </row>
    <row r="13" ht="29.25" customHeight="1" s="302">
      <c r="B13" s="327" t="inlineStr">
        <is>
          <t>Индекс изменения сметной стоимости на 1 квартал 2023 года. МАТ</t>
        </is>
      </c>
      <c r="C13" s="327" t="inlineStr">
        <is>
          <t>Письмо Минстроя России от 01.04.2023г. №17772-ИФ/09 прил.9</t>
        </is>
      </c>
      <c r="D13" s="327" t="n">
        <v>9.84</v>
      </c>
    </row>
    <row r="14" ht="30.75" customHeight="1" s="302">
      <c r="B14" s="32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27" t="n">
        <v>6.26</v>
      </c>
    </row>
    <row r="15" ht="89.25" customHeight="1" s="302">
      <c r="B15" s="327" t="inlineStr">
        <is>
          <t>Временные здания и сооружения</t>
        </is>
      </c>
      <c r="C15" s="32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0.033</v>
      </c>
    </row>
    <row r="16" ht="78.75" customHeight="1" s="302">
      <c r="B16" s="327" t="inlineStr">
        <is>
          <t>Дополнительные затраты при производстве строительно-монтажных работ в зимнее время</t>
        </is>
      </c>
      <c r="C16" s="327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</v>
      </c>
    </row>
    <row r="17" ht="34.5" customHeight="1" s="302">
      <c r="B17" s="327" t="n"/>
      <c r="C17" s="327" t="n"/>
      <c r="D17" s="327" t="n"/>
    </row>
    <row r="18" ht="31.5" customHeight="1" s="302">
      <c r="B18" s="327" t="inlineStr">
        <is>
          <t>Строительный контроль</t>
        </is>
      </c>
      <c r="C18" s="327" t="inlineStr">
        <is>
          <t>Постановление Правительства РФ от 21.06.10 г. № 468</t>
        </is>
      </c>
      <c r="D18" s="192" t="n">
        <v>0.0214</v>
      </c>
    </row>
    <row r="19" ht="31.5" customHeight="1" s="302">
      <c r="B19" s="327" t="inlineStr">
        <is>
          <t>Авторский надзор - 0,2%</t>
        </is>
      </c>
      <c r="C19" s="327" t="inlineStr">
        <is>
          <t>Приказ от 4.08.2020 № 421/пр п.173</t>
        </is>
      </c>
      <c r="D19" s="192" t="n">
        <v>0.002</v>
      </c>
    </row>
    <row r="20" ht="24" customHeight="1" s="302">
      <c r="B20" s="327" t="inlineStr">
        <is>
          <t>Непредвиденные расходы</t>
        </is>
      </c>
      <c r="C20" s="327" t="inlineStr">
        <is>
          <t>Приказ от 4.08.2020 № 421/пр п.179</t>
        </is>
      </c>
      <c r="D20" s="192" t="n">
        <v>0.03</v>
      </c>
    </row>
    <row r="21" ht="18.75" customHeight="1" s="302">
      <c r="B21" s="190" t="n"/>
    </row>
    <row r="22" ht="18.75" customHeight="1" s="302">
      <c r="B22" s="190" t="n"/>
    </row>
    <row r="23" ht="18.75" customHeight="1" s="302">
      <c r="B23" s="190" t="n"/>
    </row>
    <row r="24" ht="18.75" customHeight="1" s="302">
      <c r="B24" s="190" t="n"/>
    </row>
    <row r="27">
      <c r="B27" s="309" t="inlineStr">
        <is>
          <t>Составил ______________________        Е.А. Князева</t>
        </is>
      </c>
      <c r="C27" s="310" t="n"/>
    </row>
    <row r="28">
      <c r="B28" s="312" t="inlineStr">
        <is>
          <t xml:space="preserve">                         (подпись, инициалы, фамилия)</t>
        </is>
      </c>
      <c r="C28" s="310" t="n"/>
    </row>
    <row r="29">
      <c r="B29" s="309" t="n"/>
      <c r="C29" s="310" t="n"/>
    </row>
    <row r="30">
      <c r="B30" s="309" t="inlineStr">
        <is>
          <t>Проверил ______________________        А.В. Костянецкая</t>
        </is>
      </c>
      <c r="C30" s="310" t="n"/>
    </row>
    <row r="31">
      <c r="B31" s="312" t="inlineStr">
        <is>
          <t xml:space="preserve">                        (подпись, инициалы, фамилия)</t>
        </is>
      </c>
      <c r="C31" s="3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16" sqref="C16"/>
    </sheetView>
  </sheetViews>
  <sheetFormatPr baseColWidth="8" defaultRowHeight="14.4"/>
  <cols>
    <col width="9.109375" customWidth="1" style="302" min="1" max="1"/>
    <col width="44.88671875" customWidth="1" style="302" min="2" max="2"/>
    <col width="13" customWidth="1" style="302" min="3" max="3"/>
    <col width="22.88671875" customWidth="1" style="302" min="4" max="4"/>
    <col width="21.5546875" customWidth="1" style="302" min="5" max="5"/>
    <col width="43.88671875" customWidth="1" style="302" min="6" max="6"/>
    <col width="9.109375" customWidth="1" style="302" min="7" max="7"/>
  </cols>
  <sheetData>
    <row r="2" ht="17.25" customHeight="1" s="302">
      <c r="A2" s="3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2">
      <c r="A4" s="173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75" customHeight="1" s="302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05" t="n"/>
    </row>
    <row r="6" ht="15.75" customHeight="1" s="302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05" t="n"/>
    </row>
    <row r="7" ht="110.25" customHeight="1" s="302">
      <c r="A7" s="176" t="inlineStr">
        <is>
          <t>1.1</t>
        </is>
      </c>
      <c r="B7" s="2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7" t="inlineStr">
        <is>
          <t>С1ср</t>
        </is>
      </c>
      <c r="D7" s="327" t="inlineStr">
        <is>
          <t>-</t>
        </is>
      </c>
      <c r="E7" s="308" t="n">
        <v>47872.94</v>
      </c>
      <c r="F7" s="2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5" customHeight="1" s="302">
      <c r="A8" s="176" t="inlineStr">
        <is>
          <t>1.2</t>
        </is>
      </c>
      <c r="B8" s="279" t="inlineStr">
        <is>
          <t>Среднегодовое нормативное число часов работы одного рабочего в месяц, часы (ч.)</t>
        </is>
      </c>
      <c r="C8" s="327" t="inlineStr">
        <is>
          <t>tср</t>
        </is>
      </c>
      <c r="D8" s="327" t="inlineStr">
        <is>
          <t>1973ч/12мес.</t>
        </is>
      </c>
      <c r="E8" s="308">
        <f>1973/12</f>
        <v/>
      </c>
      <c r="F8" s="279" t="inlineStr">
        <is>
          <t>Производственный календарь 2023 год
(40-часов.неделя)</t>
        </is>
      </c>
      <c r="G8" s="182" t="n"/>
    </row>
    <row r="9" ht="15.75" customHeight="1" s="302">
      <c r="A9" s="176" t="inlineStr">
        <is>
          <t>1.3</t>
        </is>
      </c>
      <c r="B9" s="279" t="inlineStr">
        <is>
          <t>Коэффициент увеличения</t>
        </is>
      </c>
      <c r="C9" s="327" t="inlineStr">
        <is>
          <t>Кув</t>
        </is>
      </c>
      <c r="D9" s="327" t="inlineStr">
        <is>
          <t>-</t>
        </is>
      </c>
      <c r="E9" s="308" t="n">
        <v>1</v>
      </c>
      <c r="F9" s="279" t="n"/>
      <c r="G9" s="182" t="n"/>
    </row>
    <row r="10" ht="15.75" customHeight="1" s="302">
      <c r="A10" s="176" t="inlineStr">
        <is>
          <t>1.4</t>
        </is>
      </c>
      <c r="B10" s="279" t="inlineStr">
        <is>
          <t>Средний разряд работ</t>
        </is>
      </c>
      <c r="C10" s="327" t="n"/>
      <c r="D10" s="327" t="n"/>
      <c r="E10" s="183" t="n">
        <v>4.1</v>
      </c>
      <c r="F10" s="279" t="inlineStr">
        <is>
          <t>РТМ</t>
        </is>
      </c>
      <c r="G10" s="182" t="n"/>
    </row>
    <row r="11" ht="78.75" customHeight="1" s="302">
      <c r="A11" s="176" t="inlineStr">
        <is>
          <t>1.5</t>
        </is>
      </c>
      <c r="B11" s="279" t="inlineStr">
        <is>
          <t>Тарифный коэффициент среднего разряда работ</t>
        </is>
      </c>
      <c r="C11" s="327" t="inlineStr">
        <is>
          <t>КТ</t>
        </is>
      </c>
      <c r="D11" s="327" t="inlineStr">
        <is>
          <t>-</t>
        </is>
      </c>
      <c r="E11" s="294" t="n">
        <v>1.359</v>
      </c>
      <c r="F11" s="2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.75" customHeight="1" s="302">
      <c r="A12" s="176" t="inlineStr">
        <is>
          <t>1.6</t>
        </is>
      </c>
      <c r="B12" s="251" t="inlineStr">
        <is>
          <t>Коэффициент инфляции, определяемый поквартально</t>
        </is>
      </c>
      <c r="C12" s="327" t="inlineStr">
        <is>
          <t>Кинф</t>
        </is>
      </c>
      <c r="D12" s="327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2">
      <c r="A13" s="176" t="inlineStr">
        <is>
          <t>1.7</t>
        </is>
      </c>
      <c r="B13" s="259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188">
        <f>((E7*E9/E8)*E11)*E12</f>
        <v/>
      </c>
      <c r="F13" s="2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2025-01-24T12:10:06Z</dcterms:modified>
  <cp:lastModifiedBy>user1</cp:lastModifiedBy>
</cp:coreProperties>
</file>