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3040" windowHeight="8472" tabRatio="924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IF(Прил.7!n_3=1,Прил.7!n_2,Прил.7!n_3&amp;Прил.7!n_1)</definedName>
    <definedName name="n1x">IF(Прил.7!n_3=1,Прил.7!n_2,Прил.7!n_3&amp;Прил.7!n_5)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стоим'!$A$1:$J$26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3'!$10:$12</definedName>
    <definedName name="_xlnm.Print_Area" localSheetId="2">'Прил. 3'!$A$1:$H$41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ОБ'!$A$1:$J$64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xlnm.Primt_Area_3" localSheetId="6">#REF!</definedName>
    <definedName name="__qs2" localSheetId="6">#REF!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iii" localSheetId="6">#REF!</definedName>
    <definedName name="Itog" localSheetId="6">#REF!</definedName>
    <definedName name="jkjhggh" localSheetId="6">#REF!</definedName>
    <definedName name="KPlan" localSheetId="6">#REF!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5" localSheetId="6">{"","однаz","двеz","триz","четыреz","пятьz","шестьz","семьz","восемьz","девятьz"}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USA_1" localSheetId="6">#REF!</definedName>
    <definedName name="v" localSheetId="6">#REF!</definedName>
    <definedName name="w" localSheetId="6">#REF!</definedName>
    <definedName name="xh" localSheetId="6">#REF!</definedName>
    <definedName name="А10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нкурс" localSheetId="6">#REF!</definedName>
    <definedName name="Контроллер_1" localSheetId="6">#REF!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дия_проектирования" localSheetId="6">#REF!</definedName>
    <definedName name="Стоимость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ьбю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__wrn2" localSheetId="8">{"'ФОТр.тек.'!glc1",#N/A,FALSE,"GLC";"'ФОТр.тек.'!glc2",#N/A,FALSE,"GLC";"'ФОТр.тек.'!glc3",#N/A,FALSE,"GLC";"'ФОТр.тек.'!glc4",#N/A,FALSE,"GLC";"'ФОТр.тек.'!glc5",#N/A,FALSE,"GLC"}</definedName>
    <definedName name="___wrn222" localSheetId="8">{"'ФОТр.тек.'!glc1",#N/A,FALSE,"GLC";"'ФОТр.тек.'!glc2",#N/A,FALSE,"GLC";"'ФОТр.тек.'!glc3",#N/A,FALSE,"GLC";"'ФОТр.тек.'!glc4",#N/A,FALSE,"GLC";"'ФОТр.тек.'!glc5",#N/A,FALSE,"GLC"}</definedName>
    <definedName name="__wrn2" localSheetId="8">{"'ФОТр.тек.'!glc1",#N/A,FALSE,"GLC";"'ФОТр.тек.'!glc2",#N/A,FALSE,"GLC";"'ФОТр.тек.'!glc3",#N/A,FALSE,"GLC";"'ФОТр.тек.'!glc4",#N/A,FALSE,"GLC";"'ФОТр.тек.'!glc5",#N/A,FALSE,"GLC"}</definedName>
    <definedName name="__wrn222" localSheetId="8">{"'ФОТр.тек.'!glc1",#N/A,FALSE,"GLC";"'ФОТр.тек.'!glc2",#N/A,FALSE,"GLC";"'ФОТр.тек.'!glc3",#N/A,FALSE,"GLC";"'ФОТр.тек.'!glc4",#N/A,FALSE,"GLC";"'ФОТр.тек.'!glc5",#N/A,FALSE,"GLC"}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_wrn2" localSheetId="8">{"'ФОТр.тек.'!glc1",#N/A,FALSE,"GLC";"'ФОТр.тек.'!glc2",#N/A,FALSE,"GLC";"'ФОТр.тек.'!glc3",#N/A,FALSE,"GLC";"'ФОТр.тек.'!glc4",#N/A,FALSE,"GLC";"'ФОТр.тек.'!glc5",#N/A,FALSE,"GLC"}</definedName>
    <definedName name="_wrn222" localSheetId="8">{"'ФОТр.тек.'!glc1",#N/A,FALSE,"GLC";"'ФОТр.тек.'!glc2",#N/A,FALSE,"GLC";"'ФОТр.тек.'!glc3",#N/A,FALSE,"GLC";"'ФОТр.тек.'!glc4",#N/A,FALSE,"GLC";"'ФОТр.тек.'!glc5",#N/A,FALSE,"GLC"}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" localSheetId="8">{"'ФОТр.тек.'!glc1",#N/A,FALSE,"GLC";"'ФОТр.тек.'!glc2",#N/A,FALSE,"GLC";"'ФОТр.тек.'!glc3",#N/A,FALSE,"GLC";"'ФОТр.тек.'!glc4",#N/A,FALSE,"GLC";"'ФОТр.тек.'!glc5",#N/A,FALSE,"GLC"}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glcpromonte." localSheetId="8">{"'ФОТр.тек.'!glc1",#N/A,FALSE,"GLC";"'ФОТр.тек.'!glc2",#N/A,FALSE,"GLC";"'ФОТр.тек.'!glc3",#N/A,FALSE,"GLC";"'ФОТр.тек.'!glc4",#N/A,FALSE,"GLC";"'ФОТр.тек.'!glc5",#N/A,FALSE,"GLC"}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8">
    <numFmt numFmtId="164" formatCode="_-* #,##0\ _₽_-;\-* #,##0\ _₽_-;_-* &quot;-&quot;??\ _₽_-;_-@_-"/>
    <numFmt numFmtId="165" formatCode="_-* #,##0.00_-;\-* #,##0.00_-;_-* &quot;-&quot;??_-;_-@_-"/>
    <numFmt numFmtId="166" formatCode="#,##0.0"/>
    <numFmt numFmtId="167" formatCode="0.0000"/>
    <numFmt numFmtId="168" formatCode="#,##0.0000"/>
    <numFmt numFmtId="169" formatCode="0.0"/>
    <numFmt numFmtId="170" formatCode="#,##0.000"/>
    <numFmt numFmtId="171" formatCode="0.000"/>
  </numFmts>
  <fonts count="29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11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165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7" fillId="0" borderId="0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7" fontId="16" fillId="4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0" fontId="18" fillId="0" borderId="1" applyAlignment="1" pivotButton="0" quotePrefix="0" xfId="0">
      <alignment vertical="center" wrapText="1"/>
    </xf>
    <xf numFmtId="4" fontId="18" fillId="0" borderId="1" applyAlignment="1" pivotButton="0" quotePrefix="0" xfId="0">
      <alignment horizontal="center" vertical="center"/>
    </xf>
    <xf numFmtId="0" fontId="19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8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7" fontId="1" fillId="0" borderId="1" applyAlignment="1" pivotButton="0" quotePrefix="0" xfId="0">
      <alignment horizontal="center" vertical="center" wrapText="1"/>
    </xf>
    <xf numFmtId="10" fontId="20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168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21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21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right"/>
    </xf>
    <xf numFmtId="0" fontId="18" fillId="0" borderId="1" applyAlignment="1" pivotButton="0" quotePrefix="0" xfId="0">
      <alignment vertical="center" wrapText="1"/>
    </xf>
    <xf numFmtId="0" fontId="16" fillId="0" borderId="1" applyAlignment="1" pivotButton="0" quotePrefix="0" xfId="0">
      <alignment horizontal="right" vertical="center"/>
    </xf>
    <xf numFmtId="0" fontId="16" fillId="0" borderId="0" applyAlignment="1" pivotButton="0" quotePrefix="0" xfId="0">
      <alignment horizontal="left" vertical="center"/>
    </xf>
    <xf numFmtId="4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8" fillId="0" borderId="0" pivotButton="0" quotePrefix="0" xfId="0"/>
    <xf numFmtId="4" fontId="18" fillId="0" borderId="1" applyAlignment="1" pivotButton="0" quotePrefix="0" xfId="0">
      <alignment vertical="top"/>
    </xf>
    <xf numFmtId="0" fontId="18" fillId="0" borderId="1" applyAlignment="1" pivotButton="0" quotePrefix="0" xfId="0">
      <alignment vertical="top"/>
    </xf>
    <xf numFmtId="49" fontId="16" fillId="0" borderId="1" applyAlignment="1" pivotButton="0" quotePrefix="0" xfId="0">
      <alignment horizontal="center" vertical="top" wrapText="1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2" fontId="16" fillId="0" borderId="1" applyAlignment="1" pivotButton="0" quotePrefix="0" xfId="0">
      <alignment horizontal="right" vertical="center"/>
    </xf>
    <xf numFmtId="2" fontId="18" fillId="0" borderId="1" applyAlignment="1" pivotButton="0" quotePrefix="0" xfId="0">
      <alignment vertical="center" wrapText="1"/>
    </xf>
    <xf numFmtId="2" fontId="16" fillId="0" borderId="1" applyAlignment="1" pivotButton="0" quotePrefix="0" xfId="0">
      <alignment horizontal="right" vertical="center" wrapText="1"/>
    </xf>
    <xf numFmtId="2" fontId="16" fillId="0" borderId="1" applyAlignment="1" pivotButton="0" quotePrefix="0" xfId="0">
      <alignment vertical="center" wrapText="1"/>
    </xf>
    <xf numFmtId="49" fontId="16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4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vertical="center" wrapText="1"/>
    </xf>
    <xf numFmtId="0" fontId="16" fillId="0" borderId="1" applyAlignment="1" pivotButton="0" quotePrefix="0" xfId="0">
      <alignment horizontal="left" vertical="center" wrapText="1"/>
    </xf>
    <xf numFmtId="169" fontId="1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165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16" fillId="0" borderId="0" pivotButton="0" quotePrefix="0" xfId="0"/>
    <xf numFmtId="170" fontId="16" fillId="0" borderId="1" applyAlignment="1" pivotButton="0" quotePrefix="0" xfId="0">
      <alignment horizontal="center" vertical="center"/>
    </xf>
    <xf numFmtId="10" fontId="0" fillId="0" borderId="0" pivotButton="0" quotePrefix="0" xfId="0"/>
    <xf numFmtId="171" fontId="1" fillId="0" borderId="1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167" fontId="1" fillId="0" borderId="4" applyAlignment="1" pivotButton="0" quotePrefix="0" xfId="0">
      <alignment horizontal="center" vertical="center" wrapText="1"/>
    </xf>
    <xf numFmtId="49" fontId="16" fillId="0" borderId="1" applyAlignment="1" pivotButton="0" quotePrefix="0" xfId="0">
      <alignment horizontal="left" vertical="center" wrapText="1"/>
    </xf>
    <xf numFmtId="0" fontId="1" fillId="4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18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center"/>
    </xf>
    <xf numFmtId="0" fontId="22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8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0" fontId="16" fillId="0" borderId="5" applyAlignment="1" pivotButton="0" quotePrefix="0" xfId="0">
      <alignment horizontal="center" vertical="center" wrapText="1"/>
    </xf>
    <xf numFmtId="0" fontId="16" fillId="0" borderId="4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/>
    </xf>
    <xf numFmtId="0" fontId="16" fillId="0" borderId="4" applyAlignment="1" pivotButton="0" quotePrefix="0" xfId="0">
      <alignment horizontal="center" vertical="center"/>
    </xf>
    <xf numFmtId="0" fontId="18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4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1" pivotButton="0" quotePrefix="0" xfId="0"/>
    <xf numFmtId="0" fontId="0" fillId="0" borderId="12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4">
    <outlinePr summaryBelow="1" summaryRight="1"/>
    <pageSetUpPr fitToPage="1"/>
  </sheetPr>
  <dimension ref="B3:G32"/>
  <sheetViews>
    <sheetView tabSelected="1" view="pageBreakPreview" topLeftCell="A19" zoomScale="70" zoomScaleNormal="55" workbookViewId="0">
      <selection activeCell="C28" sqref="C28"/>
    </sheetView>
  </sheetViews>
  <sheetFormatPr baseColWidth="8" defaultColWidth="9.109375" defaultRowHeight="15.6"/>
  <cols>
    <col width="9.109375" customWidth="1" style="299" min="1" max="2"/>
    <col width="36.88671875" customWidth="1" style="299" min="3" max="3"/>
    <col width="36.5546875" customWidth="1" style="299" min="4" max="6"/>
    <col width="37.44140625" customWidth="1" style="299" min="7" max="7"/>
    <col width="9.109375" customWidth="1" style="299" min="8" max="8"/>
  </cols>
  <sheetData>
    <row r="3">
      <c r="B3" s="317" t="inlineStr">
        <is>
          <t>Приложение № 1</t>
        </is>
      </c>
    </row>
    <row r="4">
      <c r="B4" s="318" t="inlineStr">
        <is>
          <t>Сравнительная таблица отбора объекта-представителя</t>
        </is>
      </c>
    </row>
    <row r="5">
      <c r="B5" s="255" t="n"/>
      <c r="C5" s="255" t="n"/>
      <c r="D5" s="255" t="n"/>
      <c r="E5" s="255" t="n"/>
      <c r="F5" s="255" t="n"/>
    </row>
    <row r="6">
      <c r="B6" s="255" t="n"/>
      <c r="C6" s="255" t="n"/>
      <c r="D6" s="255" t="n"/>
      <c r="E6" s="255" t="n"/>
      <c r="F6" s="255" t="n"/>
    </row>
    <row r="7">
      <c r="B7" s="319" t="inlineStr">
        <is>
          <t>Наименование разрабатываемого показателя УНЦ — Опоры ВЛ 0,4 - 750 кВ. Одноцепная, все типы опор за исключением многогранных 330 кВ.</t>
        </is>
      </c>
      <c r="G7" s="254" t="n"/>
    </row>
    <row r="8" ht="31.5" customHeight="1" s="300">
      <c r="B8" s="319" t="inlineStr">
        <is>
          <t>Сопоставимый уровень цен: 2 кв 2021</t>
        </is>
      </c>
    </row>
    <row r="9">
      <c r="B9" s="319" t="inlineStr">
        <is>
          <t>Единица измерения  — 1 км</t>
        </is>
      </c>
      <c r="G9" s="254" t="n"/>
    </row>
    <row r="10">
      <c r="B10" s="319" t="n"/>
    </row>
    <row r="11">
      <c r="B11" s="324" t="inlineStr">
        <is>
          <t>№ п/п</t>
        </is>
      </c>
      <c r="C11" s="324" t="inlineStr">
        <is>
          <t>Параметр</t>
        </is>
      </c>
      <c r="D11" s="249" t="inlineStr">
        <is>
          <t>Объект-представитель 1</t>
        </is>
      </c>
      <c r="E11" s="249" t="inlineStr">
        <is>
          <t>Объект-представитель 2</t>
        </is>
      </c>
      <c r="F11" s="249" t="inlineStr">
        <is>
          <t>Объект-представитель 3</t>
        </is>
      </c>
      <c r="G11" s="254" t="n"/>
    </row>
    <row r="12" ht="291" customHeight="1" s="300">
      <c r="B12" s="324" t="n">
        <v>1</v>
      </c>
      <c r="C12" s="249" t="inlineStr">
        <is>
          <t>Наименование объекта-представителя</t>
        </is>
      </c>
      <c r="D12" s="249" t="inlineStr">
        <is>
          <t>Строительство ВЛ 330 кВ Ондская ГЭС - ПС 330 кВ Петрозаводская ориентировочной протяженностью 278 км</t>
        </is>
      </c>
      <c r="E12" s="249" t="n"/>
      <c r="F12" s="249" t="n"/>
    </row>
    <row r="13" ht="31.5" customHeight="1" s="300">
      <c r="B13" s="324" t="n">
        <v>2</v>
      </c>
      <c r="C13" s="249" t="inlineStr">
        <is>
          <t>Наименование субъекта Российской Федерации</t>
        </is>
      </c>
      <c r="D13" s="249" t="inlineStr">
        <is>
          <t>Иркутская область</t>
        </is>
      </c>
      <c r="E13" s="249" t="n"/>
      <c r="F13" s="249" t="n"/>
    </row>
    <row r="14">
      <c r="B14" s="324" t="n">
        <v>3</v>
      </c>
      <c r="C14" s="249" t="inlineStr">
        <is>
          <t>Климатический район и подрайон</t>
        </is>
      </c>
      <c r="D14" s="249" t="inlineStr">
        <is>
          <t>IIВ</t>
        </is>
      </c>
      <c r="E14" s="249" t="n"/>
      <c r="F14" s="249" t="n"/>
    </row>
    <row r="15">
      <c r="B15" s="324" t="n">
        <v>4</v>
      </c>
      <c r="C15" s="249" t="inlineStr">
        <is>
          <t>Мощность объекта</t>
        </is>
      </c>
      <c r="D15" s="277" t="n">
        <v>104.21</v>
      </c>
      <c r="E15" s="277" t="n"/>
      <c r="F15" s="277" t="n"/>
    </row>
    <row r="16" ht="253.5" customHeight="1" s="300">
      <c r="B16" s="324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49" t="inlineStr">
        <is>
          <t>П330н-1 - 203 шт
П330н-1+6.0 - 5 шт
П330н-1т - 7 шт
П330н30-1 - 44 шт
П330н30-1+6.0 - 4 шт;
У330н-1 - 6 шт
У330н-3+5 - 2 шт
У330н-3+9 - 3 шт
У330н-1+14 - 5 шт
У330н-3+14 - 1 шт
У330н-1+5 - 18 шт
У330н-1+9 - 16 шт
У330н30-1+14 - 3 шт
У330н30-1+9 - 1 шт
У330н30-1+5 - 2 шт
Общая масса 3236,29 т</t>
        </is>
      </c>
      <c r="E16" s="249" t="n"/>
      <c r="F16" s="249" t="n"/>
    </row>
    <row r="17" ht="78.75" customHeight="1" s="300">
      <c r="B17" s="324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75">
        <f>SUM(D18:D21)</f>
        <v/>
      </c>
      <c r="E17" s="275" t="n"/>
      <c r="F17" s="275" t="n"/>
      <c r="G17" s="250" t="n"/>
    </row>
    <row r="18">
      <c r="B18" s="253" t="inlineStr">
        <is>
          <t>6.1</t>
        </is>
      </c>
      <c r="C18" s="249" t="inlineStr">
        <is>
          <t>строительно-монтажные работы</t>
        </is>
      </c>
      <c r="D18" s="275" t="n">
        <v>881214.226</v>
      </c>
      <c r="E18" s="275" t="n"/>
      <c r="F18" s="275" t="n"/>
    </row>
    <row r="19" ht="15.75" customHeight="1" s="300">
      <c r="B19" s="253" t="inlineStr">
        <is>
          <t>6.2</t>
        </is>
      </c>
      <c r="C19" s="249" t="inlineStr">
        <is>
          <t>оборудование и инвентарь</t>
        </is>
      </c>
      <c r="D19" s="275" t="n">
        <v>0</v>
      </c>
      <c r="E19" s="275" t="n"/>
      <c r="F19" s="275" t="n"/>
    </row>
    <row r="20" ht="16.5" customHeight="1" s="300">
      <c r="B20" s="253" t="inlineStr">
        <is>
          <t>6.3</t>
        </is>
      </c>
      <c r="C20" s="249" t="inlineStr">
        <is>
          <t>пусконаладочные работы</t>
        </is>
      </c>
      <c r="D20" s="275" t="n">
        <v>0</v>
      </c>
      <c r="E20" s="275" t="n"/>
      <c r="F20" s="275" t="n"/>
    </row>
    <row r="21" ht="35.25" customHeight="1" s="300">
      <c r="B21" s="253" t="inlineStr">
        <is>
          <t>6.4</t>
        </is>
      </c>
      <c r="C21" s="252" t="inlineStr">
        <is>
          <t>прочие и лимитированные затраты</t>
        </is>
      </c>
      <c r="D21" s="275">
        <f>D18*3.3%+(D18+D18*3.3%)*1%*1.2</f>
        <v/>
      </c>
      <c r="E21" s="275" t="n"/>
      <c r="F21" s="275" t="n"/>
    </row>
    <row r="22">
      <c r="B22" s="324" t="n">
        <v>7</v>
      </c>
      <c r="C22" s="252" t="inlineStr">
        <is>
          <t>Сопоставимый уровень цен</t>
        </is>
      </c>
      <c r="D22" s="324" t="inlineStr">
        <is>
          <t>2 кв 2021</t>
        </is>
      </c>
      <c r="E22" s="324" t="n"/>
      <c r="F22" s="324" t="n"/>
      <c r="G22" s="250" t="n"/>
    </row>
    <row r="23" ht="123" customHeight="1" s="300">
      <c r="B23" s="324" t="n">
        <v>8</v>
      </c>
      <c r="C23" s="251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75">
        <f>((84143.637+43054.934)+(84143.637+43054.934)*3.3%+((84143.637+43054.934)+(84143.637+43054.934)*3.3%)*1%*1.2)*8.01</f>
        <v/>
      </c>
      <c r="E23" s="275" t="n"/>
      <c r="F23" s="275" t="n"/>
    </row>
    <row r="24" ht="60.75" customHeight="1" s="300">
      <c r="B24" s="324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275">
        <f>D23/D15</f>
        <v/>
      </c>
      <c r="E24" s="275" t="n"/>
      <c r="F24" s="275" t="n"/>
      <c r="G24" s="250" t="n"/>
    </row>
    <row r="25" ht="164.25" customHeight="1" s="300">
      <c r="B25" s="324" t="n">
        <v>10</v>
      </c>
      <c r="C25" s="249" t="inlineStr">
        <is>
          <t>Примечание</t>
        </is>
      </c>
      <c r="D25" s="249" t="inlineStr">
        <is>
          <t>Выбран объектом-представителем с учетом минимальной удельной стоимости и как наиболее часто применяющееся конструктивное решение.
 Рекомендуемая расчетная единица  УНЦ - 1 опора</t>
        </is>
      </c>
      <c r="E25" s="249" t="n"/>
      <c r="F25" s="249" t="n"/>
    </row>
    <row r="26">
      <c r="B26" s="248" t="n"/>
      <c r="C26" s="247" t="n"/>
      <c r="D26" s="247" t="n"/>
      <c r="E26" s="247" t="n"/>
      <c r="F26" s="247" t="n"/>
    </row>
    <row r="27" ht="37.5" customHeight="1" s="300">
      <c r="B27" s="246" t="n"/>
    </row>
    <row r="28">
      <c r="B28" s="299" t="inlineStr">
        <is>
          <t>Составил ______________________        А.П. Николаева</t>
        </is>
      </c>
    </row>
    <row r="29">
      <c r="B29" s="246" t="inlineStr">
        <is>
          <t xml:space="preserve">                         (подпись, инициалы, фамилия)</t>
        </is>
      </c>
    </row>
    <row r="31">
      <c r="B31" s="299" t="inlineStr">
        <is>
          <t>Проверил ______________________        А.В. Костянецкая</t>
        </is>
      </c>
    </row>
    <row r="32">
      <c r="B32" s="246" t="inlineStr">
        <is>
          <t xml:space="preserve">                        (подпись, инициалы, фамилия)</t>
        </is>
      </c>
    </row>
  </sheetData>
  <mergeCells count="5">
    <mergeCell ref="B4:F4"/>
    <mergeCell ref="B7:F7"/>
    <mergeCell ref="B3:F3"/>
    <mergeCell ref="B8:F8"/>
    <mergeCell ref="B9:F9"/>
  </mergeCells>
  <pageMargins left="0.7" right="0.7" top="0.75" bottom="0.75" header="0.3" footer="0.3"/>
  <pageSetup orientation="portrait" paperSize="9" scale="50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B3:L50"/>
  <sheetViews>
    <sheetView view="pageBreakPreview" zoomScale="70" zoomScaleNormal="70" workbookViewId="0">
      <selection activeCell="C21" sqref="C21"/>
    </sheetView>
  </sheetViews>
  <sheetFormatPr baseColWidth="8" defaultColWidth="9.109375" defaultRowHeight="15.6"/>
  <cols>
    <col width="5.5546875" customWidth="1" style="299" min="1" max="1"/>
    <col width="9.109375" customWidth="1" style="299" min="2" max="2"/>
    <col width="35.33203125" customWidth="1" style="299" min="3" max="3"/>
    <col width="13.88671875" customWidth="1" style="299" min="4" max="4"/>
    <col width="24.88671875" customWidth="1" style="299" min="5" max="5"/>
    <col width="15.5546875" customWidth="1" style="299" min="6" max="6"/>
    <col width="14.88671875" customWidth="1" style="299" min="7" max="7"/>
    <col width="16.6640625" customWidth="1" style="299" min="8" max="8"/>
    <col width="13" customWidth="1" style="299" min="9" max="10"/>
    <col width="18" customWidth="1" style="299" min="11" max="11"/>
    <col width="9.109375" customWidth="1" style="299" min="12" max="12"/>
  </cols>
  <sheetData>
    <row r="3">
      <c r="B3" s="317" t="inlineStr">
        <is>
          <t>Приложение № 2</t>
        </is>
      </c>
      <c r="K3" s="246" t="n"/>
    </row>
    <row r="4">
      <c r="B4" s="318" t="inlineStr">
        <is>
          <t>Расчет стоимости основных видов работ для выбора объекта-представителя</t>
        </is>
      </c>
    </row>
    <row r="5">
      <c r="B5" s="255" t="n"/>
      <c r="C5" s="255" t="n"/>
      <c r="D5" s="255" t="n"/>
      <c r="E5" s="255" t="n"/>
      <c r="F5" s="255" t="n"/>
      <c r="G5" s="255" t="n"/>
      <c r="H5" s="255" t="n"/>
      <c r="I5" s="255" t="n"/>
      <c r="J5" s="255" t="n"/>
      <c r="K5" s="255" t="n"/>
    </row>
    <row r="6" ht="15.75" customHeight="1" s="300">
      <c r="B6" s="325" t="inlineStr">
        <is>
          <t>Наименование разрабатываемого показателя УНЦ —  Опоры ВЛ 0,4 - 750 кВ. Одноцепная, все типы опор за исключением многогранных 330 кВ.</t>
        </is>
      </c>
      <c r="K6" s="246" t="n"/>
      <c r="L6" s="254" t="n"/>
    </row>
    <row r="7">
      <c r="B7" s="319" t="inlineStr">
        <is>
          <t>Единица измерения  — 1 км</t>
        </is>
      </c>
      <c r="L7" s="254" t="n"/>
    </row>
    <row r="8">
      <c r="B8" s="319" t="n"/>
    </row>
    <row r="9" ht="15.75" customHeight="1" s="300">
      <c r="B9" s="324" t="inlineStr">
        <is>
          <t>№ п/п</t>
        </is>
      </c>
      <c r="C9" s="324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24" t="inlineStr">
        <is>
          <t>Объект-представитель 1</t>
        </is>
      </c>
      <c r="E9" s="405" t="n"/>
      <c r="F9" s="405" t="n"/>
      <c r="G9" s="405" t="n"/>
      <c r="H9" s="405" t="n"/>
      <c r="I9" s="405" t="n"/>
      <c r="J9" s="406" t="n"/>
    </row>
    <row r="10" ht="15.75" customHeight="1" s="300">
      <c r="B10" s="407" t="n"/>
      <c r="C10" s="407" t="n"/>
      <c r="D10" s="324" t="inlineStr">
        <is>
          <t>Номер сметы</t>
        </is>
      </c>
      <c r="E10" s="324" t="inlineStr">
        <is>
          <t>Наименование сметы</t>
        </is>
      </c>
      <c r="F10" s="324" t="inlineStr">
        <is>
          <t>Сметная стоимость в уровне цен 3 кв. 2021 г., тыс. руб.</t>
        </is>
      </c>
      <c r="G10" s="405" t="n"/>
      <c r="H10" s="405" t="n"/>
      <c r="I10" s="405" t="n"/>
      <c r="J10" s="406" t="n"/>
    </row>
    <row r="11" ht="31.5" customHeight="1" s="300">
      <c r="B11" s="408" t="n"/>
      <c r="C11" s="408" t="n"/>
      <c r="D11" s="408" t="n"/>
      <c r="E11" s="408" t="n"/>
      <c r="F11" s="324" t="inlineStr">
        <is>
          <t>Строительные работы</t>
        </is>
      </c>
      <c r="G11" s="324" t="inlineStr">
        <is>
          <t>Монтажные работы</t>
        </is>
      </c>
      <c r="H11" s="324" t="inlineStr">
        <is>
          <t>Оборудование</t>
        </is>
      </c>
      <c r="I11" s="324" t="inlineStr">
        <is>
          <t>Прочее</t>
        </is>
      </c>
      <c r="J11" s="324" t="inlineStr">
        <is>
          <t>Всего</t>
        </is>
      </c>
    </row>
    <row r="12" ht="150.75" customHeight="1" s="300">
      <c r="B12" s="175" t="n">
        <v>1</v>
      </c>
      <c r="C12" s="324" t="inlineStr">
        <is>
          <t>П330н-1 - 203 шт
П330н-1+6.0 - 5 шт
П330н-1т - 7 шт
П330н30-1 - 44 шт
П330н30-1+6.0 - 4 шт;
У330н-1 - 6 шт
У330н-3+5 - 2 шт
У330н-3+9 - 3 шт
У330н-1+14 - 5 шт
У330н-3+14 - 1 шт
У330н-1+5 - 18 шт
У330н-1+9 - 16 шт
У330н30-1+14 - 3 шт
У330н30-1+9 - 1 шт
У330н30-1+5 - 2 шт
Общая масса 3236,29 т</t>
        </is>
      </c>
      <c r="D12" s="297" t="inlineStr">
        <is>
          <t xml:space="preserve">02-01-05
</t>
        </is>
      </c>
      <c r="E12" s="324" t="inlineStr">
        <is>
          <t>Устройство  опор ВЛ 330кВ (опоры №№ 1 - 216)</t>
        </is>
      </c>
      <c r="F12" s="269">
        <f>584519452/1000</f>
        <v/>
      </c>
      <c r="G12" s="258" t="n"/>
      <c r="H12" s="258" t="n"/>
      <c r="I12" s="258" t="n"/>
      <c r="J12" s="271">
        <f>SUM(F12:I12)</f>
        <v/>
      </c>
    </row>
    <row r="13" ht="150.75" customHeight="1" s="300">
      <c r="B13" s="408" t="n"/>
      <c r="C13" s="408" t="n"/>
      <c r="D13" s="297" t="inlineStr">
        <is>
          <t>02-01-19</t>
        </is>
      </c>
      <c r="E13" s="249" t="inlineStr">
        <is>
          <t xml:space="preserve">Устройство  опор ВЛ 330кВ. Сегежский район (опоры №№ 217- 320) </t>
        </is>
      </c>
      <c r="F13" s="269">
        <f>296694774/1000</f>
        <v/>
      </c>
      <c r="G13" s="258" t="n"/>
      <c r="H13" s="258" t="n"/>
      <c r="I13" s="258" t="n"/>
      <c r="J13" s="271">
        <f>SUM(F13:I13)</f>
        <v/>
      </c>
    </row>
    <row r="14" ht="15.75" customHeight="1" s="300">
      <c r="B14" s="323" t="inlineStr">
        <is>
          <t>Всего по объекту:</t>
        </is>
      </c>
      <c r="C14" s="405" t="n"/>
      <c r="D14" s="405" t="n"/>
      <c r="E14" s="406" t="n"/>
      <c r="F14" s="270">
        <f>SUM(F12:F13)</f>
        <v/>
      </c>
      <c r="G14" s="257" t="n"/>
      <c r="H14" s="257" t="n"/>
      <c r="I14" s="257" t="n"/>
      <c r="J14" s="272">
        <f>SUM(F14:I14)</f>
        <v/>
      </c>
    </row>
    <row r="15" ht="28.5" customHeight="1" s="300">
      <c r="B15" s="323" t="inlineStr">
        <is>
          <t>Всего по объекту в сопоставимом уровне цен 3 кв. 2021 г:</t>
        </is>
      </c>
      <c r="C15" s="405" t="n"/>
      <c r="D15" s="405" t="n"/>
      <c r="E15" s="406" t="n"/>
      <c r="F15" s="270">
        <f>F14</f>
        <v/>
      </c>
      <c r="G15" s="257" t="n"/>
      <c r="H15" s="257" t="n"/>
      <c r="I15" s="257" t="n"/>
      <c r="J15" s="272">
        <f>SUM(F15:I15)</f>
        <v/>
      </c>
    </row>
    <row r="18">
      <c r="B18" s="334" t="inlineStr">
        <is>
          <t>*</t>
        </is>
      </c>
      <c r="C18" s="299" t="inlineStr">
        <is>
          <t xml:space="preserve"> - стоимость с учетом исключения затрат на корректровку по транспортировке  свыше 30 км.</t>
        </is>
      </c>
    </row>
    <row r="22">
      <c r="B22" s="299" t="inlineStr">
        <is>
          <t>Составил ______________________        А.П. Николаева</t>
        </is>
      </c>
    </row>
    <row r="23">
      <c r="B23" s="246" t="inlineStr">
        <is>
          <t xml:space="preserve">                         (подпись, инициалы, фамилия)</t>
        </is>
      </c>
    </row>
    <row r="25">
      <c r="B25" s="299" t="inlineStr">
        <is>
          <t>Проверил ______________________        А.В. Костянецкая</t>
        </is>
      </c>
    </row>
    <row r="26">
      <c r="B26" s="246" t="inlineStr">
        <is>
          <t xml:space="preserve">                        (подпись, инициалы, фамилия)</t>
        </is>
      </c>
    </row>
    <row r="45">
      <c r="B45" s="324" t="inlineStr">
        <is>
          <t>№ п/п</t>
        </is>
      </c>
      <c r="C45" s="324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45" s="324" t="inlineStr">
        <is>
          <t>Объект-представитель 2</t>
        </is>
      </c>
      <c r="E45" s="405" t="n"/>
      <c r="F45" s="405" t="n"/>
      <c r="G45" s="405" t="n"/>
      <c r="H45" s="405" t="n"/>
      <c r="I45" s="405" t="n"/>
      <c r="J45" s="406" t="n"/>
    </row>
    <row r="46">
      <c r="B46" s="407" t="n"/>
      <c r="C46" s="407" t="n"/>
      <c r="D46" s="324" t="inlineStr">
        <is>
          <t>Номер сметы</t>
        </is>
      </c>
      <c r="E46" s="324" t="inlineStr">
        <is>
          <t>Наименование сметы</t>
        </is>
      </c>
      <c r="F46" s="324" t="inlineStr">
        <is>
          <t>Сметная стоимость в уровне цен 4 кв. 2020 г., тыс. руб.</t>
        </is>
      </c>
      <c r="G46" s="405" t="n"/>
      <c r="H46" s="405" t="n"/>
      <c r="I46" s="405" t="n"/>
      <c r="J46" s="406" t="n"/>
    </row>
    <row r="47" ht="31.5" customHeight="1" s="300">
      <c r="B47" s="408" t="n"/>
      <c r="C47" s="408" t="n"/>
      <c r="D47" s="408" t="n"/>
      <c r="E47" s="408" t="n"/>
      <c r="F47" s="324" t="inlineStr">
        <is>
          <t>Строительные работы</t>
        </is>
      </c>
      <c r="G47" s="324" t="inlineStr">
        <is>
          <t>Монтажные работы</t>
        </is>
      </c>
      <c r="H47" s="324" t="inlineStr">
        <is>
          <t>Оборудование</t>
        </is>
      </c>
      <c r="I47" s="324" t="inlineStr">
        <is>
          <t>Прочее</t>
        </is>
      </c>
      <c r="J47" s="324" t="inlineStr">
        <is>
          <t>Всего</t>
        </is>
      </c>
    </row>
    <row r="48" ht="244.5" customHeight="1" s="300">
      <c r="B48" s="274" t="n">
        <v>1</v>
      </c>
      <c r="C48" s="276" t="inlineStr">
        <is>
          <t>П220н-4.2т - 10 шт;
П220н-4.2т+6 - 1 шт;
П220н-4.2т-7.5 - 1 шт;
П220н-4.1 - 129 шт;
П220н-4.1-7.5 - 7 шт;
П220н-4.1+6 - 1 шт;
У220н-2.2 - 5 шт;
У220н-2.2+5 - 9 шт;
У220н-2.2+9 - 8 шт;
У220н-2.2+14 - 14 шт;
У220н-2.2т+5 - 4 шт;
У220н-2.2т+9 - 4 шт;
У220н-2.2т+14 - 7 шт.
Общая масса 2370, 56т</t>
        </is>
      </c>
      <c r="D48" s="273" t="inlineStr">
        <is>
          <t>02-01-02</t>
        </is>
      </c>
      <c r="E48" s="249" t="inlineStr">
        <is>
          <t>Конструктивно-строительные решения</t>
        </is>
      </c>
      <c r="F48" s="269">
        <f>14802540.18/1000*8.46</f>
        <v/>
      </c>
      <c r="G48" s="258" t="n"/>
      <c r="H48" s="258" t="n"/>
      <c r="I48" s="258" t="n"/>
      <c r="J48" s="271">
        <f>SUM(F48:I48)</f>
        <v/>
      </c>
    </row>
    <row r="49">
      <c r="B49" s="323" t="inlineStr">
        <is>
          <t>Всего по объекту:</t>
        </is>
      </c>
      <c r="C49" s="405" t="n"/>
      <c r="D49" s="405" t="n"/>
      <c r="E49" s="406" t="n"/>
      <c r="F49" s="270">
        <f>SUM(F48:F48)</f>
        <v/>
      </c>
      <c r="G49" s="257" t="n"/>
      <c r="H49" s="257" t="n"/>
      <c r="I49" s="257" t="n"/>
      <c r="J49" s="272">
        <f>SUM(F49:I49)</f>
        <v/>
      </c>
    </row>
    <row r="50" ht="28.5" customHeight="1" s="300">
      <c r="B50" s="323" t="inlineStr">
        <is>
          <t>Всего по объекту в сопоставимом уровне цен 4 кв. 2020 г:</t>
        </is>
      </c>
      <c r="C50" s="405" t="n"/>
      <c r="D50" s="405" t="n"/>
      <c r="E50" s="406" t="n"/>
      <c r="F50" s="270">
        <f>F49</f>
        <v/>
      </c>
      <c r="G50" s="257" t="n"/>
      <c r="H50" s="257" t="n"/>
      <c r="I50" s="257" t="n"/>
      <c r="J50" s="272">
        <f>SUM(F50:I50)</f>
        <v/>
      </c>
    </row>
  </sheetData>
  <mergeCells count="22">
    <mergeCell ref="B49:E49"/>
    <mergeCell ref="B12:B13"/>
    <mergeCell ref="D9:J9"/>
    <mergeCell ref="F10:J10"/>
    <mergeCell ref="B15:E15"/>
    <mergeCell ref="D46:D47"/>
    <mergeCell ref="E10:E11"/>
    <mergeCell ref="B45:B47"/>
    <mergeCell ref="B50:E50"/>
    <mergeCell ref="B4:K4"/>
    <mergeCell ref="C12:C13"/>
    <mergeCell ref="B7:K7"/>
    <mergeCell ref="E46:E47"/>
    <mergeCell ref="B6:J6"/>
    <mergeCell ref="C45:C47"/>
    <mergeCell ref="D45:J45"/>
    <mergeCell ref="F46:J46"/>
    <mergeCell ref="B14:E14"/>
    <mergeCell ref="B3:J3"/>
    <mergeCell ref="D10:D11"/>
    <mergeCell ref="B9:B11"/>
    <mergeCell ref="C9:C11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2:L41"/>
  <sheetViews>
    <sheetView view="pageBreakPreview" topLeftCell="A31" zoomScale="85" workbookViewId="0">
      <selection activeCell="C37" sqref="C37"/>
    </sheetView>
  </sheetViews>
  <sheetFormatPr baseColWidth="8" defaultColWidth="9.109375" defaultRowHeight="15.6"/>
  <cols>
    <col width="9.109375" customWidth="1" style="299" min="1" max="1"/>
    <col width="12.5546875" customWidth="1" style="299" min="2" max="2"/>
    <col width="22.44140625" customWidth="1" style="299" min="3" max="3"/>
    <col width="49.6640625" customWidth="1" style="299" min="4" max="4"/>
    <col width="10.109375" customWidth="1" style="299" min="5" max="5"/>
    <col width="20.6640625" customWidth="1" style="299" min="6" max="6"/>
    <col width="16.109375" customWidth="1" style="299" min="7" max="7"/>
    <col width="16.6640625" customWidth="1" style="299" min="8" max="8"/>
    <col width="9.109375" customWidth="1" style="299" min="9" max="9"/>
  </cols>
  <sheetData>
    <row r="2">
      <c r="A2" s="317" t="inlineStr">
        <is>
          <t xml:space="preserve">Приложение № 3 </t>
        </is>
      </c>
    </row>
    <row r="3">
      <c r="A3" s="318" t="inlineStr">
        <is>
          <t>Объектная ресурсная ведомость</t>
        </is>
      </c>
    </row>
    <row r="4">
      <c r="A4" s="319" t="n"/>
    </row>
    <row r="5">
      <c r="A5" s="325" t="inlineStr">
        <is>
          <t>Наименование разрабатываемого показателя УНЦ - Опоры ВЛ 0,4 - 750 кВ. Одноцепная, все типы опор за исключением многогранных 330 кВ.</t>
        </is>
      </c>
    </row>
    <row r="6">
      <c r="A6" s="325" t="n"/>
      <c r="B6" s="325" t="n"/>
      <c r="C6" s="325" t="n"/>
      <c r="D6" s="325" t="n"/>
      <c r="E6" s="325" t="n"/>
      <c r="F6" s="325" t="n"/>
      <c r="G6" s="325" t="n"/>
      <c r="H6" s="325" t="n"/>
    </row>
    <row r="7" ht="38.25" customHeight="1" s="300">
      <c r="A7" s="324" t="inlineStr">
        <is>
          <t>п/п</t>
        </is>
      </c>
      <c r="B7" s="324" t="inlineStr">
        <is>
          <t>№ЛСР</t>
        </is>
      </c>
      <c r="C7" s="324" t="inlineStr">
        <is>
          <t>Код ресурса</t>
        </is>
      </c>
      <c r="D7" s="324" t="inlineStr">
        <is>
          <t>Наименование ресурса</t>
        </is>
      </c>
      <c r="E7" s="324" t="inlineStr">
        <is>
          <t>Ед. изм.</t>
        </is>
      </c>
      <c r="F7" s="324" t="inlineStr">
        <is>
          <t>Кол-во единиц по данным объекта-представителя</t>
        </is>
      </c>
      <c r="G7" s="324" t="inlineStr">
        <is>
          <t>Сметная стоимость в ценах на 01.01.2000 (руб.)</t>
        </is>
      </c>
      <c r="H7" s="406" t="n"/>
    </row>
    <row r="8" ht="40.5" customHeight="1" s="300">
      <c r="A8" s="408" t="n"/>
      <c r="B8" s="408" t="n"/>
      <c r="C8" s="408" t="n"/>
      <c r="D8" s="408" t="n"/>
      <c r="E8" s="408" t="n"/>
      <c r="F8" s="408" t="n"/>
      <c r="G8" s="324" t="inlineStr">
        <is>
          <t>на ед.изм.</t>
        </is>
      </c>
      <c r="H8" s="324" t="inlineStr">
        <is>
          <t>общая</t>
        </is>
      </c>
    </row>
    <row r="9">
      <c r="A9" s="326" t="n">
        <v>1</v>
      </c>
      <c r="B9" s="326" t="n"/>
      <c r="C9" s="326" t="n">
        <v>2</v>
      </c>
      <c r="D9" s="326" t="inlineStr">
        <is>
          <t>З</t>
        </is>
      </c>
      <c r="E9" s="326" t="n">
        <v>4</v>
      </c>
      <c r="F9" s="326" t="n">
        <v>5</v>
      </c>
      <c r="G9" s="326" t="n">
        <v>6</v>
      </c>
      <c r="H9" s="326" t="n">
        <v>7</v>
      </c>
    </row>
    <row r="10" customFormat="1" s="301">
      <c r="A10" s="330" t="inlineStr">
        <is>
          <t>Затраты труда рабочих</t>
        </is>
      </c>
      <c r="B10" s="405" t="n"/>
      <c r="C10" s="405" t="n"/>
      <c r="D10" s="405" t="n"/>
      <c r="E10" s="406" t="n"/>
      <c r="F10" s="264">
        <f>SUM(F11:F12)</f>
        <v/>
      </c>
      <c r="G10" s="264" t="n"/>
      <c r="H10" s="264">
        <f>SUM(H11:H12)</f>
        <v/>
      </c>
    </row>
    <row r="11">
      <c r="A11" s="331" t="n">
        <v>1</v>
      </c>
      <c r="B11" s="267" t="inlineStr">
        <is>
          <t> </t>
        </is>
      </c>
      <c r="C11" s="266" t="inlineStr">
        <is>
          <t>1-4-1</t>
        </is>
      </c>
      <c r="D11" s="332" t="inlineStr">
        <is>
          <t>Затраты труда рабочих (ср 4,1)</t>
        </is>
      </c>
      <c r="E11" s="331" t="inlineStr">
        <is>
          <t>чел.-ч</t>
        </is>
      </c>
      <c r="F11" s="331" t="n">
        <v>69269.03969999999</v>
      </c>
      <c r="G11" s="260" t="n">
        <v>9.76</v>
      </c>
      <c r="H11" s="260">
        <f>ROUND(F11*G11,2)</f>
        <v/>
      </c>
      <c r="L11" s="278" t="n"/>
    </row>
    <row r="12">
      <c r="A12" s="331" t="n">
        <v>2</v>
      </c>
      <c r="B12" s="267" t="inlineStr">
        <is>
          <t> </t>
        </is>
      </c>
      <c r="C12" s="266" t="inlineStr">
        <is>
          <t>1-4-2</t>
        </is>
      </c>
      <c r="D12" s="332" t="inlineStr">
        <is>
          <t>Затраты труда рабочих (ср 4,2)</t>
        </is>
      </c>
      <c r="E12" s="331" t="inlineStr">
        <is>
          <t>чел.-ч</t>
        </is>
      </c>
      <c r="F12" s="331" t="n">
        <v>24188.851</v>
      </c>
      <c r="G12" s="260" t="n">
        <v>9.92</v>
      </c>
      <c r="H12" s="260">
        <f>ROUND(F12*G12,2)</f>
        <v/>
      </c>
    </row>
    <row r="13">
      <c r="A13" s="330" t="inlineStr">
        <is>
          <t>Затраты труда машинистов</t>
        </is>
      </c>
      <c r="B13" s="405" t="n"/>
      <c r="C13" s="405" t="n"/>
      <c r="D13" s="405" t="n"/>
      <c r="E13" s="406" t="n"/>
      <c r="F13" s="330">
        <f>F14</f>
        <v/>
      </c>
      <c r="G13" s="264" t="n"/>
      <c r="H13" s="264">
        <f>H14</f>
        <v/>
      </c>
    </row>
    <row r="14">
      <c r="A14" s="331" t="n">
        <v>3</v>
      </c>
      <c r="B14" s="331" t="inlineStr">
        <is>
          <t> </t>
        </is>
      </c>
      <c r="C14" s="332" t="n">
        <v>2</v>
      </c>
      <c r="D14" s="332" t="inlineStr">
        <is>
          <t>Затраты труда машинистов</t>
        </is>
      </c>
      <c r="E14" s="331" t="inlineStr">
        <is>
          <t>чел.-ч</t>
        </is>
      </c>
      <c r="F14" s="331" t="n">
        <v>33861.8896</v>
      </c>
      <c r="G14" s="260" t="n">
        <v>0</v>
      </c>
      <c r="H14" s="260" t="n">
        <v>324417</v>
      </c>
    </row>
    <row r="15" customFormat="1" s="301">
      <c r="A15" s="330" t="inlineStr">
        <is>
          <t>Машины и механизмы</t>
        </is>
      </c>
      <c r="B15" s="405" t="n"/>
      <c r="C15" s="405" t="n"/>
      <c r="D15" s="405" t="n"/>
      <c r="E15" s="406" t="n"/>
      <c r="F15" s="330" t="n"/>
      <c r="G15" s="264" t="n"/>
      <c r="H15" s="264">
        <f>SUM(H16:H26)</f>
        <v/>
      </c>
    </row>
    <row r="16" ht="31.5" customHeight="1" s="300">
      <c r="A16" s="331" t="n">
        <v>4</v>
      </c>
      <c r="B16" s="331" t="inlineStr">
        <is>
          <t> </t>
        </is>
      </c>
      <c r="C16" s="332" t="inlineStr">
        <is>
          <t>91.15.02-029</t>
        </is>
      </c>
      <c r="D16" s="332" t="inlineStr">
        <is>
          <t>Тракторы на гусеничном ходу с лебедкой 132 кВт (180 л.с.)</t>
        </is>
      </c>
      <c r="E16" s="331" t="inlineStr">
        <is>
          <t>маш.час</t>
        </is>
      </c>
      <c r="F16" s="331" t="n">
        <v>13039.91764</v>
      </c>
      <c r="G16" s="260" t="n">
        <v>147.43</v>
      </c>
      <c r="H16" s="260">
        <f>ROUND(F16*G16,2)</f>
        <v/>
      </c>
      <c r="J16" s="278" t="n"/>
      <c r="K16" s="291" t="n"/>
    </row>
    <row r="17" ht="31.5" customFormat="1" customHeight="1" s="301">
      <c r="A17" s="331" t="n">
        <v>5</v>
      </c>
      <c r="B17" s="331" t="inlineStr">
        <is>
          <t> </t>
        </is>
      </c>
      <c r="C17" s="332" t="inlineStr">
        <is>
          <t>91.13.03-111</t>
        </is>
      </c>
      <c r="D17" s="332" t="inlineStr">
        <is>
          <t>Тракторы на гусеничном ходу с лебедкой 132 кВт (180 л.с.)</t>
        </is>
      </c>
      <c r="E17" s="331" t="inlineStr">
        <is>
          <t>маш.час</t>
        </is>
      </c>
      <c r="F17" s="331" t="n">
        <v>12700.52076</v>
      </c>
      <c r="G17" s="260" t="n">
        <v>147.43</v>
      </c>
      <c r="H17" s="260">
        <f>ROUND(F17*G17,2)</f>
        <v/>
      </c>
      <c r="K17" s="291" t="n"/>
    </row>
    <row r="18" ht="31.5" customFormat="1" customHeight="1" s="301">
      <c r="A18" s="331" t="n">
        <v>6</v>
      </c>
      <c r="B18" s="331" t="inlineStr">
        <is>
          <t> </t>
        </is>
      </c>
      <c r="C18" s="332" t="inlineStr">
        <is>
          <t>91.05.14-516</t>
        </is>
      </c>
      <c r="D18" s="332" t="inlineStr">
        <is>
          <t>Тракторы на гусеничном ходу, мощность 59 кВт (80 л.с.)</t>
        </is>
      </c>
      <c r="E18" s="331" t="inlineStr">
        <is>
          <t>маш.-ч</t>
        </is>
      </c>
      <c r="F18" s="331" t="n">
        <v>648.15</v>
      </c>
      <c r="G18" s="260" t="n">
        <v>77.2</v>
      </c>
      <c r="H18" s="260">
        <f>ROUND(F18*G18,2)</f>
        <v/>
      </c>
      <c r="K18" s="291" t="n"/>
    </row>
    <row r="19" ht="31.5" customFormat="1" customHeight="1" s="301">
      <c r="A19" s="331" t="n">
        <v>7</v>
      </c>
      <c r="B19" s="331" t="inlineStr">
        <is>
          <t> </t>
        </is>
      </c>
      <c r="C19" s="332" t="inlineStr">
        <is>
          <t>91.18.01-007</t>
        </is>
      </c>
      <c r="D19" s="332" t="inlineStr">
        <is>
          <t>Спецавтомобили-вездеходы, грузоподъемность до 8 т</t>
        </is>
      </c>
      <c r="E19" s="331" t="inlineStr">
        <is>
          <t>маш.час</t>
        </is>
      </c>
      <c r="F19" s="331" t="n">
        <v>5969.42404</v>
      </c>
      <c r="G19" s="260" t="n">
        <v>189.95</v>
      </c>
      <c r="H19" s="260">
        <f>ROUND(F19*G19,2)</f>
        <v/>
      </c>
      <c r="K19" s="291" t="n"/>
    </row>
    <row r="20" ht="47.25" customFormat="1" customHeight="1" s="301">
      <c r="A20" s="331" t="n">
        <v>8</v>
      </c>
      <c r="B20" s="331" t="inlineStr">
        <is>
          <t> </t>
        </is>
      </c>
      <c r="C20" s="332" t="inlineStr">
        <is>
          <t>91.05.05-015</t>
        </is>
      </c>
      <c r="D20" s="332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20" s="331" t="inlineStr">
        <is>
          <t>маш.час</t>
        </is>
      </c>
      <c r="F20" s="331" t="n">
        <v>3636.04926</v>
      </c>
      <c r="G20" s="260" t="n">
        <v>90</v>
      </c>
      <c r="H20" s="260">
        <f>ROUND(F20*G20,2)</f>
        <v/>
      </c>
      <c r="K20" s="291" t="n"/>
    </row>
    <row r="21" ht="31.5" customFormat="1" customHeight="1" s="301">
      <c r="A21" s="331" t="n">
        <v>9</v>
      </c>
      <c r="B21" s="331" t="inlineStr">
        <is>
          <t> </t>
        </is>
      </c>
      <c r="C21" s="332" t="inlineStr">
        <is>
          <t>91.15.02-023</t>
        </is>
      </c>
      <c r="D21" s="332" t="inlineStr">
        <is>
          <t>Краны на автомобильном ходу, грузоподъемность 16 т</t>
        </is>
      </c>
      <c r="E21" s="331" t="inlineStr">
        <is>
          <t>маш.час</t>
        </is>
      </c>
      <c r="F21" s="331" t="n">
        <v>1862.24708</v>
      </c>
      <c r="G21" s="260" t="n">
        <v>115.4</v>
      </c>
      <c r="H21" s="260">
        <f>ROUND(F21*G21,2)</f>
        <v/>
      </c>
      <c r="K21" s="291" t="n"/>
    </row>
    <row r="22" ht="31.5" customFormat="1" customHeight="1" s="301">
      <c r="A22" s="331" t="n">
        <v>10</v>
      </c>
      <c r="B22" s="331" t="inlineStr">
        <is>
          <t> </t>
        </is>
      </c>
      <c r="C22" s="332" t="inlineStr">
        <is>
          <t>91.14.02-004</t>
        </is>
      </c>
      <c r="D22" s="332" t="inlineStr">
        <is>
          <t>Автомобили бортовые, грузоподъемность до 15т</t>
        </is>
      </c>
      <c r="E22" s="331" t="inlineStr">
        <is>
          <t>маш.-ч.</t>
        </is>
      </c>
      <c r="F22" s="331" t="n">
        <v>377.82</v>
      </c>
      <c r="G22" s="260" t="n">
        <v>92.94</v>
      </c>
      <c r="H22" s="260">
        <f>ROUND(F22*G22,2)</f>
        <v/>
      </c>
      <c r="K22" s="291" t="n"/>
    </row>
    <row r="23" ht="31.5" customFormat="1" customHeight="1" s="301">
      <c r="A23" s="331" t="n">
        <v>11</v>
      </c>
      <c r="B23" s="331" t="inlineStr">
        <is>
          <t> </t>
        </is>
      </c>
      <c r="C23" s="332" t="inlineStr">
        <is>
          <t>91.14.02-004</t>
        </is>
      </c>
      <c r="D23" s="332" t="inlineStr">
        <is>
          <t>Автомобили бортовые, грузоподъемность до 15 т</t>
        </is>
      </c>
      <c r="E23" s="331" t="inlineStr">
        <is>
          <t>маш.-ч</t>
        </is>
      </c>
      <c r="F23" s="331" t="n">
        <v>185.8</v>
      </c>
      <c r="G23" s="260" t="n">
        <v>92.94</v>
      </c>
      <c r="H23" s="260">
        <f>ROUND(F23*G23,2)</f>
        <v/>
      </c>
      <c r="K23" s="291" t="n"/>
    </row>
    <row r="24" ht="31.5" customFormat="1" customHeight="1" s="301">
      <c r="A24" s="331" t="n">
        <v>12</v>
      </c>
      <c r="B24" s="331" t="inlineStr">
        <is>
          <t> </t>
        </is>
      </c>
      <c r="C24" s="332" t="inlineStr">
        <is>
          <t>91.06.09-101</t>
        </is>
      </c>
      <c r="D24" s="332" t="inlineStr">
        <is>
          <t>Стрелы монтажные А-образные для подъема опор ВЛ, высота до 22 м</t>
        </is>
      </c>
      <c r="E24" s="331" t="inlineStr">
        <is>
          <t>маш.час</t>
        </is>
      </c>
      <c r="F24" s="331" t="n">
        <v>1705.78275</v>
      </c>
      <c r="G24" s="260" t="n">
        <v>6.25</v>
      </c>
      <c r="H24" s="260">
        <f>ROUND(F24*G24,2)</f>
        <v/>
      </c>
      <c r="K24" s="291" t="n"/>
    </row>
    <row r="25" ht="31.5" customHeight="1" s="300">
      <c r="A25" s="331" t="n">
        <v>13</v>
      </c>
      <c r="B25" s="331" t="inlineStr">
        <is>
          <t> </t>
        </is>
      </c>
      <c r="C25" s="332" t="inlineStr">
        <is>
          <t>91.06.01-002</t>
        </is>
      </c>
      <c r="D25" s="332" t="inlineStr">
        <is>
          <t>Домкраты гидравлические, грузоподъемность 6,3-25 т</t>
        </is>
      </c>
      <c r="E25" s="331" t="inlineStr">
        <is>
          <t>маш.час</t>
        </is>
      </c>
      <c r="F25" s="331" t="n">
        <v>9623.75995</v>
      </c>
      <c r="G25" s="260" t="n">
        <v>0.48</v>
      </c>
      <c r="H25" s="260">
        <f>ROUND(F25*G25,2)</f>
        <v/>
      </c>
      <c r="K25" s="291" t="n"/>
    </row>
    <row r="26">
      <c r="A26" s="331" t="n">
        <v>14</v>
      </c>
      <c r="B26" s="331" t="inlineStr">
        <is>
          <t> </t>
        </is>
      </c>
      <c r="C26" s="332" t="inlineStr">
        <is>
          <t>91.15.01-001</t>
        </is>
      </c>
      <c r="D26" s="332" t="inlineStr">
        <is>
          <t>Прицепы тракторные 2 т</t>
        </is>
      </c>
      <c r="E26" s="331" t="inlineStr">
        <is>
          <t>маш.-ч</t>
        </is>
      </c>
      <c r="F26" s="331" t="n">
        <v>648.15</v>
      </c>
      <c r="G26" s="260" t="n">
        <v>4.01</v>
      </c>
      <c r="H26" s="260">
        <f>ROUND(F26*G26,2)</f>
        <v/>
      </c>
    </row>
    <row r="27">
      <c r="A27" s="330" t="inlineStr">
        <is>
          <t>Материалы</t>
        </is>
      </c>
      <c r="B27" s="405" t="n"/>
      <c r="C27" s="405" t="n"/>
      <c r="D27" s="405" t="n"/>
      <c r="E27" s="406" t="n"/>
      <c r="F27" s="330" t="n"/>
      <c r="G27" s="264" t="n"/>
      <c r="H27" s="264">
        <f>SUM(H28:H34)</f>
        <v/>
      </c>
    </row>
    <row r="28" ht="47.25" customHeight="1" s="300">
      <c r="A28" s="331" t="n">
        <v>15</v>
      </c>
      <c r="B28" s="331" t="inlineStr">
        <is>
          <t> </t>
        </is>
      </c>
      <c r="C28" s="332" t="inlineStr">
        <is>
          <t>Прайс из СД ОП</t>
        </is>
      </c>
      <c r="D28" s="332" t="inlineStr">
        <is>
          <t>Опоры решетчатые линий электропередачи оцинкованные, 330 кВ, промежуточные, одностоечные, свободностоящие</t>
        </is>
      </c>
      <c r="E28" s="331" t="inlineStr">
        <is>
          <t>т</t>
        </is>
      </c>
      <c r="F28" s="260" t="n">
        <v>2252.833384</v>
      </c>
      <c r="G28" s="260" t="n">
        <v>24123.95</v>
      </c>
      <c r="H28" s="260">
        <f>ROUND(F28*G28,2)</f>
        <v/>
      </c>
      <c r="J28" s="291" t="n"/>
    </row>
    <row r="29" ht="47.25" customHeight="1" s="300">
      <c r="A29" s="331" t="n">
        <v>16</v>
      </c>
      <c r="B29" s="331" t="inlineStr">
        <is>
          <t> </t>
        </is>
      </c>
      <c r="C29" s="332" t="inlineStr">
        <is>
          <t>Прайс из СД ОП</t>
        </is>
      </c>
      <c r="D29" s="332" t="inlineStr">
        <is>
          <t>Опоры решетчатые линий электропередачи оцинкованные, 330 кВ, анкерно-угловые, одностоечные, свободностоящие</t>
        </is>
      </c>
      <c r="E29" s="331" t="inlineStr">
        <is>
          <t>т</t>
        </is>
      </c>
      <c r="F29" s="260" t="n">
        <v>1015.392216</v>
      </c>
      <c r="G29" s="260" t="n">
        <v>24839.5</v>
      </c>
      <c r="H29" s="260">
        <f>ROUND(F29*G29,2)</f>
        <v/>
      </c>
      <c r="J29" s="291" t="n"/>
    </row>
    <row r="30" ht="63" customHeight="1" s="300">
      <c r="A30" s="331" t="n">
        <v>17</v>
      </c>
      <c r="B30" s="331" t="inlineStr">
        <is>
          <t> </t>
        </is>
      </c>
      <c r="C30" s="332" t="inlineStr">
        <is>
          <t>Прайс из СД ОП</t>
        </is>
      </c>
      <c r="D30" s="332" t="inlineStr">
        <is>
          <t>Информационные знак с совмещёнными знаками "Охранная зона" и "Опасность поражения эл.током" (с учётом стоимости рамки) - размеры (900*600)мм</t>
        </is>
      </c>
      <c r="E30" s="331" t="inlineStr">
        <is>
          <t>шт</t>
        </is>
      </c>
      <c r="F30" s="331" t="n">
        <v>320</v>
      </c>
      <c r="G30" s="260" t="n">
        <v>1507.68</v>
      </c>
      <c r="H30" s="260">
        <f>ROUND(F30*G30,2)</f>
        <v/>
      </c>
      <c r="J30" s="291" t="n"/>
    </row>
    <row r="31" ht="47.25" customHeight="1" s="300">
      <c r="A31" s="331" t="n">
        <v>18</v>
      </c>
      <c r="B31" s="331" t="inlineStr">
        <is>
          <t> </t>
        </is>
      </c>
      <c r="C31" s="332" t="inlineStr">
        <is>
          <t>Прайс из СД ОП</t>
        </is>
      </c>
      <c r="D31" s="332" t="inlineStr">
        <is>
          <t>Комплект крепежа для крепления информационного знака  (2шт на 1 информационный знак)</t>
        </is>
      </c>
      <c r="E31" s="331" t="inlineStr">
        <is>
          <t>шт</t>
        </is>
      </c>
      <c r="F31" s="331" t="n">
        <v>840</v>
      </c>
      <c r="G31" s="260" t="n">
        <v>426.04</v>
      </c>
      <c r="H31" s="260">
        <f>ROUND(F31*G31,2)</f>
        <v/>
      </c>
      <c r="J31" s="291" t="n"/>
    </row>
    <row r="32" ht="47.25" customHeight="1" s="300">
      <c r="A32" s="331" t="n">
        <v>19</v>
      </c>
      <c r="B32" s="331" t="inlineStr">
        <is>
          <t> </t>
        </is>
      </c>
      <c r="C32" s="332" t="inlineStr">
        <is>
          <t>Прайс из СД ОП</t>
        </is>
      </c>
      <c r="D32" s="332" t="inlineStr">
        <is>
          <t>Информационный знак, видимый с вертолёта (с учётом стоимости рамки) - размеры (500*400)мм</t>
        </is>
      </c>
      <c r="E32" s="331" t="inlineStr">
        <is>
          <t>шт</t>
        </is>
      </c>
      <c r="F32" s="331" t="n">
        <v>64</v>
      </c>
      <c r="G32" s="260" t="n">
        <v>675.21</v>
      </c>
      <c r="H32" s="260">
        <f>ROUND(F32*G32,2)</f>
        <v/>
      </c>
      <c r="J32" s="291" t="n"/>
    </row>
    <row r="33" ht="47.25" customHeight="1" s="300">
      <c r="A33" s="331" t="n">
        <v>20</v>
      </c>
      <c r="B33" s="331" t="inlineStr">
        <is>
          <t> </t>
        </is>
      </c>
      <c r="C33" s="332" t="inlineStr">
        <is>
          <t>Прайс из СД ОП</t>
        </is>
      </c>
      <c r="D33" s="332" t="inlineStr">
        <is>
          <t>Информационный знак с указание обозначения типа  и № соединительной муфты (с учётом стоимости рамки) -  размеры (150*200)мм</t>
        </is>
      </c>
      <c r="E33" s="331" t="inlineStr">
        <is>
          <t>шт</t>
        </is>
      </c>
      <c r="F33" s="331" t="n">
        <v>21</v>
      </c>
      <c r="G33" s="260" t="n">
        <v>333.73</v>
      </c>
      <c r="H33" s="260">
        <f>ROUND(F33*G33,2)</f>
        <v/>
      </c>
      <c r="J33" s="291" t="n"/>
    </row>
    <row r="34" ht="47.25" customHeight="1" s="300">
      <c r="A34" s="331" t="n">
        <v>21</v>
      </c>
      <c r="B34" s="331" t="inlineStr">
        <is>
          <t> </t>
        </is>
      </c>
      <c r="C34" s="332" t="inlineStr">
        <is>
          <t>Прайс из СД ОП</t>
        </is>
      </c>
      <c r="D34" s="332" t="inlineStr">
        <is>
          <t>Информационный знак с указанием расцветки фаз (с учётом стоимости рамки).  Размеры 300*300 мм</t>
        </is>
      </c>
      <c r="E34" s="331" t="inlineStr">
        <is>
          <t>шт</t>
        </is>
      </c>
      <c r="F34" s="331" t="n">
        <v>15</v>
      </c>
      <c r="G34" s="260" t="n">
        <v>385.73</v>
      </c>
      <c r="H34" s="260">
        <f>ROUND(F34*G34,2)</f>
        <v/>
      </c>
      <c r="J34" s="291" t="n"/>
    </row>
    <row r="37">
      <c r="B37" s="299" t="inlineStr">
        <is>
          <t>Составил ______________________        А.П. Николаева</t>
        </is>
      </c>
    </row>
    <row r="38">
      <c r="B38" s="246" t="inlineStr">
        <is>
          <t xml:space="preserve">                         (подпись, инициалы, фамилия)</t>
        </is>
      </c>
    </row>
    <row r="40">
      <c r="B40" s="299" t="inlineStr">
        <is>
          <t>Проверил ______________________        А.В. Костянецкая</t>
        </is>
      </c>
    </row>
    <row r="41">
      <c r="B41" s="246" t="inlineStr">
        <is>
          <t xml:space="preserve">                        (подпись, инициалы, фамилия)</t>
        </is>
      </c>
    </row>
  </sheetData>
  <mergeCells count="14">
    <mergeCell ref="A3:H3"/>
    <mergeCell ref="G7:H7"/>
    <mergeCell ref="A15:E15"/>
    <mergeCell ref="A10:E10"/>
    <mergeCell ref="A2:H2"/>
    <mergeCell ref="C7:C8"/>
    <mergeCell ref="A7:A8"/>
    <mergeCell ref="B7:B8"/>
    <mergeCell ref="D7:D8"/>
    <mergeCell ref="E7:E8"/>
    <mergeCell ref="A13:E13"/>
    <mergeCell ref="A5:H5"/>
    <mergeCell ref="F7:F8"/>
    <mergeCell ref="A27:E27"/>
  </mergeCells>
  <pageMargins left="0.7086614173228351" right="0.7086614173228351" top="0.748031496062992" bottom="0.748031496062992" header="0.31496062992126" footer="0.31496062992126"/>
  <pageSetup orientation="landscape" paperSize="9" scale="83" fitToHeight="0" cellComments="atEnd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L50"/>
  <sheetViews>
    <sheetView view="pageBreakPreview" topLeftCell="A37" workbookViewId="0">
      <selection activeCell="B42" sqref="B42"/>
    </sheetView>
  </sheetViews>
  <sheetFormatPr baseColWidth="8" defaultRowHeight="14.4"/>
  <cols>
    <col width="4.109375" customWidth="1" style="300" min="1" max="1"/>
    <col width="36.33203125" customWidth="1" style="300" min="2" max="2"/>
    <col width="18.88671875" customWidth="1" style="300" min="3" max="3"/>
    <col width="18.33203125" customWidth="1" style="300" min="4" max="4"/>
    <col width="18.88671875" customWidth="1" style="300" min="5" max="5"/>
    <col width="11.44140625" customWidth="1" style="300" min="6" max="6"/>
    <col width="14.44140625" customWidth="1" style="300" min="7" max="7"/>
    <col width="9.109375" customWidth="1" style="300" min="8" max="11"/>
    <col width="13.5546875" customWidth="1" style="300" min="12" max="12"/>
    <col width="9.109375" customWidth="1" style="300" min="13" max="13"/>
  </cols>
  <sheetData>
    <row r="1">
      <c r="B1" s="306" t="n"/>
      <c r="C1" s="306" t="n"/>
      <c r="D1" s="306" t="n"/>
      <c r="E1" s="306" t="n"/>
    </row>
    <row r="2">
      <c r="B2" s="306" t="n"/>
      <c r="C2" s="306" t="n"/>
      <c r="D2" s="306" t="n"/>
      <c r="E2" s="354" t="inlineStr">
        <is>
          <t>Приложение № 4</t>
        </is>
      </c>
    </row>
    <row r="3">
      <c r="B3" s="306" t="n"/>
      <c r="C3" s="306" t="n"/>
      <c r="D3" s="306" t="n"/>
      <c r="E3" s="306" t="n"/>
    </row>
    <row r="4">
      <c r="B4" s="306" t="n"/>
      <c r="C4" s="306" t="n"/>
      <c r="D4" s="306" t="n"/>
      <c r="E4" s="306" t="n"/>
    </row>
    <row r="5">
      <c r="B5" s="310" t="inlineStr">
        <is>
          <t>Ресурсная модель</t>
        </is>
      </c>
    </row>
    <row r="6">
      <c r="B6" s="289" t="n"/>
      <c r="C6" s="306" t="n"/>
      <c r="D6" s="306" t="n"/>
      <c r="E6" s="306" t="n"/>
    </row>
    <row r="7" ht="25.5" customHeight="1" s="300">
      <c r="B7" s="322" t="inlineStr">
        <is>
          <t>Наименование разрабатываемого показателя УНЦ — Опоры ВЛ 0,4 - 750 кВ. Одноцепная, все типы опор за исключением многогранных 330 кВ.</t>
        </is>
      </c>
    </row>
    <row r="8">
      <c r="B8" s="333" t="inlineStr">
        <is>
          <t>Единица измерения  — 1 км</t>
        </is>
      </c>
    </row>
    <row r="9">
      <c r="B9" s="289" t="n"/>
      <c r="C9" s="306" t="n"/>
      <c r="D9" s="306" t="n"/>
      <c r="E9" s="306" t="n"/>
    </row>
    <row r="10" ht="51" customHeight="1" s="300">
      <c r="B10" s="337" t="inlineStr">
        <is>
          <t>Наименование</t>
        </is>
      </c>
      <c r="C10" s="337" t="inlineStr">
        <is>
          <t>Сметная стоимость в ценах на 01.01.2023
 (руб.)</t>
        </is>
      </c>
      <c r="D10" s="337" t="inlineStr">
        <is>
          <t>Удельный вес, 
(в СМР)</t>
        </is>
      </c>
      <c r="E10" s="337" t="inlineStr">
        <is>
          <t>Удельный вес, % 
(от всего по РМ)</t>
        </is>
      </c>
    </row>
    <row r="11">
      <c r="B11" s="281" t="inlineStr">
        <is>
          <t>Оплата труда рабочих</t>
        </is>
      </c>
      <c r="C11" s="282">
        <f>'Прил.5 Расчет СМР и ОБ'!J15</f>
        <v/>
      </c>
      <c r="D11" s="283">
        <f>C11/$C$24</f>
        <v/>
      </c>
      <c r="E11" s="283">
        <f>C11/$C$40</f>
        <v/>
      </c>
    </row>
    <row r="12">
      <c r="B12" s="281" t="inlineStr">
        <is>
          <t>Эксплуатация машин основных</t>
        </is>
      </c>
      <c r="C12" s="282">
        <f>'Прил.5 Расчет СМР и ОБ'!J25</f>
        <v/>
      </c>
      <c r="D12" s="283">
        <f>C12/$C$24</f>
        <v/>
      </c>
      <c r="E12" s="283">
        <f>C12/$C$40</f>
        <v/>
      </c>
    </row>
    <row r="13">
      <c r="B13" s="281" t="inlineStr">
        <is>
          <t>Эксплуатация машин прочих</t>
        </is>
      </c>
      <c r="C13" s="282">
        <f>'Прил.5 Расчет СМР и ОБ'!J33</f>
        <v/>
      </c>
      <c r="D13" s="283">
        <f>C13/$C$24</f>
        <v/>
      </c>
      <c r="E13" s="283">
        <f>C13/$C$40</f>
        <v/>
      </c>
    </row>
    <row r="14">
      <c r="B14" s="281" t="inlineStr">
        <is>
          <t>ЭКСПЛУАТАЦИЯ МАШИН, ВСЕГО:</t>
        </is>
      </c>
      <c r="C14" s="282">
        <f>C13+C12</f>
        <v/>
      </c>
      <c r="D14" s="283">
        <f>C14/$C$24</f>
        <v/>
      </c>
      <c r="E14" s="283">
        <f>C14/$C$40</f>
        <v/>
      </c>
    </row>
    <row r="15">
      <c r="B15" s="281" t="inlineStr">
        <is>
          <t>в том числе зарплата машинистов</t>
        </is>
      </c>
      <c r="C15" s="282">
        <f>'Прил.5 Расчет СМР и ОБ'!J17</f>
        <v/>
      </c>
      <c r="D15" s="283">
        <f>C15/$C$24</f>
        <v/>
      </c>
      <c r="E15" s="283">
        <f>C15/$C$40</f>
        <v/>
      </c>
    </row>
    <row r="16">
      <c r="B16" s="281" t="inlineStr">
        <is>
          <t>Материалы основные</t>
        </is>
      </c>
      <c r="C16" s="282">
        <f>'Прил.5 Расчет СМР и ОБ'!J45</f>
        <v/>
      </c>
      <c r="D16" s="283">
        <f>C16/$C$24</f>
        <v/>
      </c>
      <c r="E16" s="283">
        <f>C16/$C$40</f>
        <v/>
      </c>
    </row>
    <row r="17">
      <c r="B17" s="281" t="inlineStr">
        <is>
          <t>Материалы прочие</t>
        </is>
      </c>
      <c r="C17" s="282">
        <f>'Прил.5 Расчет СМР и ОБ'!J51</f>
        <v/>
      </c>
      <c r="D17" s="283">
        <f>C17/$C$24</f>
        <v/>
      </c>
      <c r="E17" s="283">
        <f>C17/$C$40</f>
        <v/>
      </c>
      <c r="G17" s="287" t="n"/>
    </row>
    <row r="18">
      <c r="B18" s="281" t="inlineStr">
        <is>
          <t>МАТЕРИАЛЫ, ВСЕГО:</t>
        </is>
      </c>
      <c r="C18" s="282">
        <f>C17+C16</f>
        <v/>
      </c>
      <c r="D18" s="283">
        <f>C18/$C$24</f>
        <v/>
      </c>
      <c r="E18" s="283">
        <f>C18/$C$40</f>
        <v/>
      </c>
    </row>
    <row r="19">
      <c r="B19" s="281" t="inlineStr">
        <is>
          <t>ИТОГО</t>
        </is>
      </c>
      <c r="C19" s="282">
        <f>C18+C14+C11</f>
        <v/>
      </c>
      <c r="D19" s="283" t="n"/>
      <c r="E19" s="281" t="n"/>
    </row>
    <row r="20">
      <c r="B20" s="281" t="inlineStr">
        <is>
          <t>Сметная прибыль, руб.</t>
        </is>
      </c>
      <c r="C20" s="282">
        <f>ROUND(C21*(C11+C15),2)</f>
        <v/>
      </c>
      <c r="D20" s="283">
        <f>C20/$C$24</f>
        <v/>
      </c>
      <c r="E20" s="283">
        <f>C20/$C$40</f>
        <v/>
      </c>
    </row>
    <row r="21">
      <c r="B21" s="281" t="inlineStr">
        <is>
          <t>Сметная прибыль, %</t>
        </is>
      </c>
      <c r="C21" s="286">
        <f>'Прил.5 Расчет СМР и ОБ'!D55</f>
        <v/>
      </c>
      <c r="D21" s="283" t="n"/>
      <c r="E21" s="281" t="n"/>
    </row>
    <row r="22">
      <c r="B22" s="281" t="inlineStr">
        <is>
          <t>Накладные расходы, руб.</t>
        </is>
      </c>
      <c r="C22" s="282">
        <f>ROUND(C23*(C11+C15),2)</f>
        <v/>
      </c>
      <c r="D22" s="283">
        <f>C22/$C$24</f>
        <v/>
      </c>
      <c r="E22" s="283">
        <f>C22/$C$40</f>
        <v/>
      </c>
    </row>
    <row r="23">
      <c r="B23" s="281" t="inlineStr">
        <is>
          <t>Накладные расходы, %</t>
        </is>
      </c>
      <c r="C23" s="286">
        <f>'Прил.5 Расчет СМР и ОБ'!D54</f>
        <v/>
      </c>
      <c r="D23" s="283" t="n"/>
      <c r="E23" s="281" t="n"/>
    </row>
    <row r="24">
      <c r="B24" s="281" t="inlineStr">
        <is>
          <t>ВСЕГО СМР с НР и СП</t>
        </is>
      </c>
      <c r="C24" s="282">
        <f>C19+C20+C22</f>
        <v/>
      </c>
      <c r="D24" s="283">
        <f>C24/$C$24</f>
        <v/>
      </c>
      <c r="E24" s="283">
        <f>C24/$C$40</f>
        <v/>
      </c>
    </row>
    <row r="25" ht="25.5" customHeight="1" s="300">
      <c r="B25" s="281" t="inlineStr">
        <is>
          <t>ВСЕГО стоимость оборудования, в том числе</t>
        </is>
      </c>
      <c r="C25" s="282">
        <f>'Прил.5 Расчет СМР и ОБ'!J39</f>
        <v/>
      </c>
      <c r="D25" s="283" t="n"/>
      <c r="E25" s="283">
        <f>C25/$C$40</f>
        <v/>
      </c>
    </row>
    <row r="26" ht="25.5" customHeight="1" s="300">
      <c r="B26" s="281" t="inlineStr">
        <is>
          <t>стоимость оборудования технологического</t>
        </is>
      </c>
      <c r="C26" s="282">
        <f>'Прил.5 Расчет СМР и ОБ'!J40</f>
        <v/>
      </c>
      <c r="D26" s="283" t="n"/>
      <c r="E26" s="283">
        <f>C26/$C$40</f>
        <v/>
      </c>
    </row>
    <row r="27">
      <c r="B27" s="281" t="inlineStr">
        <is>
          <t>ИТОГО (СМР + ОБОРУДОВАНИЕ)</t>
        </is>
      </c>
      <c r="C27" s="285">
        <f>C24+C25</f>
        <v/>
      </c>
      <c r="D27" s="283" t="n"/>
      <c r="E27" s="283">
        <f>C27/$C$40</f>
        <v/>
      </c>
    </row>
    <row r="28" ht="33" customHeight="1" s="300">
      <c r="B28" s="281" t="inlineStr">
        <is>
          <t>ПРОЧ. ЗАТР., УЧТЕННЫЕ ПОКАЗАТЕЛЕМ,  в том числе</t>
        </is>
      </c>
      <c r="C28" s="281" t="n"/>
      <c r="D28" s="281" t="n"/>
      <c r="E28" s="281" t="n"/>
      <c r="F28" s="284" t="n"/>
    </row>
    <row r="29" ht="25.5" customHeight="1" s="300">
      <c r="B29" s="281" t="inlineStr">
        <is>
          <t>Временные здания и сооружения - 3,3%</t>
        </is>
      </c>
      <c r="C29" s="285">
        <f>ROUND(C24*3.3%,2)</f>
        <v/>
      </c>
      <c r="D29" s="281" t="n"/>
      <c r="E29" s="283">
        <f>C29/$C$40</f>
        <v/>
      </c>
    </row>
    <row r="30" ht="38.25" customHeight="1" s="300">
      <c r="B30" s="281" t="inlineStr">
        <is>
          <t>Дополнительные затраты при производстве строительно-монтажных работ в зимнее время - 1%</t>
        </is>
      </c>
      <c r="C30" s="285">
        <f>ROUND((C24+C29)*1%,2)</f>
        <v/>
      </c>
      <c r="D30" s="281" t="n"/>
      <c r="E30" s="283">
        <f>C30/$C$40</f>
        <v/>
      </c>
      <c r="F30" s="284" t="n"/>
    </row>
    <row r="31">
      <c r="B31" s="281" t="inlineStr">
        <is>
          <t>Пусконаладочные работы</t>
        </is>
      </c>
      <c r="C31" s="285" t="n">
        <v>0</v>
      </c>
      <c r="D31" s="281" t="n"/>
      <c r="E31" s="283">
        <f>C31/$C$40</f>
        <v/>
      </c>
    </row>
    <row r="32" ht="25.5" customHeight="1" s="300">
      <c r="B32" s="281" t="inlineStr">
        <is>
          <t>Затраты по перевозке работников к месту работы и обратно</t>
        </is>
      </c>
      <c r="C32" s="285">
        <f>ROUND($C$27*0,2)</f>
        <v/>
      </c>
      <c r="D32" s="281" t="n"/>
      <c r="E32" s="283">
        <f>C32/$C$40</f>
        <v/>
      </c>
    </row>
    <row r="33" ht="25.5" customHeight="1" s="300">
      <c r="B33" s="281" t="inlineStr">
        <is>
          <t>Затраты, связанные с осуществлением работ вахтовым методом</t>
        </is>
      </c>
      <c r="C33" s="285">
        <f>ROUND($C$27*0,2)</f>
        <v/>
      </c>
      <c r="D33" s="281" t="n"/>
      <c r="E33" s="283">
        <f>C33/$C$40</f>
        <v/>
      </c>
    </row>
    <row r="34" ht="51" customHeight="1" s="300">
      <c r="B34" s="281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85">
        <f>ROUND($C$27*0,2)</f>
        <v/>
      </c>
      <c r="D34" s="281" t="n"/>
      <c r="E34" s="283">
        <f>C34/$C$40</f>
        <v/>
      </c>
      <c r="H34" s="293" t="n"/>
    </row>
    <row r="35" ht="76.5" customHeight="1" s="300">
      <c r="B35" s="281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85">
        <f>ROUND($C$27*0,2)</f>
        <v/>
      </c>
      <c r="D35" s="281" t="n"/>
      <c r="E35" s="283">
        <f>C35/$C$40</f>
        <v/>
      </c>
    </row>
    <row r="36" ht="25.5" customHeight="1" s="300">
      <c r="B36" s="281" t="inlineStr">
        <is>
          <t>Строительный контроль и содержание службы заказчика - 2,14%</t>
        </is>
      </c>
      <c r="C36" s="285">
        <f>ROUND((C27+C32+C33+C34+C35+C29+C31+C30)*2.14%,2)</f>
        <v/>
      </c>
      <c r="D36" s="281" t="n"/>
      <c r="E36" s="283">
        <f>C36/$C$40</f>
        <v/>
      </c>
      <c r="L36" s="284" t="n"/>
    </row>
    <row r="37">
      <c r="B37" s="281" t="inlineStr">
        <is>
          <t>Авторский надзор - 0,2%</t>
        </is>
      </c>
      <c r="C37" s="285">
        <f>ROUND((C27+C32+C33+C34+C35+C29+C31+C30)*0.2%,2)</f>
        <v/>
      </c>
      <c r="D37" s="281" t="n"/>
      <c r="E37" s="283">
        <f>C37/$C$40</f>
        <v/>
      </c>
      <c r="L37" s="284" t="n"/>
    </row>
    <row r="38" ht="38.25" customHeight="1" s="300">
      <c r="B38" s="281" t="inlineStr">
        <is>
          <t>ИТОГО (СМР+ОБОРУДОВАНИЕ+ПРОЧ. ЗАТР., УЧТЕННЫЕ ПОКАЗАТЕЛЕМ)</t>
        </is>
      </c>
      <c r="C38" s="282">
        <f>C27+C32+C33+C34+C35+C29+C31+C30+C36+C37</f>
        <v/>
      </c>
      <c r="D38" s="281" t="n"/>
      <c r="E38" s="283">
        <f>C38/$C$40</f>
        <v/>
      </c>
    </row>
    <row r="39" ht="13.5" customHeight="1" s="300">
      <c r="B39" s="281" t="inlineStr">
        <is>
          <t>Непредвиденные расходы</t>
        </is>
      </c>
      <c r="C39" s="282">
        <f>ROUND(C38*3%,2)</f>
        <v/>
      </c>
      <c r="D39" s="281" t="n"/>
      <c r="E39" s="283">
        <f>C39/$C$38</f>
        <v/>
      </c>
    </row>
    <row r="40">
      <c r="B40" s="281" t="inlineStr">
        <is>
          <t>ВСЕГО:</t>
        </is>
      </c>
      <c r="C40" s="282">
        <f>C39+C38</f>
        <v/>
      </c>
      <c r="D40" s="281" t="n"/>
      <c r="E40" s="283">
        <f>C40/$C$40</f>
        <v/>
      </c>
    </row>
    <row r="41">
      <c r="B41" s="281" t="inlineStr">
        <is>
          <t>ИТОГО ПОКАЗАТЕЛЬ НА ЕД. ИЗМ.</t>
        </is>
      </c>
      <c r="C41" s="282">
        <f>C40/'Прил.5 Расчет СМР и ОБ'!E58</f>
        <v/>
      </c>
      <c r="D41" s="281" t="n"/>
      <c r="E41" s="281" t="n"/>
    </row>
    <row r="42">
      <c r="B42" s="280" t="n"/>
      <c r="C42" s="306" t="n"/>
      <c r="D42" s="306" t="n"/>
      <c r="E42" s="306" t="n"/>
    </row>
    <row r="43">
      <c r="B43" s="280" t="inlineStr">
        <is>
          <t>Составил ____________________________ А.П. Николаева</t>
        </is>
      </c>
      <c r="C43" s="306" t="n"/>
      <c r="D43" s="306" t="n"/>
      <c r="E43" s="306" t="n"/>
    </row>
    <row r="44">
      <c r="B44" s="280" t="inlineStr">
        <is>
          <t xml:space="preserve">(должность, подпись, инициалы, фамилия) </t>
        </is>
      </c>
      <c r="C44" s="306" t="n"/>
      <c r="D44" s="306" t="n"/>
      <c r="E44" s="306" t="n"/>
    </row>
    <row r="45">
      <c r="B45" s="280" t="n"/>
      <c r="C45" s="306" t="n"/>
      <c r="D45" s="306" t="n"/>
      <c r="E45" s="306" t="n"/>
    </row>
    <row r="46">
      <c r="B46" s="280" t="inlineStr">
        <is>
          <t>Проверил ____________________________ А.В. Костянецкая</t>
        </is>
      </c>
      <c r="C46" s="306" t="n"/>
      <c r="D46" s="306" t="n"/>
      <c r="E46" s="306" t="n"/>
    </row>
    <row r="47">
      <c r="B47" s="333" t="inlineStr">
        <is>
          <t>(должность, подпись, инициалы, фамилия)</t>
        </is>
      </c>
      <c r="D47" s="306" t="n"/>
      <c r="E47" s="306" t="n"/>
    </row>
    <row r="49">
      <c r="B49" s="306" t="n"/>
      <c r="C49" s="306" t="n"/>
      <c r="D49" s="306" t="n"/>
      <c r="E49" s="306" t="n"/>
    </row>
    <row r="50">
      <c r="B50" s="306" t="n"/>
      <c r="C50" s="306" t="n"/>
      <c r="D50" s="306" t="n"/>
      <c r="E50" s="306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4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64"/>
  <sheetViews>
    <sheetView view="pageBreakPreview" topLeftCell="A52" zoomScale="85" workbookViewId="0">
      <selection activeCell="B59" sqref="B59"/>
    </sheetView>
  </sheetViews>
  <sheetFormatPr baseColWidth="8" defaultColWidth="9.109375" defaultRowHeight="14.4" outlineLevelRow="1"/>
  <cols>
    <col width="5.6640625" customWidth="1" style="307" min="1" max="1"/>
    <col width="22.5546875" customWidth="1" style="307" min="2" max="2"/>
    <col width="39.109375" customWidth="1" style="307" min="3" max="3"/>
    <col width="10.6640625" customWidth="1" style="307" min="4" max="4"/>
    <col width="12.6640625" customWidth="1" style="307" min="5" max="5"/>
    <col width="15" customWidth="1" style="307" min="6" max="6"/>
    <col width="13.44140625" customWidth="1" style="307" min="7" max="7"/>
    <col width="12.6640625" customWidth="1" style="307" min="8" max="8"/>
    <col width="13.88671875" customWidth="1" style="307" min="9" max="9"/>
    <col width="17.5546875" customWidth="1" style="307" min="10" max="10"/>
    <col width="10.88671875" customWidth="1" style="307" min="11" max="11"/>
    <col width="9.109375" customWidth="1" style="307" min="12" max="12"/>
    <col width="9.109375" customWidth="1" style="300" min="13" max="13"/>
  </cols>
  <sheetData>
    <row r="1" s="300">
      <c r="A1" s="307" t="n"/>
      <c r="B1" s="307" t="n"/>
      <c r="C1" s="307" t="n"/>
      <c r="D1" s="307" t="n"/>
      <c r="E1" s="307" t="n"/>
      <c r="F1" s="307" t="n"/>
      <c r="G1" s="307" t="n"/>
      <c r="H1" s="307" t="n"/>
      <c r="I1" s="307" t="n"/>
      <c r="J1" s="307" t="n"/>
      <c r="K1" s="307" t="n"/>
      <c r="L1" s="307" t="n"/>
      <c r="M1" s="307" t="n"/>
      <c r="N1" s="307" t="n"/>
    </row>
    <row r="2" ht="15.75" customHeight="1" s="300">
      <c r="A2" s="307" t="n"/>
      <c r="B2" s="307" t="n"/>
      <c r="C2" s="307" t="n"/>
      <c r="D2" s="307" t="n"/>
      <c r="E2" s="307" t="n"/>
      <c r="F2" s="307" t="n"/>
      <c r="G2" s="307" t="n"/>
      <c r="H2" s="334" t="inlineStr">
        <is>
          <t>Приложение №5</t>
        </is>
      </c>
      <c r="K2" s="307" t="n"/>
      <c r="L2" s="307" t="n"/>
      <c r="M2" s="307" t="n"/>
      <c r="N2" s="307" t="n"/>
    </row>
    <row r="3" s="300">
      <c r="A3" s="307" t="n"/>
      <c r="B3" s="307" t="n"/>
      <c r="C3" s="307" t="n"/>
      <c r="D3" s="307" t="n"/>
      <c r="E3" s="307" t="n"/>
      <c r="F3" s="307" t="n"/>
      <c r="G3" s="307" t="n"/>
      <c r="H3" s="307" t="n"/>
      <c r="I3" s="307" t="n"/>
      <c r="J3" s="307" t="n"/>
      <c r="K3" s="307" t="n"/>
      <c r="L3" s="307" t="n"/>
      <c r="M3" s="307" t="n"/>
      <c r="N3" s="307" t="n"/>
    </row>
    <row r="4" ht="12.75" customFormat="1" customHeight="1" s="306">
      <c r="A4" s="310" t="inlineStr">
        <is>
          <t>Расчет стоимости СМР и оборудования</t>
        </is>
      </c>
    </row>
    <row r="5" ht="12.75" customFormat="1" customHeight="1" s="306">
      <c r="A5" s="310" t="n"/>
      <c r="B5" s="310" t="n"/>
      <c r="C5" s="362" t="n"/>
      <c r="D5" s="310" t="n"/>
      <c r="E5" s="310" t="n"/>
      <c r="F5" s="310" t="n"/>
      <c r="G5" s="310" t="n"/>
      <c r="H5" s="310" t="n"/>
      <c r="I5" s="310" t="n"/>
      <c r="J5" s="310" t="n"/>
    </row>
    <row r="6" ht="12.75" customFormat="1" customHeight="1" s="306">
      <c r="A6" s="233" t="inlineStr">
        <is>
          <t>Наименование разрабатываемого показателя УНЦ</t>
        </is>
      </c>
      <c r="B6" s="232" t="n"/>
      <c r="C6" s="232" t="n"/>
      <c r="D6" s="340" t="inlineStr">
        <is>
          <t>Опоры ВЛ 0,4 - 750 кВ. Одноцепная, все типы опор за исключением многогранных 330 кВ.</t>
        </is>
      </c>
    </row>
    <row r="7" ht="12.75" customFormat="1" customHeight="1" s="306">
      <c r="A7" s="313" t="inlineStr">
        <is>
          <t>Единица измерения  — 1 км</t>
        </is>
      </c>
      <c r="I7" s="322" t="n"/>
      <c r="J7" s="322" t="n"/>
    </row>
    <row r="8" ht="13.5" customFormat="1" customHeight="1" s="306">
      <c r="A8" s="313" t="n"/>
    </row>
    <row r="9" ht="13.2" customFormat="1" customHeight="1" s="306"/>
    <row r="10" ht="27" customHeight="1" s="300">
      <c r="A10" s="337" t="inlineStr">
        <is>
          <t>№ пп.</t>
        </is>
      </c>
      <c r="B10" s="337" t="inlineStr">
        <is>
          <t>Код ресурса</t>
        </is>
      </c>
      <c r="C10" s="337" t="inlineStr">
        <is>
          <t>Наименование</t>
        </is>
      </c>
      <c r="D10" s="337" t="inlineStr">
        <is>
          <t>Ед. изм.</t>
        </is>
      </c>
      <c r="E10" s="337" t="inlineStr">
        <is>
          <t>Кол-во единиц по проектным данным</t>
        </is>
      </c>
      <c r="F10" s="337" t="inlineStr">
        <is>
          <t>Сметная стоимость в ценах на 01.01.2000 (руб.)</t>
        </is>
      </c>
      <c r="G10" s="406" t="n"/>
      <c r="H10" s="337" t="inlineStr">
        <is>
          <t>Удельный вес, %</t>
        </is>
      </c>
      <c r="I10" s="337" t="inlineStr">
        <is>
          <t>Сметная стоимость в ценах на 01.01.2023 (руб.)</t>
        </is>
      </c>
      <c r="J10" s="406" t="n"/>
      <c r="K10" s="307" t="n"/>
      <c r="L10" s="307" t="n"/>
      <c r="M10" s="307" t="n"/>
      <c r="N10" s="307" t="n"/>
    </row>
    <row r="11" ht="28.5" customHeight="1" s="300">
      <c r="A11" s="408" t="n"/>
      <c r="B11" s="408" t="n"/>
      <c r="C11" s="408" t="n"/>
      <c r="D11" s="408" t="n"/>
      <c r="E11" s="408" t="n"/>
      <c r="F11" s="337" t="inlineStr">
        <is>
          <t>на ед. изм.</t>
        </is>
      </c>
      <c r="G11" s="337" t="inlineStr">
        <is>
          <t>общая</t>
        </is>
      </c>
      <c r="H11" s="408" t="n"/>
      <c r="I11" s="337" t="inlineStr">
        <is>
          <t>на ед. изм.</t>
        </is>
      </c>
      <c r="J11" s="337" t="inlineStr">
        <is>
          <t>общая</t>
        </is>
      </c>
      <c r="K11" s="307" t="n"/>
      <c r="L11" s="307" t="n"/>
      <c r="M11" s="307" t="n"/>
      <c r="N11" s="307" t="n"/>
    </row>
    <row r="12" s="300">
      <c r="A12" s="337" t="n">
        <v>1</v>
      </c>
      <c r="B12" s="337" t="n">
        <v>2</v>
      </c>
      <c r="C12" s="337" t="n">
        <v>3</v>
      </c>
      <c r="D12" s="337" t="n">
        <v>4</v>
      </c>
      <c r="E12" s="337" t="n">
        <v>5</v>
      </c>
      <c r="F12" s="337" t="n">
        <v>6</v>
      </c>
      <c r="G12" s="337" t="n">
        <v>7</v>
      </c>
      <c r="H12" s="337" t="n">
        <v>8</v>
      </c>
      <c r="I12" s="338" t="n">
        <v>9</v>
      </c>
      <c r="J12" s="338" t="n">
        <v>10</v>
      </c>
      <c r="K12" s="307" t="n"/>
      <c r="L12" s="307" t="n"/>
      <c r="M12" s="307" t="n"/>
      <c r="N12" s="307" t="n"/>
    </row>
    <row r="13">
      <c r="A13" s="337" t="n"/>
      <c r="B13" s="345" t="inlineStr">
        <is>
          <t>Затраты труда рабочих-строителей</t>
        </is>
      </c>
      <c r="C13" s="405" t="n"/>
      <c r="D13" s="405" t="n"/>
      <c r="E13" s="405" t="n"/>
      <c r="F13" s="405" t="n"/>
      <c r="G13" s="405" t="n"/>
      <c r="H13" s="406" t="n"/>
      <c r="I13" s="217" t="n"/>
      <c r="J13" s="217" t="n"/>
    </row>
    <row r="14" ht="25.5" customHeight="1" s="300">
      <c r="A14" s="337" t="n">
        <v>1</v>
      </c>
      <c r="B14" s="230" t="inlineStr">
        <is>
          <t>1-4-1</t>
        </is>
      </c>
      <c r="C14" s="346" t="inlineStr">
        <is>
          <t>Затраты труда рабочих-строителей среднего разряда (4,1)</t>
        </is>
      </c>
      <c r="D14" s="337" t="inlineStr">
        <is>
          <t>чел.-ч.</t>
        </is>
      </c>
      <c r="E14" s="228" t="n">
        <v>93854.429303279</v>
      </c>
      <c r="F14" s="226" t="n">
        <v>9.76</v>
      </c>
      <c r="G14" s="226">
        <f>'Прил. 3'!H10</f>
        <v/>
      </c>
      <c r="H14" s="229">
        <f>G14/G15</f>
        <v/>
      </c>
      <c r="I14" s="226">
        <f>ФОТр.тек.!E13</f>
        <v/>
      </c>
      <c r="J14" s="226">
        <f>ROUND(I14*E14,2)</f>
        <v/>
      </c>
    </row>
    <row r="15" ht="25.5" customFormat="1" customHeight="1" s="307">
      <c r="A15" s="337" t="n"/>
      <c r="B15" s="337" t="n"/>
      <c r="C15" s="345" t="inlineStr">
        <is>
          <t>Итого по разделу "Затраты труда рабочих-строителей"</t>
        </is>
      </c>
      <c r="D15" s="337" t="inlineStr">
        <is>
          <t>чел.-ч.</t>
        </is>
      </c>
      <c r="E15" s="228">
        <f>SUM(E14:E14)</f>
        <v/>
      </c>
      <c r="F15" s="226" t="n"/>
      <c r="G15" s="226">
        <f>SUM(G14:G14)</f>
        <v/>
      </c>
      <c r="H15" s="349" t="n">
        <v>1</v>
      </c>
      <c r="I15" s="217" t="n"/>
      <c r="J15" s="226">
        <f>SUM(J14:J14)</f>
        <v/>
      </c>
    </row>
    <row r="16" ht="14.25" customFormat="1" customHeight="1" s="307">
      <c r="A16" s="337" t="n"/>
      <c r="B16" s="346" t="inlineStr">
        <is>
          <t>Затраты труда машинистов</t>
        </is>
      </c>
      <c r="C16" s="405" t="n"/>
      <c r="D16" s="405" t="n"/>
      <c r="E16" s="405" t="n"/>
      <c r="F16" s="405" t="n"/>
      <c r="G16" s="405" t="n"/>
      <c r="H16" s="406" t="n"/>
      <c r="I16" s="217" t="n"/>
      <c r="J16" s="217" t="n"/>
    </row>
    <row r="17" ht="14.25" customFormat="1" customHeight="1" s="307">
      <c r="A17" s="337" t="n">
        <v>2</v>
      </c>
      <c r="B17" s="337" t="n">
        <v>2</v>
      </c>
      <c r="C17" s="346" t="inlineStr">
        <is>
          <t>Затраты труда машинистов</t>
        </is>
      </c>
      <c r="D17" s="337" t="inlineStr">
        <is>
          <t>чел.-ч.</t>
        </is>
      </c>
      <c r="E17" s="228" t="n">
        <v>33861.8896</v>
      </c>
      <c r="F17" s="226">
        <f>G17/E17</f>
        <v/>
      </c>
      <c r="G17" s="226">
        <f>'Прил. 3'!H13</f>
        <v/>
      </c>
      <c r="H17" s="349" t="n">
        <v>1</v>
      </c>
      <c r="I17" s="226">
        <f>ROUND(F17*'Прил. 10'!D11,2)</f>
        <v/>
      </c>
      <c r="J17" s="226">
        <f>ROUND(I17*E17,2)</f>
        <v/>
      </c>
    </row>
    <row r="18" ht="14.25" customFormat="1" customHeight="1" s="307">
      <c r="A18" s="337" t="n"/>
      <c r="B18" s="345" t="inlineStr">
        <is>
          <t>Машины и механизмы</t>
        </is>
      </c>
      <c r="C18" s="405" t="n"/>
      <c r="D18" s="405" t="n"/>
      <c r="E18" s="405" t="n"/>
      <c r="F18" s="405" t="n"/>
      <c r="G18" s="405" t="n"/>
      <c r="H18" s="406" t="n"/>
      <c r="I18" s="217" t="n"/>
      <c r="J18" s="217" t="n"/>
    </row>
    <row r="19" ht="14.25" customFormat="1" customHeight="1" s="307">
      <c r="A19" s="337" t="n"/>
      <c r="B19" s="346" t="inlineStr">
        <is>
          <t>Основные машины и механизмы</t>
        </is>
      </c>
      <c r="C19" s="405" t="n"/>
      <c r="D19" s="405" t="n"/>
      <c r="E19" s="405" t="n"/>
      <c r="F19" s="405" t="n"/>
      <c r="G19" s="405" t="n"/>
      <c r="H19" s="406" t="n"/>
      <c r="I19" s="217" t="n"/>
      <c r="J19" s="217" t="n"/>
    </row>
    <row r="20" ht="25.5" customFormat="1" customHeight="1" s="307">
      <c r="A20" s="337" t="n">
        <v>3</v>
      </c>
      <c r="B20" s="230" t="inlineStr">
        <is>
          <t>91.15.02-029</t>
        </is>
      </c>
      <c r="C20" s="346" t="inlineStr">
        <is>
          <t>Тракторы на гусеничном ходу с лебедкой 132 кВт (180 л.с.)</t>
        </is>
      </c>
      <c r="D20" s="337" t="inlineStr">
        <is>
          <t>маш.час</t>
        </is>
      </c>
      <c r="E20" s="228" t="n">
        <v>13039.91764</v>
      </c>
      <c r="F20" s="348" t="n">
        <v>147.43</v>
      </c>
      <c r="G20" s="226">
        <f>G21+G22</f>
        <v/>
      </c>
      <c r="H20" s="229">
        <f>G20/$G$34</f>
        <v/>
      </c>
      <c r="I20" s="226">
        <f>ROUND(F20*'Прил. 10'!$D$12,2)</f>
        <v/>
      </c>
      <c r="J20" s="226">
        <f>ROUND(I20*E20,2)</f>
        <v/>
      </c>
    </row>
    <row r="21" outlineLevel="1" ht="25.5" customFormat="1" customHeight="1" s="307">
      <c r="A21" s="337" t="n"/>
      <c r="B21" s="230" t="inlineStr">
        <is>
          <t>91.15.02-029</t>
        </is>
      </c>
      <c r="C21" s="346" t="inlineStr">
        <is>
          <t>Тракторы на гусеничном ходу с лебедкой 132 кВт (180 л.с.)</t>
        </is>
      </c>
      <c r="D21" s="337" t="inlineStr">
        <is>
          <t>маш.час</t>
        </is>
      </c>
      <c r="E21" s="228" t="n">
        <v>12700.52076</v>
      </c>
      <c r="F21" s="348" t="n">
        <v>147.43</v>
      </c>
      <c r="G21" s="226">
        <f>ROUND(E21*F21,2)</f>
        <v/>
      </c>
      <c r="H21" s="229">
        <f>G21/$G$34</f>
        <v/>
      </c>
      <c r="I21" s="226">
        <f>ROUND(F21*'Прил. 10'!$D$12,2)</f>
        <v/>
      </c>
      <c r="J21" s="226">
        <f>ROUND(I21*E21,2)</f>
        <v/>
      </c>
    </row>
    <row r="22" outlineLevel="1" ht="25.5" customFormat="1" customHeight="1" s="307">
      <c r="A22" s="337" t="n"/>
      <c r="B22" s="230" t="inlineStr">
        <is>
          <t>91.15.02-023</t>
        </is>
      </c>
      <c r="C22" s="346" t="inlineStr">
        <is>
          <t>Тракторы на гусеничном ходу, мощность 59 кВт (80 л.с.)</t>
        </is>
      </c>
      <c r="D22" s="337" t="inlineStr">
        <is>
          <t>маш.-ч</t>
        </is>
      </c>
      <c r="E22" s="228" t="n">
        <v>648.15</v>
      </c>
      <c r="F22" s="348" t="n">
        <v>77.2</v>
      </c>
      <c r="G22" s="226">
        <f>ROUND(E22*F22,2)</f>
        <v/>
      </c>
      <c r="H22" s="229">
        <f>G22/$G$34</f>
        <v/>
      </c>
      <c r="I22" s="226">
        <f>ROUND(F22*'Прил. 10'!$D$12,2)</f>
        <v/>
      </c>
      <c r="J22" s="226">
        <f>ROUND(I22*E22,2)</f>
        <v/>
      </c>
    </row>
    <row r="23" ht="25.5" customFormat="1" customHeight="1" s="307">
      <c r="A23" s="337" t="n">
        <v>4</v>
      </c>
      <c r="B23" s="230" t="inlineStr">
        <is>
          <t>91.13.03-111</t>
        </is>
      </c>
      <c r="C23" s="346" t="inlineStr">
        <is>
          <t>Спецавтомобили-вездеходы, грузоподъемность до 8 т</t>
        </is>
      </c>
      <c r="D23" s="337" t="inlineStr">
        <is>
          <t>маш.час</t>
        </is>
      </c>
      <c r="E23" s="228" t="n">
        <v>5969.42404</v>
      </c>
      <c r="F23" s="348" t="n">
        <v>189.95</v>
      </c>
      <c r="G23" s="226">
        <f>ROUND(E23*F23,2)</f>
        <v/>
      </c>
      <c r="H23" s="229">
        <f>G23/$G$34</f>
        <v/>
      </c>
      <c r="I23" s="226">
        <f>ROUND(F23*'Прил. 10'!$D$12,2)</f>
        <v/>
      </c>
      <c r="J23" s="226">
        <f>ROUND(I23*E23,2)</f>
        <v/>
      </c>
    </row>
    <row r="24" ht="51" customFormat="1" customHeight="1" s="307">
      <c r="A24" s="337" t="n">
        <v>5</v>
      </c>
      <c r="B24" s="230" t="inlineStr">
        <is>
          <t>91.05.14-516</t>
        </is>
      </c>
      <c r="C24" s="346" t="inlineStr">
        <is>
          <t>Краны прицепные пневмоколесные на гусеничном тракторе с лебедкой, мощность 132 кВт (180 л.с.), без учета трактора, грузоподъемность 25 т</t>
        </is>
      </c>
      <c r="D24" s="337" t="inlineStr">
        <is>
          <t>маш.час</t>
        </is>
      </c>
      <c r="E24" s="228" t="n">
        <v>9693.64846</v>
      </c>
      <c r="F24" s="348" t="n">
        <v>77.64</v>
      </c>
      <c r="G24" s="226">
        <f>ROUND(E24*F24,2)</f>
        <v/>
      </c>
      <c r="H24" s="229">
        <f>G24/$G$34</f>
        <v/>
      </c>
      <c r="I24" s="226">
        <f>ROUND(F24*'Прил. 10'!$D$12,2)</f>
        <v/>
      </c>
      <c r="J24" s="226">
        <f>ROUND(I24*E24,2)</f>
        <v/>
      </c>
    </row>
    <row r="25" ht="14.25" customFormat="1" customHeight="1" s="307">
      <c r="A25" s="337" t="n"/>
      <c r="B25" s="337" t="n"/>
      <c r="C25" s="346" t="inlineStr">
        <is>
          <t>Итого основные машины и механизмы</t>
        </is>
      </c>
      <c r="D25" s="337" t="n"/>
      <c r="E25" s="228" t="n"/>
      <c r="F25" s="226" t="n"/>
      <c r="G25" s="226">
        <f>G20+G23+G24</f>
        <v/>
      </c>
      <c r="H25" s="349">
        <f>G25/G34</f>
        <v/>
      </c>
      <c r="I25" s="218" t="n"/>
      <c r="J25" s="226">
        <f>J20+J23+J24</f>
        <v/>
      </c>
    </row>
    <row r="26" outlineLevel="1" ht="51" customFormat="1" customHeight="1" s="307">
      <c r="A26" s="337" t="n">
        <v>6</v>
      </c>
      <c r="B26" s="230" t="inlineStr">
        <is>
          <t>91.18.01-007</t>
        </is>
      </c>
      <c r="C26" s="346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26" s="337" t="inlineStr">
        <is>
          <t>маш.час</t>
        </is>
      </c>
      <c r="E26" s="228" t="n">
        <v>3636.04926</v>
      </c>
      <c r="F26" s="348" t="n">
        <v>90</v>
      </c>
      <c r="G26" s="226">
        <f>ROUND(E26*F26,2)</f>
        <v/>
      </c>
      <c r="H26" s="229">
        <f>G26/$G$34</f>
        <v/>
      </c>
      <c r="I26" s="226">
        <f>ROUND(F26*'Прил. 10'!$D$12,2)</f>
        <v/>
      </c>
      <c r="J26" s="226">
        <f>ROUND(I26*E26,2)</f>
        <v/>
      </c>
    </row>
    <row r="27" outlineLevel="1" ht="25.5" customFormat="1" customHeight="1" s="307">
      <c r="A27" s="337" t="n">
        <v>7</v>
      </c>
      <c r="B27" s="230" t="inlineStr">
        <is>
          <t>91.05.05-015</t>
        </is>
      </c>
      <c r="C27" s="346" t="inlineStr">
        <is>
          <t>Краны на автомобильном ходу, грузоподъемность 16 т</t>
        </is>
      </c>
      <c r="D27" s="337" t="inlineStr">
        <is>
          <t>маш.час</t>
        </is>
      </c>
      <c r="E27" s="228" t="n">
        <v>1862.24708</v>
      </c>
      <c r="F27" s="348" t="n">
        <v>115.4</v>
      </c>
      <c r="G27" s="226">
        <f>ROUND(E27*F27,2)</f>
        <v/>
      </c>
      <c r="H27" s="229">
        <f>G27/$G$34</f>
        <v/>
      </c>
      <c r="I27" s="226">
        <f>ROUND(F27*'Прил. 10'!$D$12,2)</f>
        <v/>
      </c>
      <c r="J27" s="226">
        <f>ROUND(I27*E27,2)</f>
        <v/>
      </c>
    </row>
    <row r="28" outlineLevel="1" ht="25.5" customFormat="1" customHeight="1" s="307">
      <c r="A28" s="337" t="n">
        <v>8</v>
      </c>
      <c r="B28" s="230" t="inlineStr">
        <is>
          <t>91.14.02-004</t>
        </is>
      </c>
      <c r="C28" s="346" t="inlineStr">
        <is>
          <t>Автомобили бортовые, грузоподъемность до 15т</t>
        </is>
      </c>
      <c r="D28" s="337" t="inlineStr">
        <is>
          <t>маш.-ч.</t>
        </is>
      </c>
      <c r="E28" s="228" t="n">
        <v>377.82</v>
      </c>
      <c r="F28" s="348" t="n">
        <v>92.94</v>
      </c>
      <c r="G28" s="226">
        <f>ROUND(E28*F28,2)</f>
        <v/>
      </c>
      <c r="H28" s="229">
        <f>G28/$G$34</f>
        <v/>
      </c>
      <c r="I28" s="226">
        <f>ROUND(F28*'Прил. 10'!$D$12,2)</f>
        <v/>
      </c>
      <c r="J28" s="226">
        <f>ROUND(I28*E28,2)</f>
        <v/>
      </c>
    </row>
    <row r="29" outlineLevel="1" ht="25.5" customFormat="1" customHeight="1" s="307">
      <c r="A29" s="337" t="n">
        <v>9</v>
      </c>
      <c r="B29" s="230" t="inlineStr">
        <is>
          <t>91.14.02-004</t>
        </is>
      </c>
      <c r="C29" s="346" t="inlineStr">
        <is>
          <t>Автомобили бортовые, грузоподъемность до 15 т</t>
        </is>
      </c>
      <c r="D29" s="337" t="inlineStr">
        <is>
          <t>маш.-ч</t>
        </is>
      </c>
      <c r="E29" s="228" t="n">
        <v>185.8</v>
      </c>
      <c r="F29" s="348" t="n">
        <v>92.94</v>
      </c>
      <c r="G29" s="226">
        <f>ROUND(E29*F29,2)</f>
        <v/>
      </c>
      <c r="H29" s="229">
        <f>G29/$G$34</f>
        <v/>
      </c>
      <c r="I29" s="226">
        <f>ROUND(F29*'Прил. 10'!$D$12,2)</f>
        <v/>
      </c>
      <c r="J29" s="226">
        <f>ROUND(I29*E29,2)</f>
        <v/>
      </c>
    </row>
    <row r="30" outlineLevel="1" ht="25.5" customFormat="1" customHeight="1" s="307">
      <c r="A30" s="337" t="n">
        <v>10</v>
      </c>
      <c r="B30" s="230" t="inlineStr">
        <is>
          <t>91.06.09-101</t>
        </is>
      </c>
      <c r="C30" s="346" t="inlineStr">
        <is>
          <t>Стрелы монтажные А-образные для подъема опор ВЛ, высота до 22 м</t>
        </is>
      </c>
      <c r="D30" s="337" t="inlineStr">
        <is>
          <t>маш.час</t>
        </is>
      </c>
      <c r="E30" s="228" t="n">
        <v>1705.78275</v>
      </c>
      <c r="F30" s="348" t="n">
        <v>6.25</v>
      </c>
      <c r="G30" s="226">
        <f>ROUND(E30*F30,2)</f>
        <v/>
      </c>
      <c r="H30" s="229">
        <f>G30/$G$34</f>
        <v/>
      </c>
      <c r="I30" s="226">
        <f>ROUND(F30*'Прил. 10'!$D$12,2)</f>
        <v/>
      </c>
      <c r="J30" s="226">
        <f>ROUND(I30*E30,2)</f>
        <v/>
      </c>
    </row>
    <row r="31" outlineLevel="1" ht="25.5" customFormat="1" customHeight="1" s="307">
      <c r="A31" s="337" t="n">
        <v>11</v>
      </c>
      <c r="B31" s="230" t="inlineStr">
        <is>
          <t>91.06.01-002</t>
        </is>
      </c>
      <c r="C31" s="346" t="inlineStr">
        <is>
          <t>Домкраты гидравлические, грузоподъемность 6,3-25 т</t>
        </is>
      </c>
      <c r="D31" s="337" t="inlineStr">
        <is>
          <t>маш.час</t>
        </is>
      </c>
      <c r="E31" s="228" t="n">
        <v>9623.75995</v>
      </c>
      <c r="F31" s="348" t="n">
        <v>0.48</v>
      </c>
      <c r="G31" s="226">
        <f>ROUND(E31*F31,2)</f>
        <v/>
      </c>
      <c r="H31" s="229">
        <f>G31/$G$34</f>
        <v/>
      </c>
      <c r="I31" s="226">
        <f>ROUND(F31*'Прил. 10'!$D$12,2)</f>
        <v/>
      </c>
      <c r="J31" s="226">
        <f>ROUND(I31*E31,2)</f>
        <v/>
      </c>
    </row>
    <row r="32" outlineLevel="1" ht="14.25" customFormat="1" customHeight="1" s="307">
      <c r="A32" s="337" t="n">
        <v>12</v>
      </c>
      <c r="B32" s="230" t="inlineStr">
        <is>
          <t>91.15.01-001</t>
        </is>
      </c>
      <c r="C32" s="346" t="inlineStr">
        <is>
          <t>Прицепы тракторные 2 т</t>
        </is>
      </c>
      <c r="D32" s="337" t="inlineStr">
        <is>
          <t>маш.-ч</t>
        </is>
      </c>
      <c r="E32" s="228" t="n">
        <v>648.15</v>
      </c>
      <c r="F32" s="348" t="n">
        <v>4.01</v>
      </c>
      <c r="G32" s="226">
        <f>ROUND(E32*F32,2)</f>
        <v/>
      </c>
      <c r="H32" s="229">
        <f>G32/$G$34</f>
        <v/>
      </c>
      <c r="I32" s="226">
        <f>ROUND(F32*'Прил. 10'!$D$12,2)</f>
        <v/>
      </c>
      <c r="J32" s="226">
        <f>ROUND(I32*E32,2)</f>
        <v/>
      </c>
    </row>
    <row r="33" ht="14.25" customFormat="1" customHeight="1" s="307">
      <c r="A33" s="337" t="n"/>
      <c r="B33" s="337" t="n"/>
      <c r="C33" s="346" t="inlineStr">
        <is>
          <t>Итого прочие машины и механизмы</t>
        </is>
      </c>
      <c r="D33" s="337" t="n"/>
      <c r="E33" s="347" t="n"/>
      <c r="F33" s="226" t="n"/>
      <c r="G33" s="218">
        <f>SUM(G26:G32)</f>
        <v/>
      </c>
      <c r="H33" s="229">
        <f>G33/G34</f>
        <v/>
      </c>
      <c r="I33" s="226" t="n"/>
      <c r="J33" s="226">
        <f>SUM(J26:J32)</f>
        <v/>
      </c>
    </row>
    <row r="34" ht="25.5" customFormat="1" customHeight="1" s="307">
      <c r="A34" s="337" t="n"/>
      <c r="B34" s="337" t="n"/>
      <c r="C34" s="345" t="inlineStr">
        <is>
          <t>Итого по разделу «Машины и механизмы»</t>
        </is>
      </c>
      <c r="D34" s="337" t="n"/>
      <c r="E34" s="347" t="n"/>
      <c r="F34" s="226" t="n"/>
      <c r="G34" s="226">
        <f>G33+G25</f>
        <v/>
      </c>
      <c r="H34" s="211" t="n">
        <v>1</v>
      </c>
      <c r="I34" s="212" t="n"/>
      <c r="J34" s="241">
        <f>J33+J25</f>
        <v/>
      </c>
    </row>
    <row r="35" ht="14.25" customFormat="1" customHeight="1" s="307">
      <c r="A35" s="337" t="n"/>
      <c r="B35" s="345" t="inlineStr">
        <is>
          <t>Оборудование</t>
        </is>
      </c>
      <c r="C35" s="405" t="n"/>
      <c r="D35" s="405" t="n"/>
      <c r="E35" s="405" t="n"/>
      <c r="F35" s="405" t="n"/>
      <c r="G35" s="405" t="n"/>
      <c r="H35" s="406" t="n"/>
      <c r="I35" s="217" t="n"/>
      <c r="J35" s="217" t="n"/>
    </row>
    <row r="36">
      <c r="A36" s="337" t="n"/>
      <c r="B36" s="346" t="inlineStr">
        <is>
          <t>Основное оборудование</t>
        </is>
      </c>
      <c r="C36" s="405" t="n"/>
      <c r="D36" s="405" t="n"/>
      <c r="E36" s="405" t="n"/>
      <c r="F36" s="405" t="n"/>
      <c r="G36" s="405" t="n"/>
      <c r="H36" s="406" t="n"/>
      <c r="I36" s="217" t="n"/>
      <c r="J36" s="217" t="n"/>
      <c r="K36" s="307" t="n"/>
      <c r="L36" s="307" t="n"/>
    </row>
    <row r="37">
      <c r="A37" s="337" t="n"/>
      <c r="B37" s="337" t="n"/>
      <c r="C37" s="346" t="inlineStr">
        <is>
          <t>Итого основное оборудование</t>
        </is>
      </c>
      <c r="D37" s="337" t="n"/>
      <c r="E37" s="228" t="n"/>
      <c r="F37" s="348" t="n"/>
      <c r="G37" s="226" t="n">
        <v>0</v>
      </c>
      <c r="H37" s="349" t="n">
        <v>0</v>
      </c>
      <c r="I37" s="218" t="n"/>
      <c r="J37" s="226" t="n">
        <v>0</v>
      </c>
      <c r="K37" s="307" t="n"/>
      <c r="L37" s="307" t="n"/>
    </row>
    <row r="38">
      <c r="A38" s="337" t="n"/>
      <c r="B38" s="337" t="n"/>
      <c r="C38" s="346" t="inlineStr">
        <is>
          <t>Итого прочее оборудование</t>
        </is>
      </c>
      <c r="D38" s="337" t="n"/>
      <c r="E38" s="228" t="n"/>
      <c r="F38" s="348" t="n"/>
      <c r="G38" s="226" t="n">
        <v>0</v>
      </c>
      <c r="H38" s="349" t="n">
        <v>0</v>
      </c>
      <c r="I38" s="218" t="n"/>
      <c r="J38" s="226" t="n">
        <v>0</v>
      </c>
      <c r="K38" s="307" t="n"/>
      <c r="L38" s="307" t="n"/>
    </row>
    <row r="39">
      <c r="A39" s="337" t="n"/>
      <c r="B39" s="337" t="n"/>
      <c r="C39" s="345" t="inlineStr">
        <is>
          <t>Итого по разделу «Оборудование»</t>
        </is>
      </c>
      <c r="D39" s="337" t="n"/>
      <c r="E39" s="347" t="n"/>
      <c r="F39" s="348" t="n"/>
      <c r="G39" s="226">
        <f>G37+G38</f>
        <v/>
      </c>
      <c r="H39" s="349" t="n">
        <v>0</v>
      </c>
      <c r="I39" s="218" t="n"/>
      <c r="J39" s="226">
        <f>J38+J37</f>
        <v/>
      </c>
      <c r="K39" s="307" t="n"/>
      <c r="L39" s="307" t="n"/>
    </row>
    <row r="40" ht="25.5" customHeight="1" s="300">
      <c r="A40" s="337" t="n"/>
      <c r="B40" s="337" t="n"/>
      <c r="C40" s="346" t="inlineStr">
        <is>
          <t>в том числе технологическое оборудование</t>
        </is>
      </c>
      <c r="D40" s="337" t="n"/>
      <c r="E40" s="295" t="n"/>
      <c r="F40" s="348" t="n"/>
      <c r="G40" s="226">
        <f>'Прил.6 Расчет ОБ'!G12</f>
        <v/>
      </c>
      <c r="H40" s="349" t="n"/>
      <c r="I40" s="218" t="n"/>
      <c r="J40" s="226">
        <f>ROUND(G40*'Прил. 10'!D14,2)</f>
        <v/>
      </c>
      <c r="K40" s="307" t="n"/>
      <c r="L40" s="307" t="n"/>
    </row>
    <row r="41" ht="14.25" customFormat="1" customHeight="1" s="307">
      <c r="A41" s="337" t="n"/>
      <c r="B41" s="345" t="inlineStr">
        <is>
          <t>Материалы</t>
        </is>
      </c>
      <c r="C41" s="405" t="n"/>
      <c r="D41" s="405" t="n"/>
      <c r="E41" s="405" t="n"/>
      <c r="F41" s="405" t="n"/>
      <c r="G41" s="405" t="n"/>
      <c r="H41" s="406" t="n"/>
      <c r="I41" s="217" t="n"/>
      <c r="J41" s="217" t="n"/>
    </row>
    <row r="42" ht="14.25" customFormat="1" customHeight="1" s="307">
      <c r="A42" s="338" t="n"/>
      <c r="B42" s="341" t="inlineStr">
        <is>
          <t>Основные материалы</t>
        </is>
      </c>
      <c r="C42" s="409" t="n"/>
      <c r="D42" s="409" t="n"/>
      <c r="E42" s="409" t="n"/>
      <c r="F42" s="409" t="n"/>
      <c r="G42" s="409" t="n"/>
      <c r="H42" s="410" t="n"/>
      <c r="I42" s="235" t="n"/>
      <c r="J42" s="235" t="n"/>
    </row>
    <row r="43" ht="51" customFormat="1" customHeight="1" s="307">
      <c r="A43" s="337" t="n">
        <v>13</v>
      </c>
      <c r="B43" s="298" t="inlineStr">
        <is>
          <t>БЦ.98.30</t>
        </is>
      </c>
      <c r="C43" s="346" t="inlineStr">
        <is>
          <t>Опоры решетчатые линий электропередачи оцинкованные, 330 кВ, промежуточные, одностоечные, свободностоящие</t>
        </is>
      </c>
      <c r="D43" s="337" t="inlineStr">
        <is>
          <t>т</t>
        </is>
      </c>
      <c r="E43" s="295" t="n">
        <v>2252.833384</v>
      </c>
      <c r="F43" s="348">
        <f>ROUND(I43/'Прил. 10'!$D$13,2)</f>
        <v/>
      </c>
      <c r="G43" s="226">
        <f>ROUND(E43*F43,2)</f>
        <v/>
      </c>
      <c r="H43" s="229">
        <f>G43/$G$52</f>
        <v/>
      </c>
      <c r="I43" s="226" t="n">
        <v>220492.92</v>
      </c>
      <c r="J43" s="226">
        <f>ROUND(I43*E43,2)</f>
        <v/>
      </c>
    </row>
    <row r="44" ht="51" customFormat="1" customHeight="1" s="307">
      <c r="A44" s="337" t="n">
        <v>14</v>
      </c>
      <c r="B44" s="298" t="inlineStr">
        <is>
          <t>БЦ.98.29</t>
        </is>
      </c>
      <c r="C44" s="346" t="inlineStr">
        <is>
          <t>Опоры решетчатые линий электропередачи оцинкованные, 330 кВ, анкерно-угловые, одностоечные, свободностоящие</t>
        </is>
      </c>
      <c r="D44" s="337" t="inlineStr">
        <is>
          <t>т</t>
        </is>
      </c>
      <c r="E44" s="295" t="n">
        <v>1015.392216</v>
      </c>
      <c r="F44" s="348">
        <f>ROUND(I44/'Прил. 10'!$D$13,2)</f>
        <v/>
      </c>
      <c r="G44" s="226">
        <f>ROUND(E44*F44,2)</f>
        <v/>
      </c>
      <c r="H44" s="229">
        <f>G44/$G$52</f>
        <v/>
      </c>
      <c r="I44" s="226" t="n">
        <v>227033.02</v>
      </c>
      <c r="J44" s="226">
        <f>ROUND(I44*E44,2)</f>
        <v/>
      </c>
    </row>
    <row r="45" ht="14.25" customFormat="1" customHeight="1" s="307">
      <c r="A45" s="339" t="n"/>
      <c r="B45" s="237" t="n"/>
      <c r="C45" s="238" t="inlineStr">
        <is>
          <t>Итого основные материалы</t>
        </is>
      </c>
      <c r="D45" s="339" t="n"/>
      <c r="E45" s="296" t="n"/>
      <c r="F45" s="241" t="n"/>
      <c r="G45" s="241">
        <f>SUM(G43:G44)</f>
        <v/>
      </c>
      <c r="H45" s="229">
        <f>G45/$G$52</f>
        <v/>
      </c>
      <c r="I45" s="226" t="n"/>
      <c r="J45" s="241">
        <f>SUM(J43:J44)</f>
        <v/>
      </c>
    </row>
    <row r="46" outlineLevel="1" ht="51" customFormat="1" customHeight="1" s="307">
      <c r="A46" s="337" t="n">
        <v>15</v>
      </c>
      <c r="B46" s="337" t="inlineStr">
        <is>
          <t>Прайс из СД ОП</t>
        </is>
      </c>
      <c r="C46" s="346" t="inlineStr">
        <is>
          <t>Информационные знак с совмещёнными знаками "Охранная зона" и "Опасность поражения эл.током" (с учётом стоимости рамки) - размеры (900*600)мм</t>
        </is>
      </c>
      <c r="D46" s="337" t="inlineStr">
        <is>
          <t>шт</t>
        </is>
      </c>
      <c r="E46" s="295" t="n">
        <v>320</v>
      </c>
      <c r="F46" s="348" t="n">
        <v>1507.68</v>
      </c>
      <c r="G46" s="226">
        <f>ROUND(E46*F46,2)</f>
        <v/>
      </c>
      <c r="H46" s="229">
        <f>G46/$G$52</f>
        <v/>
      </c>
      <c r="I46" s="226">
        <f>ROUND(F46*'Прил. 10'!$D$13,2)</f>
        <v/>
      </c>
      <c r="J46" s="226">
        <f>ROUND(I46*E46,2)</f>
        <v/>
      </c>
    </row>
    <row r="47" outlineLevel="1" ht="38.25" customFormat="1" customHeight="1" s="307">
      <c r="A47" s="337" t="n">
        <v>16</v>
      </c>
      <c r="B47" s="337" t="inlineStr">
        <is>
          <t>Прайс из СД ОП</t>
        </is>
      </c>
      <c r="C47" s="346" t="inlineStr">
        <is>
          <t>Комплект крепежа для крепления информационного знака  (2шт на 1 информационный знак)</t>
        </is>
      </c>
      <c r="D47" s="337" t="inlineStr">
        <is>
          <t>шт</t>
        </is>
      </c>
      <c r="E47" s="295" t="n">
        <v>840</v>
      </c>
      <c r="F47" s="348" t="n">
        <v>426.04</v>
      </c>
      <c r="G47" s="226">
        <f>ROUND(E47*F47,2)</f>
        <v/>
      </c>
      <c r="H47" s="229">
        <f>G47/$G$52</f>
        <v/>
      </c>
      <c r="I47" s="226">
        <f>ROUND(F47*'Прил. 10'!$D$13,2)</f>
        <v/>
      </c>
      <c r="J47" s="226">
        <f>ROUND(I47*E47,2)</f>
        <v/>
      </c>
    </row>
    <row r="48" outlineLevel="1" ht="38.25" customFormat="1" customHeight="1" s="307">
      <c r="A48" s="337" t="n">
        <v>17</v>
      </c>
      <c r="B48" s="337" t="inlineStr">
        <is>
          <t>Прайс из СД ОП</t>
        </is>
      </c>
      <c r="C48" s="346" t="inlineStr">
        <is>
          <t>Информационный знак, видимый с вертолёта (с учётом стоимости рамки) - размеры (500*400)мм</t>
        </is>
      </c>
      <c r="D48" s="337" t="inlineStr">
        <is>
          <t>шт</t>
        </is>
      </c>
      <c r="E48" s="295" t="n">
        <v>64</v>
      </c>
      <c r="F48" s="348" t="n">
        <v>675.21</v>
      </c>
      <c r="G48" s="226">
        <f>ROUND(E48*F48,2)</f>
        <v/>
      </c>
      <c r="H48" s="229">
        <f>G48/$G$52</f>
        <v/>
      </c>
      <c r="I48" s="226">
        <f>ROUND(F48*'Прил. 10'!$D$13,2)</f>
        <v/>
      </c>
      <c r="J48" s="226">
        <f>ROUND(I48*E48,2)</f>
        <v/>
      </c>
    </row>
    <row r="49" outlineLevel="1" ht="51" customFormat="1" customHeight="1" s="307">
      <c r="A49" s="337" t="n">
        <v>18</v>
      </c>
      <c r="B49" s="337" t="inlineStr">
        <is>
          <t>Прайс из СД ОП</t>
        </is>
      </c>
      <c r="C49" s="346" t="inlineStr">
        <is>
          <t>Информационный знак с указание обозначения типа  и № соединительной муфты (с учётом стоимости рамки) -  размеры (150*200)мм</t>
        </is>
      </c>
      <c r="D49" s="337" t="inlineStr">
        <is>
          <t>шт</t>
        </is>
      </c>
      <c r="E49" s="295" t="n">
        <v>21</v>
      </c>
      <c r="F49" s="348" t="n">
        <v>333.73</v>
      </c>
      <c r="G49" s="226">
        <f>ROUND(E49*F49,2)</f>
        <v/>
      </c>
      <c r="H49" s="229">
        <f>G49/$G$52</f>
        <v/>
      </c>
      <c r="I49" s="226">
        <f>ROUND(F49*'Прил. 10'!$D$13,2)</f>
        <v/>
      </c>
      <c r="J49" s="226">
        <f>ROUND(I49*E49,2)</f>
        <v/>
      </c>
    </row>
    <row r="50" outlineLevel="1" ht="38.25" customFormat="1" customHeight="1" s="307">
      <c r="A50" s="337" t="n">
        <v>19</v>
      </c>
      <c r="B50" s="337" t="inlineStr">
        <is>
          <t>Прайс из СД ОП</t>
        </is>
      </c>
      <c r="C50" s="346" t="inlineStr">
        <is>
          <t>Информационный знак с указанием расцветки фаз (с учётом стоимости рамки).  Размеры 300*300 мм</t>
        </is>
      </c>
      <c r="D50" s="337" t="inlineStr">
        <is>
          <t>шт</t>
        </is>
      </c>
      <c r="E50" s="295" t="n">
        <v>15</v>
      </c>
      <c r="F50" s="348" t="n">
        <v>385.73</v>
      </c>
      <c r="G50" s="226">
        <f>ROUND(E50*F50,2)</f>
        <v/>
      </c>
      <c r="H50" s="229">
        <f>G50/$G$52</f>
        <v/>
      </c>
      <c r="I50" s="226">
        <f>ROUND(F50*'Прил. 10'!$D$13,2)</f>
        <v/>
      </c>
      <c r="J50" s="226">
        <f>ROUND(I50*E50,2)</f>
        <v/>
      </c>
    </row>
    <row r="51" ht="14.25" customFormat="1" customHeight="1" s="307">
      <c r="A51" s="337" t="n"/>
      <c r="B51" s="337" t="n"/>
      <c r="C51" s="346" t="inlineStr">
        <is>
          <t>Итого прочие материалы</t>
        </is>
      </c>
      <c r="D51" s="337" t="n"/>
      <c r="E51" s="347" t="n"/>
      <c r="F51" s="348" t="n"/>
      <c r="G51" s="226">
        <f>SUM(G46:G50)</f>
        <v/>
      </c>
      <c r="H51" s="229">
        <f>G51/$G$52</f>
        <v/>
      </c>
      <c r="I51" s="226" t="n"/>
      <c r="J51" s="226">
        <f>SUM(J46:J50)</f>
        <v/>
      </c>
    </row>
    <row r="52" ht="14.25" customFormat="1" customHeight="1" s="307">
      <c r="A52" s="337" t="n"/>
      <c r="B52" s="337" t="n"/>
      <c r="C52" s="345" t="inlineStr">
        <is>
          <t>Итого по разделу «Материалы»</t>
        </is>
      </c>
      <c r="D52" s="337" t="n"/>
      <c r="E52" s="347" t="n"/>
      <c r="F52" s="348" t="n"/>
      <c r="G52" s="226">
        <f>G45+G51</f>
        <v/>
      </c>
      <c r="H52" s="349">
        <f>G52/$G$52</f>
        <v/>
      </c>
      <c r="I52" s="226" t="n"/>
      <c r="J52" s="226">
        <f>J45+J51</f>
        <v/>
      </c>
    </row>
    <row r="53" ht="14.25" customFormat="1" customHeight="1" s="307">
      <c r="A53" s="337" t="n"/>
      <c r="B53" s="337" t="n"/>
      <c r="C53" s="346" t="inlineStr">
        <is>
          <t>ИТОГО ПО РМ</t>
        </is>
      </c>
      <c r="D53" s="337" t="n"/>
      <c r="E53" s="347" t="n"/>
      <c r="F53" s="348" t="n"/>
      <c r="G53" s="226">
        <f>G15+G34+G52</f>
        <v/>
      </c>
      <c r="H53" s="349" t="n"/>
      <c r="I53" s="226" t="n"/>
      <c r="J53" s="226">
        <f>J15+J34+J52</f>
        <v/>
      </c>
    </row>
    <row r="54" ht="14.25" customFormat="1" customHeight="1" s="307">
      <c r="A54" s="337" t="n"/>
      <c r="B54" s="337" t="n"/>
      <c r="C54" s="346" t="inlineStr">
        <is>
          <t>Накладные расходы</t>
        </is>
      </c>
      <c r="D54" s="220" t="n">
        <v>0.76</v>
      </c>
      <c r="E54" s="347" t="n"/>
      <c r="F54" s="348" t="n"/>
      <c r="G54" s="226" t="n">
        <v>1314015.04</v>
      </c>
      <c r="H54" s="349" t="n"/>
      <c r="I54" s="226" t="n"/>
      <c r="J54" s="226">
        <f>ROUND(D54*(J15+J17),2)</f>
        <v/>
      </c>
    </row>
    <row r="55" ht="14.25" customFormat="1" customHeight="1" s="307">
      <c r="A55" s="337" t="n"/>
      <c r="B55" s="337" t="n"/>
      <c r="C55" s="346" t="inlineStr">
        <is>
          <t>Сметная прибыль</t>
        </is>
      </c>
      <c r="D55" s="220" t="n">
        <v>0.5</v>
      </c>
      <c r="E55" s="347" t="n"/>
      <c r="F55" s="348" t="n"/>
      <c r="G55" s="226" t="n">
        <v>744433.27</v>
      </c>
      <c r="H55" s="349" t="n"/>
      <c r="I55" s="226" t="n"/>
      <c r="J55" s="226">
        <f>ROUND(D55*(J15+J17),2)</f>
        <v/>
      </c>
    </row>
    <row r="56" ht="14.25" customFormat="1" customHeight="1" s="307">
      <c r="A56" s="337" t="n"/>
      <c r="B56" s="337" t="n"/>
      <c r="C56" s="346" t="inlineStr">
        <is>
          <t>Итого СМР (с НР и СП)</t>
        </is>
      </c>
      <c r="D56" s="337" t="n"/>
      <c r="E56" s="347" t="n"/>
      <c r="F56" s="348" t="n"/>
      <c r="G56" s="226">
        <f>G15+G34+G52+G54+G55</f>
        <v/>
      </c>
      <c r="H56" s="349" t="n"/>
      <c r="I56" s="226" t="n"/>
      <c r="J56" s="226">
        <f>J15+J34+J52+J54+J55</f>
        <v/>
      </c>
    </row>
    <row r="57" ht="14.25" customFormat="1" customHeight="1" s="307">
      <c r="A57" s="337" t="n"/>
      <c r="B57" s="337" t="n"/>
      <c r="C57" s="346" t="inlineStr">
        <is>
          <t>ВСЕГО СМР + ОБОРУДОВАНИЕ</t>
        </is>
      </c>
      <c r="D57" s="337" t="n"/>
      <c r="E57" s="347" t="n"/>
      <c r="F57" s="348" t="n"/>
      <c r="G57" s="226">
        <f>G56+G39</f>
        <v/>
      </c>
      <c r="H57" s="349" t="n"/>
      <c r="I57" s="226" t="n"/>
      <c r="J57" s="226">
        <f>J56+J39</f>
        <v/>
      </c>
    </row>
    <row r="58" ht="34.5" customFormat="1" customHeight="1" s="307">
      <c r="A58" s="337" t="n"/>
      <c r="B58" s="337" t="n"/>
      <c r="C58" s="346" t="inlineStr">
        <is>
          <t>ИТОГО ПОКАЗАТЕЛЬ НА ЕД. ИЗМ.</t>
        </is>
      </c>
      <c r="D58" s="337" t="inlineStr">
        <is>
          <t>км</t>
        </is>
      </c>
      <c r="E58" s="294" t="n">
        <v>104.21</v>
      </c>
      <c r="F58" s="348" t="n"/>
      <c r="G58" s="226">
        <f>G57/E58</f>
        <v/>
      </c>
      <c r="H58" s="349" t="n"/>
      <c r="I58" s="226" t="n"/>
      <c r="J58" s="226">
        <f>J57/E58</f>
        <v/>
      </c>
    </row>
    <row r="60" ht="14.25" customFormat="1" customHeight="1" s="307">
      <c r="A60" s="306" t="inlineStr">
        <is>
          <t>Составил ______________________    А.П. Николаева</t>
        </is>
      </c>
    </row>
    <row r="61" ht="14.25" customFormat="1" customHeight="1" s="307">
      <c r="A61" s="309" t="inlineStr">
        <is>
          <t xml:space="preserve">                         (подпись, инициалы, фамилия)</t>
        </is>
      </c>
    </row>
    <row r="62" ht="14.25" customFormat="1" customHeight="1" s="307">
      <c r="A62" s="306" t="n"/>
    </row>
    <row r="63" ht="14.25" customFormat="1" customHeight="1" s="307">
      <c r="A63" s="306" t="inlineStr">
        <is>
          <t>Проверил ______________________        А.В. Костянецкая</t>
        </is>
      </c>
    </row>
    <row r="64" ht="14.25" customFormat="1" customHeight="1" s="307">
      <c r="A64" s="309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H2:J2"/>
    <mergeCell ref="C10:C11"/>
    <mergeCell ref="E10:E11"/>
    <mergeCell ref="B36:H36"/>
    <mergeCell ref="B41:H41"/>
    <mergeCell ref="A7:H7"/>
    <mergeCell ref="B35:H35"/>
    <mergeCell ref="B16:H16"/>
    <mergeCell ref="B10:B11"/>
    <mergeCell ref="B18:H18"/>
    <mergeCell ref="D6:J6"/>
    <mergeCell ref="B42:H42"/>
    <mergeCell ref="A10:A11"/>
    <mergeCell ref="A8:H8"/>
    <mergeCell ref="D10:D11"/>
    <mergeCell ref="B13:H13"/>
    <mergeCell ref="I10:J10"/>
    <mergeCell ref="B19:H19"/>
    <mergeCell ref="H10:H11"/>
  </mergeCells>
  <pageMargins left="0.62992125984252" right="0.236220472440945" top="0.748031496062992" bottom="0.748031496062992" header="0.31496062992126" footer="0.31496062992126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 fitToPage="1"/>
  </sheetPr>
  <dimension ref="A1:G19"/>
  <sheetViews>
    <sheetView view="pageBreakPreview" workbookViewId="0">
      <selection activeCell="B15" sqref="B15"/>
    </sheetView>
  </sheetViews>
  <sheetFormatPr baseColWidth="8" defaultRowHeight="14.4"/>
  <cols>
    <col width="5.6640625" customWidth="1" style="300" min="1" max="1"/>
    <col width="17.5546875" customWidth="1" style="300" min="2" max="2"/>
    <col width="39.109375" customWidth="1" style="300" min="3" max="3"/>
    <col width="10.6640625" customWidth="1" style="300" min="4" max="4"/>
    <col width="13.88671875" customWidth="1" style="300" min="5" max="5"/>
    <col width="13.33203125" customWidth="1" style="300" min="6" max="6"/>
    <col width="14.109375" customWidth="1" style="300" min="7" max="7"/>
  </cols>
  <sheetData>
    <row r="1">
      <c r="A1" s="354" t="inlineStr">
        <is>
          <t>Приложение №6</t>
        </is>
      </c>
    </row>
    <row r="2" ht="21.75" customHeight="1" s="300">
      <c r="A2" s="354" t="n"/>
      <c r="B2" s="354" t="n"/>
      <c r="C2" s="354" t="n"/>
      <c r="D2" s="354" t="n"/>
      <c r="E2" s="354" t="n"/>
      <c r="F2" s="354" t="n"/>
      <c r="G2" s="354" t="n"/>
    </row>
    <row r="3">
      <c r="A3" s="310" t="inlineStr">
        <is>
          <t>Расчет стоимости оборудования</t>
        </is>
      </c>
    </row>
    <row r="4" ht="25.5" customHeight="1" s="300">
      <c r="A4" s="313" t="inlineStr">
        <is>
          <t>Наименование разрабатываемого показателя УНЦ — Опоры ВЛ 0,4 - 750 кВ. Одноцепная, все типы опор за исключением многогранных 330 кВ.</t>
        </is>
      </c>
    </row>
    <row r="5">
      <c r="A5" s="306" t="n"/>
      <c r="B5" s="306" t="n"/>
      <c r="C5" s="306" t="n"/>
      <c r="D5" s="306" t="n"/>
      <c r="E5" s="306" t="n"/>
      <c r="F5" s="306" t="n"/>
      <c r="G5" s="306" t="n"/>
    </row>
    <row r="6" ht="30" customHeight="1" s="300">
      <c r="A6" s="359" t="inlineStr">
        <is>
          <t>№ пп.</t>
        </is>
      </c>
      <c r="B6" s="359" t="inlineStr">
        <is>
          <t>Код ресурса</t>
        </is>
      </c>
      <c r="C6" s="359" t="inlineStr">
        <is>
          <t>Наименование</t>
        </is>
      </c>
      <c r="D6" s="359" t="inlineStr">
        <is>
          <t>Ед. изм.</t>
        </is>
      </c>
      <c r="E6" s="337" t="inlineStr">
        <is>
          <t>Кол-во единиц по проектным данным</t>
        </is>
      </c>
      <c r="F6" s="359" t="inlineStr">
        <is>
          <t>Сметная стоимость в ценах на 01.01.2000 (руб.)</t>
        </is>
      </c>
      <c r="G6" s="406" t="n"/>
    </row>
    <row r="7">
      <c r="A7" s="408" t="n"/>
      <c r="B7" s="408" t="n"/>
      <c r="C7" s="408" t="n"/>
      <c r="D7" s="408" t="n"/>
      <c r="E7" s="408" t="n"/>
      <c r="F7" s="337" t="inlineStr">
        <is>
          <t>на ед. изм.</t>
        </is>
      </c>
      <c r="G7" s="337" t="inlineStr">
        <is>
          <t>общая</t>
        </is>
      </c>
    </row>
    <row r="8">
      <c r="A8" s="337" t="n">
        <v>1</v>
      </c>
      <c r="B8" s="337" t="n">
        <v>2</v>
      </c>
      <c r="C8" s="337" t="n">
        <v>3</v>
      </c>
      <c r="D8" s="337" t="n">
        <v>4</v>
      </c>
      <c r="E8" s="337" t="n">
        <v>5</v>
      </c>
      <c r="F8" s="337" t="n">
        <v>6</v>
      </c>
      <c r="G8" s="337" t="n">
        <v>7</v>
      </c>
    </row>
    <row r="9" ht="15" customHeight="1" s="300">
      <c r="A9" s="281" t="n"/>
      <c r="B9" s="346" t="inlineStr">
        <is>
          <t>ИНЖЕНЕРНОЕ ОБОРУДОВАНИЕ</t>
        </is>
      </c>
      <c r="C9" s="405" t="n"/>
      <c r="D9" s="405" t="n"/>
      <c r="E9" s="405" t="n"/>
      <c r="F9" s="405" t="n"/>
      <c r="G9" s="406" t="n"/>
    </row>
    <row r="10" ht="27" customHeight="1" s="300">
      <c r="A10" s="337" t="n"/>
      <c r="B10" s="345" t="n"/>
      <c r="C10" s="346" t="inlineStr">
        <is>
          <t>ИТОГО ИНЖЕНЕРНОЕ ОБОРУДОВАНИЕ</t>
        </is>
      </c>
      <c r="D10" s="345" t="n"/>
      <c r="E10" s="148" t="n"/>
      <c r="F10" s="348" t="n"/>
      <c r="G10" s="348" t="n">
        <v>0</v>
      </c>
    </row>
    <row r="11">
      <c r="A11" s="337" t="n"/>
      <c r="B11" s="346" t="inlineStr">
        <is>
          <t>ТЕХНОЛОГИЧЕСКОЕ ОБОРУДОВАНИЕ</t>
        </is>
      </c>
      <c r="C11" s="405" t="n"/>
      <c r="D11" s="405" t="n"/>
      <c r="E11" s="405" t="n"/>
      <c r="F11" s="405" t="n"/>
      <c r="G11" s="406" t="n"/>
    </row>
    <row r="12" ht="25.5" customHeight="1" s="300">
      <c r="A12" s="337" t="n"/>
      <c r="B12" s="346" t="n"/>
      <c r="C12" s="346" t="inlineStr">
        <is>
          <t>ИТОГО ТЕХНОЛОГИЧЕСКОЕ ОБОРУДОВАНИЕ</t>
        </is>
      </c>
      <c r="D12" s="346" t="n"/>
      <c r="E12" s="358" t="n"/>
      <c r="F12" s="348" t="n"/>
      <c r="G12" s="226" t="n">
        <v>0</v>
      </c>
    </row>
    <row r="13" ht="19.5" customHeight="1" s="300">
      <c r="A13" s="337" t="n"/>
      <c r="B13" s="346" t="n"/>
      <c r="C13" s="346" t="inlineStr">
        <is>
          <t>Всего по разделу «Оборудование»</t>
        </is>
      </c>
      <c r="D13" s="346" t="n"/>
      <c r="E13" s="358" t="n"/>
      <c r="F13" s="348" t="n"/>
      <c r="G13" s="226">
        <f>G10+G12</f>
        <v/>
      </c>
    </row>
    <row r="14">
      <c r="A14" s="308" t="n"/>
      <c r="B14" s="151" t="n"/>
      <c r="C14" s="308" t="n"/>
      <c r="D14" s="308" t="n"/>
      <c r="E14" s="308" t="n"/>
      <c r="F14" s="308" t="n"/>
      <c r="G14" s="308" t="n"/>
    </row>
    <row r="15">
      <c r="A15" s="306" t="inlineStr">
        <is>
          <t>Составил ______________________    А.П. Николаева</t>
        </is>
      </c>
      <c r="B15" s="307" t="n"/>
      <c r="C15" s="307" t="n"/>
      <c r="D15" s="308" t="n"/>
      <c r="E15" s="308" t="n"/>
      <c r="F15" s="308" t="n"/>
      <c r="G15" s="308" t="n"/>
    </row>
    <row r="16">
      <c r="A16" s="309" t="inlineStr">
        <is>
          <t xml:space="preserve">                         (подпись, инициалы, фамилия)</t>
        </is>
      </c>
      <c r="B16" s="307" t="n"/>
      <c r="C16" s="307" t="n"/>
      <c r="D16" s="308" t="n"/>
      <c r="E16" s="308" t="n"/>
      <c r="F16" s="308" t="n"/>
      <c r="G16" s="308" t="n"/>
    </row>
    <row r="17">
      <c r="A17" s="306" t="n"/>
      <c r="B17" s="307" t="n"/>
      <c r="C17" s="307" t="n"/>
      <c r="D17" s="308" t="n"/>
      <c r="E17" s="308" t="n"/>
      <c r="F17" s="308" t="n"/>
      <c r="G17" s="308" t="n"/>
    </row>
    <row r="18">
      <c r="A18" s="306" t="inlineStr">
        <is>
          <t>Проверил ______________________        А.В. Костянецкая</t>
        </is>
      </c>
      <c r="B18" s="307" t="n"/>
      <c r="C18" s="307" t="n"/>
      <c r="D18" s="308" t="n"/>
      <c r="E18" s="308" t="n"/>
      <c r="F18" s="308" t="n"/>
      <c r="G18" s="308" t="n"/>
    </row>
    <row r="19">
      <c r="A19" s="309" t="inlineStr">
        <is>
          <t xml:space="preserve">                        (подпись, инициалы, фамилия)</t>
        </is>
      </c>
      <c r="B19" s="307" t="n"/>
      <c r="C19" s="307" t="n"/>
      <c r="D19" s="308" t="n"/>
      <c r="E19" s="308" t="n"/>
      <c r="F19" s="308" t="n"/>
      <c r="G19" s="308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 fitToPage="1"/>
  </sheetPr>
  <dimension ref="A1:D17"/>
  <sheetViews>
    <sheetView view="pageBreakPreview" workbookViewId="0">
      <selection activeCell="B13" sqref="B13"/>
    </sheetView>
  </sheetViews>
  <sheetFormatPr baseColWidth="8" defaultRowHeight="14.4"/>
  <cols>
    <col width="12.6640625" customWidth="1" style="300" min="1" max="1"/>
    <col width="22.44140625" customWidth="1" style="300" min="2" max="2"/>
    <col width="37.109375" customWidth="1" style="300" min="3" max="3"/>
    <col width="49" customWidth="1" style="300" min="4" max="4"/>
    <col width="9.109375" customWidth="1" style="300" min="5" max="5"/>
  </cols>
  <sheetData>
    <row r="1" ht="15.75" customHeight="1" s="300">
      <c r="A1" s="299" t="n"/>
      <c r="B1" s="299" t="n"/>
      <c r="C1" s="299" t="n"/>
      <c r="D1" s="299" t="inlineStr">
        <is>
          <t>Приложение №7</t>
        </is>
      </c>
    </row>
    <row r="2" ht="15.75" customHeight="1" s="300">
      <c r="A2" s="299" t="n"/>
      <c r="B2" s="299" t="n"/>
      <c r="C2" s="299" t="n"/>
      <c r="D2" s="299" t="n"/>
    </row>
    <row r="3" ht="15.75" customHeight="1" s="300">
      <c r="A3" s="299" t="n"/>
      <c r="B3" s="301" t="inlineStr">
        <is>
          <t>Расчет показателя УНЦ</t>
        </is>
      </c>
      <c r="C3" s="299" t="n"/>
      <c r="D3" s="299" t="n"/>
    </row>
    <row r="4" ht="15.75" customHeight="1" s="300">
      <c r="A4" s="299" t="n"/>
      <c r="B4" s="299" t="n"/>
      <c r="C4" s="299" t="n"/>
      <c r="D4" s="299" t="n"/>
    </row>
    <row r="5" ht="31.5" customHeight="1" s="300">
      <c r="A5" s="360" t="inlineStr">
        <is>
          <t xml:space="preserve">Наименование разрабатываемого показателя УНЦ - </t>
        </is>
      </c>
      <c r="D5" s="360">
        <f>'Прил.5 Расчет СМР и ОБ'!D6:J6</f>
        <v/>
      </c>
    </row>
    <row r="6" ht="15.75" customHeight="1" s="300">
      <c r="A6" s="299" t="inlineStr">
        <is>
          <t>Единица измерения  — 1 км</t>
        </is>
      </c>
      <c r="B6" s="299" t="n"/>
      <c r="C6" s="299" t="n"/>
      <c r="D6" s="299" t="n"/>
    </row>
    <row r="7" ht="15.75" customHeight="1" s="300">
      <c r="A7" s="299" t="n"/>
      <c r="B7" s="299" t="n"/>
      <c r="C7" s="299" t="n"/>
      <c r="D7" s="299" t="n"/>
    </row>
    <row r="8">
      <c r="A8" s="324" t="inlineStr">
        <is>
          <t>Код показателя</t>
        </is>
      </c>
      <c r="B8" s="324" t="inlineStr">
        <is>
          <t>Наименование показателя</t>
        </is>
      </c>
      <c r="C8" s="324" t="inlineStr">
        <is>
          <t>Наименование РМ, входящих в состав показателя</t>
        </is>
      </c>
      <c r="D8" s="324" t="inlineStr">
        <is>
          <t>Норматив цены на 01.01.2023, тыс.руб.</t>
        </is>
      </c>
    </row>
    <row r="9">
      <c r="A9" s="408" t="n"/>
      <c r="B9" s="408" t="n"/>
      <c r="C9" s="408" t="n"/>
      <c r="D9" s="408" t="n"/>
    </row>
    <row r="10" ht="15.75" customHeight="1" s="300">
      <c r="A10" s="324" t="n">
        <v>1</v>
      </c>
      <c r="B10" s="324" t="n">
        <v>2</v>
      </c>
      <c r="C10" s="324" t="n">
        <v>3</v>
      </c>
      <c r="D10" s="324" t="n">
        <v>4</v>
      </c>
    </row>
    <row r="11" ht="63" customHeight="1" s="300">
      <c r="A11" s="324" t="inlineStr">
        <is>
          <t>Л3-06-1</t>
        </is>
      </c>
      <c r="B11" s="324" t="inlineStr">
        <is>
          <t xml:space="preserve">УНЦ опор ВЛ 0,4 - 750 кВ </t>
        </is>
      </c>
      <c r="C11" s="304">
        <f>D5</f>
        <v/>
      </c>
      <c r="D11" s="305">
        <f>'Прил.4 РМ'!C41/1000</f>
        <v/>
      </c>
    </row>
    <row r="13">
      <c r="A13" s="306" t="inlineStr">
        <is>
          <t>Составил ______________________    А.П. Николаева</t>
        </is>
      </c>
      <c r="B13" s="307" t="n"/>
      <c r="C13" s="307" t="n"/>
      <c r="D13" s="308" t="n"/>
    </row>
    <row r="14">
      <c r="A14" s="309" t="inlineStr">
        <is>
          <t xml:space="preserve">                         (подпись, инициалы, фамилия)</t>
        </is>
      </c>
      <c r="B14" s="307" t="n"/>
      <c r="C14" s="307" t="n"/>
      <c r="D14" s="308" t="n"/>
    </row>
    <row r="15">
      <c r="A15" s="306" t="n"/>
      <c r="B15" s="307" t="n"/>
      <c r="C15" s="307" t="n"/>
      <c r="D15" s="308" t="n"/>
    </row>
    <row r="16">
      <c r="A16" s="306" t="inlineStr">
        <is>
          <t>Проверил ______________________        А.В. Костянецкая</t>
        </is>
      </c>
      <c r="B16" s="307" t="n"/>
      <c r="C16" s="307" t="n"/>
      <c r="D16" s="308" t="n"/>
    </row>
    <row r="17" ht="20.25" customHeight="1" s="300">
      <c r="A17" s="309" t="inlineStr">
        <is>
          <t xml:space="preserve">                        (подпись, инициалы, фамилия)</t>
        </is>
      </c>
      <c r="B17" s="307" t="n"/>
      <c r="C17" s="307" t="n"/>
      <c r="D17" s="308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31"/>
  <sheetViews>
    <sheetView view="pageBreakPreview" topLeftCell="A4" zoomScale="60" zoomScaleNormal="85" workbookViewId="0">
      <selection activeCell="B26" sqref="B26"/>
    </sheetView>
  </sheetViews>
  <sheetFormatPr baseColWidth="8" defaultRowHeight="14.4"/>
  <cols>
    <col width="9.109375" customWidth="1" style="300" min="1" max="1"/>
    <col width="40.6640625" customWidth="1" style="300" min="2" max="2"/>
    <col width="37" customWidth="1" style="300" min="3" max="3"/>
    <col width="32" customWidth="1" style="300" min="4" max="4"/>
    <col width="9.109375" customWidth="1" style="300" min="5" max="5"/>
  </cols>
  <sheetData>
    <row r="4" ht="15.75" customHeight="1" s="300">
      <c r="B4" s="317" t="inlineStr">
        <is>
          <t>Приложение № 10</t>
        </is>
      </c>
    </row>
    <row r="5" ht="18.75" customHeight="1" s="300">
      <c r="B5" s="189" t="n"/>
    </row>
    <row r="6" ht="15.75" customHeight="1" s="300">
      <c r="B6" s="318" t="inlineStr">
        <is>
          <t>Используемые индексы изменений сметной стоимости и нормы сопутствующих затрат</t>
        </is>
      </c>
    </row>
    <row r="7">
      <c r="B7" s="361" t="n"/>
    </row>
    <row r="8">
      <c r="B8" s="361" t="n"/>
      <c r="C8" s="361" t="n"/>
      <c r="D8" s="361" t="n"/>
      <c r="E8" s="361" t="n"/>
    </row>
    <row r="9" ht="47.25" customHeight="1" s="300">
      <c r="B9" s="324" t="inlineStr">
        <is>
          <t>Наименование индекса / норм сопутствующих затрат</t>
        </is>
      </c>
      <c r="C9" s="324" t="inlineStr">
        <is>
          <t>Дата применения и обоснование индекса / норм сопутствующих затрат</t>
        </is>
      </c>
      <c r="D9" s="324" t="inlineStr">
        <is>
          <t>Размер индекса / норма сопутствующих затрат</t>
        </is>
      </c>
    </row>
    <row r="10" ht="15.75" customHeight="1" s="300">
      <c r="B10" s="324" t="n">
        <v>1</v>
      </c>
      <c r="C10" s="324" t="n">
        <v>2</v>
      </c>
      <c r="D10" s="324" t="n">
        <v>3</v>
      </c>
    </row>
    <row r="11" ht="45" customHeight="1" s="300">
      <c r="B11" s="324" t="inlineStr">
        <is>
          <t xml:space="preserve">Индекс изменения сметной стоимости на 1 квартал 2023 года. ОЗП </t>
        </is>
      </c>
      <c r="C11" s="324" t="inlineStr">
        <is>
          <t>Письмо Минстроя России от 01.04.2023г. №17772-ИФ/09 прил.9</t>
        </is>
      </c>
      <c r="D11" s="324" t="n">
        <v>46.83</v>
      </c>
    </row>
    <row r="12" ht="29.25" customHeight="1" s="300">
      <c r="B12" s="324" t="inlineStr">
        <is>
          <t>Индекс изменения сметной стоимости на 1 квартал 2023 года. ЭМ</t>
        </is>
      </c>
      <c r="C12" s="324" t="inlineStr">
        <is>
          <t>Письмо Минстроя России от 01.04.2023г. №17772-ИФ/09 прил.9</t>
        </is>
      </c>
      <c r="D12" s="324" t="n">
        <v>11.79</v>
      </c>
    </row>
    <row r="13" ht="29.25" customHeight="1" s="300">
      <c r="B13" s="324" t="inlineStr">
        <is>
          <t>Индекс изменения сметной стоимости на 1 квартал 2023 года. МАТ</t>
        </is>
      </c>
      <c r="C13" s="324" t="inlineStr">
        <is>
          <t>Письмо Минстроя России от 01.04.2023г. №17772-ИФ/09 прил.9</t>
        </is>
      </c>
      <c r="D13" s="324" t="n">
        <v>9.140000000000001</v>
      </c>
    </row>
    <row r="14" ht="30.75" customHeight="1" s="300">
      <c r="B14" s="324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24" t="n">
        <v>6.26</v>
      </c>
    </row>
    <row r="15" ht="89.25" customHeight="1" s="300">
      <c r="B15" s="324" t="inlineStr">
        <is>
          <t>Временные здания и сооружения</t>
        </is>
      </c>
      <c r="C15" s="324" t="inlineStr">
        <is>
          <t xml:space="preserve">п.39.1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92" t="n">
        <v>0.033</v>
      </c>
    </row>
    <row r="16" ht="78.75" customHeight="1" s="300">
      <c r="B16" s="324" t="inlineStr">
        <is>
          <t>Дополнительные затраты при производстве строительно-монтажных работ в зимнее время</t>
        </is>
      </c>
      <c r="C16" s="324" t="inlineStr">
        <is>
          <t xml:space="preserve">п.51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92" t="n">
        <v>0.01</v>
      </c>
    </row>
    <row r="17" ht="34.5" customHeight="1" s="300">
      <c r="B17" s="324" t="n"/>
      <c r="C17" s="324" t="n"/>
      <c r="D17" s="324" t="n"/>
    </row>
    <row r="18" ht="31.5" customHeight="1" s="300">
      <c r="B18" s="324" t="inlineStr">
        <is>
          <t>Строительный контроль</t>
        </is>
      </c>
      <c r="C18" s="324" t="inlineStr">
        <is>
          <t>Постановление Правительства РФ от 21.06.10 г. № 468</t>
        </is>
      </c>
      <c r="D18" s="192" t="n">
        <v>0.0214</v>
      </c>
    </row>
    <row r="19" ht="31.5" customHeight="1" s="300">
      <c r="B19" s="324" t="inlineStr">
        <is>
          <t>Авторский надзор - 0,2%</t>
        </is>
      </c>
      <c r="C19" s="324" t="inlineStr">
        <is>
          <t>Приказ от 4.08.2020 № 421/пр п.173</t>
        </is>
      </c>
      <c r="D19" s="192" t="n">
        <v>0.002</v>
      </c>
    </row>
    <row r="20" ht="24" customHeight="1" s="300">
      <c r="B20" s="324" t="inlineStr">
        <is>
          <t>Непредвиденные расходы</t>
        </is>
      </c>
      <c r="C20" s="324" t="inlineStr">
        <is>
          <t>Приказ от 4.08.2020 № 421/пр п.179</t>
        </is>
      </c>
      <c r="D20" s="192" t="n">
        <v>0.03</v>
      </c>
    </row>
    <row r="21" ht="18.75" customHeight="1" s="300">
      <c r="B21" s="190" t="n"/>
    </row>
    <row r="22" ht="18.75" customHeight="1" s="300">
      <c r="B22" s="190" t="n"/>
    </row>
    <row r="23" ht="18.75" customHeight="1" s="300">
      <c r="B23" s="190" t="n"/>
    </row>
    <row r="24" ht="18.75" customHeight="1" s="300">
      <c r="B24" s="190" t="n"/>
    </row>
    <row r="27" s="300">
      <c r="B27" s="306" t="inlineStr">
        <is>
          <t>Составил ______________________    А.П. Николаева</t>
        </is>
      </c>
      <c r="C27" s="307" t="n"/>
      <c r="D27" s="308" t="n"/>
    </row>
    <row r="28">
      <c r="B28" s="309" t="inlineStr">
        <is>
          <t xml:space="preserve">                         (подпись, инициалы, фамилия)</t>
        </is>
      </c>
      <c r="C28" s="307" t="n"/>
    </row>
    <row r="29">
      <c r="B29" s="306" t="n"/>
      <c r="C29" s="307" t="n"/>
    </row>
    <row r="30">
      <c r="B30" s="306" t="inlineStr">
        <is>
          <t>Проверил ______________________        А.В. Костянецкая</t>
        </is>
      </c>
      <c r="C30" s="307" t="n"/>
    </row>
    <row r="31">
      <c r="B31" s="309" t="inlineStr">
        <is>
          <t xml:space="preserve">                        (подпись, инициалы, фамилия)</t>
        </is>
      </c>
      <c r="C31" s="307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13">
    <outlinePr summaryBelow="1" summaryRight="1"/>
    <pageSetUpPr fitToPage="1"/>
  </sheetPr>
  <dimension ref="A2:G13"/>
  <sheetViews>
    <sheetView view="pageBreakPreview" workbookViewId="0">
      <selection activeCell="D25" sqref="D25"/>
    </sheetView>
  </sheetViews>
  <sheetFormatPr baseColWidth="8" defaultRowHeight="14.4"/>
  <cols>
    <col width="9.109375" customWidth="1" style="300" min="1" max="1"/>
    <col width="44.88671875" customWidth="1" style="300" min="2" max="2"/>
    <col width="13" customWidth="1" style="300" min="3" max="3"/>
    <col width="22.88671875" customWidth="1" style="300" min="4" max="4"/>
    <col width="21.5546875" customWidth="1" style="300" min="5" max="5"/>
    <col width="43.88671875" customWidth="1" style="300" min="6" max="6"/>
    <col width="9.109375" customWidth="1" style="300" min="7" max="7"/>
  </cols>
  <sheetData>
    <row r="2" ht="17.25" customHeight="1" s="300">
      <c r="A2" s="318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300">
      <c r="A4" s="173" t="inlineStr">
        <is>
          <t>Составлен в уровне цен на 01.01.2023 г.</t>
        </is>
      </c>
      <c r="B4" s="299" t="n"/>
      <c r="C4" s="299" t="n"/>
      <c r="D4" s="299" t="n"/>
      <c r="E4" s="299" t="n"/>
      <c r="F4" s="299" t="n"/>
      <c r="G4" s="299" t="n"/>
    </row>
    <row r="5" ht="15.75" customHeight="1" s="300">
      <c r="A5" s="175" t="inlineStr">
        <is>
          <t>№ пп.</t>
        </is>
      </c>
      <c r="B5" s="175" t="inlineStr">
        <is>
          <t>Наименование элемента</t>
        </is>
      </c>
      <c r="C5" s="175" t="inlineStr">
        <is>
          <t>Обозначение</t>
        </is>
      </c>
      <c r="D5" s="175" t="inlineStr">
        <is>
          <t>Формула</t>
        </is>
      </c>
      <c r="E5" s="175" t="inlineStr">
        <is>
          <t>Величина элемента</t>
        </is>
      </c>
      <c r="F5" s="175" t="inlineStr">
        <is>
          <t>Наименования обосновывающих документов</t>
        </is>
      </c>
      <c r="G5" s="299" t="n"/>
    </row>
    <row r="6" ht="15.75" customHeight="1" s="300">
      <c r="A6" s="175" t="n">
        <v>1</v>
      </c>
      <c r="B6" s="175" t="n">
        <v>2</v>
      </c>
      <c r="C6" s="175" t="n">
        <v>3</v>
      </c>
      <c r="D6" s="175" t="n">
        <v>4</v>
      </c>
      <c r="E6" s="175" t="n">
        <v>5</v>
      </c>
      <c r="F6" s="175" t="n">
        <v>6</v>
      </c>
      <c r="G6" s="299" t="n"/>
    </row>
    <row r="7" ht="110.25" customHeight="1" s="300">
      <c r="A7" s="176" t="inlineStr">
        <is>
          <t>1.1</t>
        </is>
      </c>
      <c r="B7" s="277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24" t="inlineStr">
        <is>
          <t>С1ср</t>
        </is>
      </c>
      <c r="D7" s="324" t="inlineStr">
        <is>
          <t>-</t>
        </is>
      </c>
      <c r="E7" s="305" t="n">
        <v>47872.94</v>
      </c>
      <c r="F7" s="277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99" t="n"/>
    </row>
    <row r="8" ht="31.5" customHeight="1" s="300">
      <c r="A8" s="176" t="inlineStr">
        <is>
          <t>1.2</t>
        </is>
      </c>
      <c r="B8" s="277" t="inlineStr">
        <is>
          <t>Среднегодовое нормативное число часов работы одного рабочего в месяц, часы (ч.)</t>
        </is>
      </c>
      <c r="C8" s="324" t="inlineStr">
        <is>
          <t>tср</t>
        </is>
      </c>
      <c r="D8" s="324" t="inlineStr">
        <is>
          <t>1973ч/12мес.</t>
        </is>
      </c>
      <c r="E8" s="305">
        <f>1973/12</f>
        <v/>
      </c>
      <c r="F8" s="277" t="inlineStr">
        <is>
          <t>Производственный календарь 2023 год
(40-часов.неделя)</t>
        </is>
      </c>
      <c r="G8" s="182" t="n"/>
    </row>
    <row r="9" ht="15.75" customHeight="1" s="300">
      <c r="A9" s="176" t="inlineStr">
        <is>
          <t>1.3</t>
        </is>
      </c>
      <c r="B9" s="277" t="inlineStr">
        <is>
          <t>Коэффициент увеличения</t>
        </is>
      </c>
      <c r="C9" s="324" t="inlineStr">
        <is>
          <t>Кув</t>
        </is>
      </c>
      <c r="D9" s="324" t="inlineStr">
        <is>
          <t>-</t>
        </is>
      </c>
      <c r="E9" s="305" t="n">
        <v>1</v>
      </c>
      <c r="F9" s="277" t="n"/>
      <c r="G9" s="182" t="n"/>
    </row>
    <row r="10" ht="15.75" customHeight="1" s="300">
      <c r="A10" s="176" t="inlineStr">
        <is>
          <t>1.4</t>
        </is>
      </c>
      <c r="B10" s="277" t="inlineStr">
        <is>
          <t>Средний разряд работ</t>
        </is>
      </c>
      <c r="C10" s="324" t="n"/>
      <c r="D10" s="324" t="n"/>
      <c r="E10" s="183" t="n">
        <v>4.1</v>
      </c>
      <c r="F10" s="277" t="inlineStr">
        <is>
          <t>РТМ</t>
        </is>
      </c>
      <c r="G10" s="182" t="n"/>
    </row>
    <row r="11" ht="78.75" customHeight="1" s="300">
      <c r="A11" s="176" t="inlineStr">
        <is>
          <t>1.5</t>
        </is>
      </c>
      <c r="B11" s="277" t="inlineStr">
        <is>
          <t>Тарифный коэффициент среднего разряда работ</t>
        </is>
      </c>
      <c r="C11" s="324" t="inlineStr">
        <is>
          <t>КТ</t>
        </is>
      </c>
      <c r="D11" s="324" t="inlineStr">
        <is>
          <t>-</t>
        </is>
      </c>
      <c r="E11" s="292" t="n">
        <v>1.359</v>
      </c>
      <c r="F11" s="277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99" t="n"/>
    </row>
    <row r="12" ht="78.75" customHeight="1" s="300">
      <c r="A12" s="176" t="inlineStr">
        <is>
          <t>1.6</t>
        </is>
      </c>
      <c r="B12" s="249" t="inlineStr">
        <is>
          <t>Коэффициент инфляции, определяемый поквартально</t>
        </is>
      </c>
      <c r="C12" s="324" t="inlineStr">
        <is>
          <t>Кинф</t>
        </is>
      </c>
      <c r="D12" s="324" t="inlineStr">
        <is>
          <t>-</t>
        </is>
      </c>
      <c r="E12" s="185" t="n">
        <v>1.139</v>
      </c>
      <c r="F12" s="18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82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00">
      <c r="A13" s="176" t="inlineStr">
        <is>
          <t>1.7</t>
        </is>
      </c>
      <c r="B13" s="257" t="inlineStr">
        <is>
          <t>Размер средств на оплату труда рабочих-строителей в текущем уровне цен (ФОТр.тек.), руб/чел.-ч</t>
        </is>
      </c>
      <c r="C13" s="324" t="inlineStr">
        <is>
          <t>ФОТр.тек.</t>
        </is>
      </c>
      <c r="D13" s="324" t="inlineStr">
        <is>
          <t>(С1ср/tср*КТ*Т*Кув)*Кинф</t>
        </is>
      </c>
      <c r="E13" s="188">
        <f>((E7*E9/E8)*E11)*E12</f>
        <v/>
      </c>
      <c r="F13" s="277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99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2025-01-24T12:10:07Z</dcterms:modified>
  <cp:lastModifiedBy>user1</cp:lastModifiedBy>
</cp:coreProperties>
</file>