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"/>
    <numFmt numFmtId="167" formatCode="#,##0.0000"/>
    <numFmt numFmtId="168" formatCode="0.0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8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0" fontId="13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wrapText="1"/>
    </xf>
    <xf numFmtId="4" fontId="16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0" fontId="18" fillId="0" borderId="0" pivotButton="0" quotePrefix="0" xfId="0"/>
    <xf numFmtId="169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23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right" vertical="center"/>
    </xf>
    <xf numFmtId="0" fontId="13" fillId="0" borderId="0" pivotButton="0" quotePrefix="0" xfId="0"/>
    <xf numFmtId="0" fontId="20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1" pivotButton="0" quotePrefix="0" xfId="0"/>
    <xf numFmtId="165" fontId="4" fillId="0" borderId="1" pivotButton="0" quotePrefix="0" xfId="0"/>
    <xf numFmtId="0" fontId="0" fillId="0" borderId="1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46" min="1" max="2"/>
    <col width="51.6640625" customWidth="1" style="346" min="3" max="3"/>
    <col width="47" customWidth="1" style="346" min="4" max="4"/>
    <col width="82.109375" customWidth="1" style="346" min="5" max="5"/>
    <col width="9.109375" customWidth="1" style="346" min="6" max="6"/>
  </cols>
  <sheetData>
    <row r="3">
      <c r="B3" s="372" t="inlineStr">
        <is>
          <t>Приложение № 1</t>
        </is>
      </c>
    </row>
    <row r="4">
      <c r="B4" s="373" t="inlineStr">
        <is>
          <t>Сравнительная таблица отбора объекта-представителя</t>
        </is>
      </c>
    </row>
    <row r="5" ht="84" customHeight="1" s="343">
      <c r="B5" s="3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3">
      <c r="B6" s="215" t="n"/>
      <c r="C6" s="215" t="n"/>
      <c r="D6" s="215" t="n"/>
    </row>
    <row r="7" ht="64.5" customHeight="1" s="343">
      <c r="B7" s="374" t="inlineStr">
        <is>
          <t>Наименование разрабатываемого показателя УНЦ — Опоры ВЛ 0,4 - 750 кВ. Двухцепная, все типы опор за исключением многогранных 330 кВ.</t>
        </is>
      </c>
      <c r="E7" s="216" t="n"/>
    </row>
    <row r="8" ht="31.5" customHeight="1" s="343">
      <c r="B8" s="374" t="inlineStr">
        <is>
          <t>Сопоставимый уровень цен: 01.01.2001</t>
        </is>
      </c>
    </row>
    <row r="9" ht="15.75" customHeight="1" s="343">
      <c r="B9" s="374" t="inlineStr">
        <is>
          <t>Единица измерения  — 1 км</t>
        </is>
      </c>
      <c r="E9" s="259" t="n"/>
    </row>
    <row r="10">
      <c r="B10" s="374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  <c r="E11" s="218" t="n"/>
    </row>
    <row r="12" ht="96.75" customHeight="1" s="343">
      <c r="B12" s="377" t="n">
        <v>1</v>
      </c>
      <c r="C12" s="356" t="inlineStr">
        <is>
          <t>Наименование объекта-представителя</t>
        </is>
      </c>
      <c r="D12" s="377" t="inlineStr">
        <is>
          <t xml:space="preserve">ВЛ 330 Нальчик – Владикавказ-2 </t>
        </is>
      </c>
      <c r="E12" s="218" t="n"/>
    </row>
    <row r="13" ht="31.5" customHeight="1" s="343">
      <c r="B13" s="377" t="n">
        <v>2</v>
      </c>
      <c r="C13" s="356" t="inlineStr">
        <is>
          <t>Наименование субъекта Российской Федерации</t>
        </is>
      </c>
      <c r="D13" s="377" t="inlineStr">
        <is>
          <t>Республика Северная Осетия-Алания, Кабаридино-Балкарская республика</t>
        </is>
      </c>
      <c r="E13" s="218" t="n"/>
    </row>
    <row r="14">
      <c r="B14" s="377" t="n">
        <v>3</v>
      </c>
      <c r="C14" s="356" t="inlineStr">
        <is>
          <t>Климатический район и подрайон</t>
        </is>
      </c>
      <c r="D14" s="377" t="inlineStr">
        <is>
          <t>IIIБ</t>
        </is>
      </c>
      <c r="E14" s="218" t="n"/>
    </row>
    <row r="15">
      <c r="B15" s="377" t="n">
        <v>4</v>
      </c>
      <c r="C15" s="356" t="inlineStr">
        <is>
          <t>Мощность объекта</t>
        </is>
      </c>
      <c r="D15" s="377" t="n">
        <v>21.896</v>
      </c>
      <c r="E15" s="218" t="n"/>
    </row>
    <row r="16" ht="116.25" customHeight="1" s="343">
      <c r="B16" s="377" t="n">
        <v>5</v>
      </c>
      <c r="C16" s="17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7" t="inlineStr">
        <is>
          <t>Опоры двухцепные (У330-2, П330-2, П330-2+5)</t>
        </is>
      </c>
      <c r="E16" s="219" t="n"/>
    </row>
    <row r="17" ht="79.5" customHeight="1" s="343">
      <c r="B17" s="377" t="n">
        <v>6</v>
      </c>
      <c r="C17" s="17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  <c r="E17" s="221" t="n"/>
    </row>
    <row r="18">
      <c r="B18" s="222" t="inlineStr">
        <is>
          <t>6.1</t>
        </is>
      </c>
      <c r="C18" s="356" t="inlineStr">
        <is>
          <t>строительно-монтажные работы</t>
        </is>
      </c>
      <c r="D18" s="220">
        <f>'Прил.2 Расч стоим'!F14</f>
        <v/>
      </c>
    </row>
    <row r="19" ht="15.75" customHeight="1" s="343">
      <c r="B19" s="222" t="inlineStr">
        <is>
          <t>6.2</t>
        </is>
      </c>
      <c r="C19" s="356" t="inlineStr">
        <is>
          <t>оборудование и инвентарь</t>
        </is>
      </c>
      <c r="D19" s="220" t="n">
        <v>0</v>
      </c>
    </row>
    <row r="20" ht="16.5" customHeight="1" s="343">
      <c r="B20" s="222" t="inlineStr">
        <is>
          <t>6.3</t>
        </is>
      </c>
      <c r="C20" s="356" t="inlineStr">
        <is>
          <t>пусконаладочные работы</t>
        </is>
      </c>
      <c r="D20" s="220" t="n">
        <v>0</v>
      </c>
    </row>
    <row r="21" ht="35.25" customHeight="1" s="343">
      <c r="B21" s="222" t="inlineStr">
        <is>
          <t>6.4</t>
        </is>
      </c>
      <c r="C21" s="223" t="inlineStr">
        <is>
          <t>прочие и лимитированные затраты</t>
        </is>
      </c>
      <c r="D21" s="220" t="n"/>
    </row>
    <row r="22">
      <c r="B22" s="377" t="n">
        <v>7</v>
      </c>
      <c r="C22" s="223" t="inlineStr">
        <is>
          <t>Сопоставимый уровень цен</t>
        </is>
      </c>
      <c r="D22" s="224" t="inlineStr">
        <is>
          <t>2 квартал 2019 г</t>
        </is>
      </c>
      <c r="E22" s="219" t="n"/>
    </row>
    <row r="23" ht="123" customHeight="1" s="343">
      <c r="B23" s="37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221" t="n"/>
    </row>
    <row r="24" ht="60.75" customHeight="1" s="343">
      <c r="B24" s="377" t="n">
        <v>9</v>
      </c>
      <c r="C24" s="174" t="inlineStr">
        <is>
          <t>Приведенная сметная стоимость на единицу мощности, тыс. руб. (строка 8/строку 4)</t>
        </is>
      </c>
      <c r="D24" s="220">
        <f>D17/D15</f>
        <v/>
      </c>
      <c r="E24" s="219" t="n"/>
    </row>
    <row r="25" ht="48" customHeight="1" s="343">
      <c r="B25" s="377" t="n">
        <v>10</v>
      </c>
      <c r="C25" s="356" t="inlineStr">
        <is>
          <t>Примечание</t>
        </is>
      </c>
      <c r="D25" s="377" t="n"/>
    </row>
    <row r="26">
      <c r="B26" s="226" t="n"/>
      <c r="C26" s="227" t="n"/>
      <c r="D26" s="227" t="n"/>
    </row>
    <row r="27" ht="37.5" customHeight="1" s="343">
      <c r="B27" s="228" t="n"/>
    </row>
    <row r="28">
      <c r="B28" s="346" t="inlineStr">
        <is>
          <t>Составил ______________________    Д.Ю. Нефедова</t>
        </is>
      </c>
    </row>
    <row r="29">
      <c r="B29" s="228" t="inlineStr">
        <is>
          <t xml:space="preserve">                         (подпись, инициалы, фамилия)</t>
        </is>
      </c>
    </row>
    <row r="31">
      <c r="B31" s="346" t="inlineStr">
        <is>
          <t>Проверил ______________________        А.В. Костянецкая</t>
        </is>
      </c>
    </row>
    <row r="32">
      <c r="B32" s="22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46" min="1" max="1"/>
    <col width="9.109375" customWidth="1" style="346" min="2" max="2"/>
    <col width="35.33203125" customWidth="1" style="346" min="3" max="3"/>
    <col width="13.88671875" customWidth="1" style="346" min="4" max="4"/>
    <col width="24.88671875" customWidth="1" style="346" min="5" max="5"/>
    <col width="15.5546875" customWidth="1" style="346" min="6" max="6"/>
    <col width="14.88671875" customWidth="1" style="346" min="7" max="7"/>
    <col width="16.6640625" customWidth="1" style="346" min="8" max="8"/>
    <col width="13" customWidth="1" style="346" min="9" max="9"/>
    <col width="16.6640625" customWidth="1" style="346" min="10" max="10"/>
    <col width="18" customWidth="1" style="346" min="11" max="11"/>
    <col width="9.109375" customWidth="1" style="346" min="12" max="12"/>
  </cols>
  <sheetData>
    <row r="3">
      <c r="B3" s="372" t="inlineStr">
        <is>
          <t>Приложение № 2</t>
        </is>
      </c>
      <c r="K3" s="228" t="n"/>
    </row>
    <row r="4">
      <c r="B4" s="373" t="inlineStr">
        <is>
          <t>Расчет стоимости основных видов работ для выбора объекта-представителя</t>
        </is>
      </c>
    </row>
    <row r="5">
      <c r="B5" s="270" t="n"/>
      <c r="C5" s="270" t="n"/>
      <c r="D5" s="270" t="n"/>
      <c r="E5" s="270" t="n"/>
      <c r="F5" s="270" t="n"/>
      <c r="G5" s="270" t="n"/>
      <c r="H5" s="270" t="n"/>
      <c r="I5" s="270" t="n"/>
      <c r="J5" s="270" t="n"/>
      <c r="K5" s="270" t="n"/>
    </row>
    <row r="6" ht="29.25" customHeight="1" s="343">
      <c r="B6" s="374">
        <f>'Прил.1 Сравнит табл'!B7:D7</f>
        <v/>
      </c>
    </row>
    <row r="7">
      <c r="B7" s="374">
        <f>'Прил.1 Сравнит табл'!B9:D9</f>
        <v/>
      </c>
    </row>
    <row r="8" ht="18.75" customHeight="1" s="343">
      <c r="B8" s="271" t="n"/>
    </row>
    <row r="9" ht="15.75" customHeight="1" s="343"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3">
      <c r="B10" s="463" t="n"/>
      <c r="C10" s="463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2 квартал 2019 г, тыс. руб.</t>
        </is>
      </c>
      <c r="G10" s="461" t="n"/>
      <c r="H10" s="461" t="n"/>
      <c r="I10" s="461" t="n"/>
      <c r="J10" s="462" t="n"/>
    </row>
    <row r="11" ht="31.5" customHeight="1" s="343">
      <c r="B11" s="464" t="n"/>
      <c r="C11" s="464" t="n"/>
      <c r="D11" s="464" t="n"/>
      <c r="E11" s="464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15" customHeight="1" s="343">
      <c r="B12" s="355" t="n">
        <v>1</v>
      </c>
      <c r="C12" s="356" t="inlineStr">
        <is>
          <t>Монтаж опор</t>
        </is>
      </c>
      <c r="D12" s="357" t="inlineStr">
        <is>
          <t>02-01-02</t>
        </is>
      </c>
      <c r="E12" s="356" t="inlineStr">
        <is>
          <t xml:space="preserve">Установка опор. Участок до 103 опоры включительно. </t>
        </is>
      </c>
      <c r="F12" s="358">
        <f>29246541*7.69/1000</f>
        <v/>
      </c>
      <c r="G12" s="358" t="n"/>
      <c r="H12" s="358" t="n"/>
      <c r="I12" s="359" t="n"/>
      <c r="J12" s="360">
        <f>SUM(F12:I12)</f>
        <v/>
      </c>
    </row>
    <row r="13" ht="15.75" customHeight="1" s="343">
      <c r="B13" s="376" t="inlineStr">
        <is>
          <t>Всего по объекту:</t>
        </is>
      </c>
      <c r="C13" s="461" t="n"/>
      <c r="D13" s="461" t="n"/>
      <c r="E13" s="462" t="n"/>
      <c r="F13" s="361">
        <f>SUM(F12:F12)</f>
        <v/>
      </c>
      <c r="G13" s="361" t="n"/>
      <c r="H13" s="361" t="n"/>
      <c r="I13" s="361" t="n"/>
      <c r="J13" s="361">
        <f>SUM(F13:I13)</f>
        <v/>
      </c>
    </row>
    <row r="14" ht="15.75" customHeight="1" s="343">
      <c r="B14" s="376" t="inlineStr">
        <is>
          <t>Всего по объекту в сопоставимом уровне цен 2 квартал 2019 г:</t>
        </is>
      </c>
      <c r="C14" s="461" t="n"/>
      <c r="D14" s="461" t="n"/>
      <c r="E14" s="462" t="n"/>
      <c r="F14" s="361">
        <f>F13</f>
        <v/>
      </c>
      <c r="G14" s="361" t="n"/>
      <c r="H14" s="361" t="n"/>
      <c r="I14" s="361" t="n"/>
      <c r="J14" s="361">
        <f>SUM(F14:I14)</f>
        <v/>
      </c>
    </row>
    <row r="15" ht="15" customHeight="1" s="343"/>
    <row r="16" ht="15" customHeight="1" s="343"/>
    <row r="17" ht="15" customHeight="1" s="343"/>
    <row r="18" ht="15" customHeight="1" s="343">
      <c r="C18" s="350" t="inlineStr">
        <is>
          <t>Составил ______________________     Д.Ю. Нефедова</t>
        </is>
      </c>
      <c r="D18" s="351" t="n"/>
      <c r="E18" s="351" t="n"/>
    </row>
    <row r="19" ht="15" customHeight="1" s="343">
      <c r="C19" s="353" t="inlineStr">
        <is>
          <t xml:space="preserve">                         (подпись, инициалы, фамилия)</t>
        </is>
      </c>
      <c r="D19" s="351" t="n"/>
      <c r="E19" s="351" t="n"/>
    </row>
    <row r="20" ht="15" customHeight="1" s="343">
      <c r="C20" s="350" t="n"/>
      <c r="D20" s="351" t="n"/>
      <c r="E20" s="351" t="n"/>
    </row>
    <row r="21" ht="15" customHeight="1" s="343">
      <c r="C21" s="350" t="inlineStr">
        <is>
          <t>Проверил ______________________        А.В. Костянецкая</t>
        </is>
      </c>
      <c r="D21" s="351" t="n"/>
      <c r="E21" s="351" t="n"/>
    </row>
    <row r="22" ht="15" customHeight="1" s="343">
      <c r="C22" s="353" t="inlineStr">
        <is>
          <t xml:space="preserve">                        (подпись, инициалы, фамилия)</t>
        </is>
      </c>
      <c r="D22" s="351" t="n"/>
      <c r="E22" s="351" t="n"/>
    </row>
    <row r="23" ht="15" customHeight="1" s="343"/>
    <row r="24" ht="15" customHeight="1" s="343"/>
    <row r="25" ht="15" customHeight="1" s="343"/>
    <row r="26" ht="15" customHeight="1" s="343"/>
    <row r="27" ht="15" customHeight="1" s="343"/>
    <row r="28" ht="15" customHeight="1" s="34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9"/>
  <sheetViews>
    <sheetView view="pageBreakPreview" topLeftCell="A25" zoomScale="85" workbookViewId="0">
      <selection activeCell="C44" sqref="C44"/>
    </sheetView>
  </sheetViews>
  <sheetFormatPr baseColWidth="8" defaultColWidth="9.109375" defaultRowHeight="15.6"/>
  <cols>
    <col width="9.109375" customWidth="1" style="346" min="1" max="1"/>
    <col width="12.5546875" customWidth="1" style="346" min="2" max="2"/>
    <col width="22.44140625" customWidth="1" style="346" min="3" max="3"/>
    <col width="49.6640625" customWidth="1" style="346" min="4" max="4"/>
    <col width="10.109375" customWidth="1" style="346" min="5" max="5"/>
    <col width="20.6640625" customWidth="1" style="346" min="6" max="6"/>
    <col width="20" customWidth="1" style="346" min="7" max="7"/>
    <col width="16.6640625" customWidth="1" style="346" min="8" max="8"/>
    <col width="9.109375" customWidth="1" style="346" min="9" max="9"/>
    <col width="12.88671875" customWidth="1" style="346" min="10" max="10"/>
    <col width="15" customWidth="1" style="346" min="11" max="11"/>
    <col width="9.109375" customWidth="1" style="346" min="12" max="16"/>
  </cols>
  <sheetData>
    <row r="2">
      <c r="A2" s="372" t="inlineStr">
        <is>
          <t xml:space="preserve">Приложение № 3 </t>
        </is>
      </c>
    </row>
    <row r="3">
      <c r="A3" s="373" t="inlineStr">
        <is>
          <t>Объектная ресурсная ведомость</t>
        </is>
      </c>
    </row>
    <row r="4" ht="18.75" customHeight="1" s="343">
      <c r="A4" s="229" t="n"/>
      <c r="B4" s="229" t="n"/>
      <c r="C4" s="37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4" t="n"/>
    </row>
    <row r="6">
      <c r="A6" s="378" t="inlineStr">
        <is>
          <t>Наименование разрабатываемого показателя УНЦ - Опоры ВЛ 0,4 - 750 кВ. Двухцепная, все типы опор за исключением многогранных 330 кВ.</t>
        </is>
      </c>
    </row>
    <row r="7">
      <c r="A7" s="378" t="n"/>
      <c r="B7" s="378" t="n"/>
      <c r="C7" s="378" t="n"/>
      <c r="D7" s="378" t="n"/>
      <c r="E7" s="378" t="n"/>
      <c r="F7" s="378" t="n"/>
      <c r="G7" s="378" t="n"/>
      <c r="H7" s="378" t="n"/>
    </row>
    <row r="8" ht="38.25" customHeight="1" s="343">
      <c r="A8" s="377" t="inlineStr">
        <is>
          <t>п/п</t>
        </is>
      </c>
      <c r="B8" s="377" t="inlineStr">
        <is>
          <t>№ЛСР</t>
        </is>
      </c>
      <c r="C8" s="377" t="inlineStr">
        <is>
          <t>Код ресурса</t>
        </is>
      </c>
      <c r="D8" s="377" t="inlineStr">
        <is>
          <t>Наименование ресурса</t>
        </is>
      </c>
      <c r="E8" s="377" t="inlineStr">
        <is>
          <t>Ед. изм.</t>
        </is>
      </c>
      <c r="F8" s="377" t="inlineStr">
        <is>
          <t>Кол-во единиц по данным объекта-представителя</t>
        </is>
      </c>
      <c r="G8" s="377" t="inlineStr">
        <is>
          <t>Сметная стоимость в ценах на 01.01.2000 (руб.)</t>
        </is>
      </c>
      <c r="H8" s="462" t="n"/>
    </row>
    <row r="9" ht="40.5" customHeight="1" s="343">
      <c r="A9" s="464" t="n"/>
      <c r="B9" s="464" t="n"/>
      <c r="C9" s="464" t="n"/>
      <c r="D9" s="464" t="n"/>
      <c r="E9" s="464" t="n"/>
      <c r="F9" s="464" t="n"/>
      <c r="G9" s="377" t="inlineStr">
        <is>
          <t>на ед.изм.</t>
        </is>
      </c>
      <c r="H9" s="377" t="inlineStr">
        <is>
          <t>общая</t>
        </is>
      </c>
    </row>
    <row r="10">
      <c r="A10" s="175" t="n">
        <v>1</v>
      </c>
      <c r="B10" s="175" t="n"/>
      <c r="C10" s="175" t="n">
        <v>2</v>
      </c>
      <c r="D10" s="175" t="inlineStr">
        <is>
          <t>З</t>
        </is>
      </c>
      <c r="E10" s="175" t="n">
        <v>4</v>
      </c>
      <c r="F10" s="175" t="n">
        <v>5</v>
      </c>
      <c r="G10" s="175" t="n">
        <v>6</v>
      </c>
      <c r="H10" s="175" t="n">
        <v>7</v>
      </c>
    </row>
    <row r="11" customFormat="1" s="344">
      <c r="A11" s="380" t="inlineStr">
        <is>
          <t>Затраты труда рабочих</t>
        </is>
      </c>
      <c r="B11" s="461" t="n"/>
      <c r="C11" s="461" t="n"/>
      <c r="D11" s="461" t="n"/>
      <c r="E11" s="462" t="n"/>
      <c r="F11" s="176">
        <f>SUM(F12:F12)</f>
        <v/>
      </c>
      <c r="G11" s="177" t="n"/>
      <c r="H11" s="176">
        <f>SUM(H12:H12)</f>
        <v/>
      </c>
    </row>
    <row r="12">
      <c r="A12" s="415" t="n">
        <v>1</v>
      </c>
      <c r="B12" s="179" t="n"/>
      <c r="C12" s="313" t="inlineStr">
        <is>
          <t>1-4-2</t>
        </is>
      </c>
      <c r="D12" s="314" t="inlineStr">
        <is>
          <t>Затраты труда рабочих (ср 4,2)</t>
        </is>
      </c>
      <c r="E12" s="415" t="inlineStr">
        <is>
          <t>чел.-ч</t>
        </is>
      </c>
      <c r="F12" s="317" t="n">
        <v>35603.322965635</v>
      </c>
      <c r="G12" s="316" t="n">
        <v>9.92</v>
      </c>
      <c r="H12" s="316">
        <f>ROUND(F12*G12,2)</f>
        <v/>
      </c>
      <c r="M12" s="231" t="n"/>
    </row>
    <row r="13" ht="15.75" customHeight="1" s="343">
      <c r="A13" s="380" t="inlineStr">
        <is>
          <t>Затраты труда машинистов</t>
        </is>
      </c>
      <c r="B13" s="461" t="n"/>
      <c r="C13" s="461" t="n"/>
      <c r="D13" s="461" t="n"/>
      <c r="E13" s="462" t="n"/>
      <c r="F13" s="380" t="n"/>
      <c r="G13" s="181" t="n"/>
      <c r="H13" s="182">
        <f>H14</f>
        <v/>
      </c>
    </row>
    <row r="14">
      <c r="A14" s="415" t="n">
        <v>2</v>
      </c>
      <c r="B14" s="381" t="n"/>
      <c r="C14" s="313" t="n">
        <v>2</v>
      </c>
      <c r="D14" s="314" t="inlineStr">
        <is>
          <t>Затраты труда машинистов(справочно)</t>
        </is>
      </c>
      <c r="E14" s="415" t="inlineStr">
        <is>
          <t>чел.-ч</t>
        </is>
      </c>
      <c r="F14" s="317" t="n">
        <v>11818.492882087</v>
      </c>
      <c r="G14" s="316" t="n"/>
      <c r="H14" s="318" t="n">
        <v>259246.97</v>
      </c>
      <c r="N14" s="218" t="n"/>
    </row>
    <row r="15" customFormat="1" s="344">
      <c r="A15" s="380" t="inlineStr">
        <is>
          <t>Машины и механизмы</t>
        </is>
      </c>
      <c r="B15" s="461" t="n"/>
      <c r="C15" s="461" t="n"/>
      <c r="D15" s="461" t="n"/>
      <c r="E15" s="462" t="n"/>
      <c r="F15" s="380" t="n"/>
      <c r="G15" s="181" t="n"/>
      <c r="H15" s="176">
        <f>SUM(H16:H27)</f>
        <v/>
      </c>
    </row>
    <row r="16" ht="25.5" customHeight="1" s="343">
      <c r="A16" s="415" t="n">
        <v>3</v>
      </c>
      <c r="B16" s="381" t="n"/>
      <c r="C16" s="313" t="inlineStr">
        <is>
          <t>91.15.02-029</t>
        </is>
      </c>
      <c r="D16" s="314" t="inlineStr">
        <is>
          <t>Тракторы на гусеничном ходу с лебедкой 132 кВт (180 л.с.)</t>
        </is>
      </c>
      <c r="E16" s="415" t="inlineStr">
        <is>
          <t>маш.час</t>
        </is>
      </c>
      <c r="F16" s="415" t="n">
        <v>4416.2393614057</v>
      </c>
      <c r="G16" s="319" t="n">
        <v>147.43</v>
      </c>
      <c r="H16" s="316">
        <f>ROUND(F16*G16,2)</f>
        <v/>
      </c>
      <c r="I16" s="232" t="n"/>
      <c r="M16" s="231" t="n"/>
    </row>
    <row r="17" ht="26.4" customFormat="1" customHeight="1" s="344">
      <c r="A17" s="415" t="n">
        <v>4</v>
      </c>
      <c r="B17" s="381" t="n"/>
      <c r="C17" s="313" t="inlineStr">
        <is>
          <t>91.13.03-111</t>
        </is>
      </c>
      <c r="D17" s="314" t="inlineStr">
        <is>
          <t>Спецавтомобили-вездеходы, грузоподъемность до 8 т</t>
        </is>
      </c>
      <c r="E17" s="415" t="inlineStr">
        <is>
          <t>маш.час</t>
        </is>
      </c>
      <c r="F17" s="415" t="n">
        <v>2080.4670939292</v>
      </c>
      <c r="G17" s="319" t="n">
        <v>189.95</v>
      </c>
      <c r="H17" s="316">
        <f>ROUND(F17*G17,2)</f>
        <v/>
      </c>
      <c r="I17" s="232" t="n"/>
      <c r="J17" s="346" t="n"/>
      <c r="K17" s="346" t="n"/>
      <c r="L17" s="346" t="n"/>
      <c r="M17" s="231" t="n"/>
    </row>
    <row r="18" ht="38.25" customFormat="1" customHeight="1" s="344">
      <c r="A18" s="415" t="n">
        <v>5</v>
      </c>
      <c r="B18" s="381" t="n"/>
      <c r="C18" s="313" t="inlineStr">
        <is>
          <t>91.05.14-516</t>
        </is>
      </c>
      <c r="D18" s="314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8" s="415" t="inlineStr">
        <is>
          <t>маш.час</t>
        </is>
      </c>
      <c r="F18" s="415" t="n">
        <v>3394.9022109877</v>
      </c>
      <c r="G18" s="319" t="n">
        <v>77.64</v>
      </c>
      <c r="H18" s="316">
        <f>ROUND(F18*G18,2)</f>
        <v/>
      </c>
      <c r="I18" s="232" t="n"/>
      <c r="J18" s="346" t="n"/>
      <c r="K18" s="346" t="n"/>
      <c r="L18" s="346" t="n"/>
      <c r="M18" s="231" t="n"/>
    </row>
    <row r="19" ht="38.25" customFormat="1" customHeight="1" s="344">
      <c r="A19" s="415" t="n">
        <v>6</v>
      </c>
      <c r="B19" s="381" t="n"/>
      <c r="C19" s="313" t="inlineStr">
        <is>
          <t>91.18.01-007</t>
        </is>
      </c>
      <c r="D19" s="31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9" s="415" t="inlineStr">
        <is>
          <t>маш.час</t>
        </is>
      </c>
      <c r="F19" s="415" t="n">
        <v>1234.5305418114</v>
      </c>
      <c r="G19" s="319" t="n">
        <v>90</v>
      </c>
      <c r="H19" s="316">
        <f>ROUND(F19*G19,2)</f>
        <v/>
      </c>
      <c r="I19" s="232" t="n"/>
      <c r="J19" s="346" t="n"/>
      <c r="K19" s="346" t="n"/>
      <c r="L19" s="346" t="n"/>
      <c r="M19" s="346" t="n"/>
    </row>
    <row r="20" ht="25.5" customFormat="1" customHeight="1" s="344">
      <c r="A20" s="415" t="n">
        <v>7</v>
      </c>
      <c r="B20" s="381" t="n"/>
      <c r="C20" s="313" t="inlineStr">
        <is>
          <t>91.05.05-015</t>
        </is>
      </c>
      <c r="D20" s="314" t="inlineStr">
        <is>
          <t>Краны на автомобильном ходу, грузоподъемность 16 т</t>
        </is>
      </c>
      <c r="E20" s="415" t="inlineStr">
        <is>
          <t>маш.час</t>
        </is>
      </c>
      <c r="F20" s="415" t="n">
        <v>676.28071175446</v>
      </c>
      <c r="G20" s="319" t="n">
        <v>115.4</v>
      </c>
      <c r="H20" s="316">
        <f>ROUND(F20*G20,2)</f>
        <v/>
      </c>
      <c r="I20" s="232" t="n"/>
      <c r="J20" s="346" t="n"/>
      <c r="K20" s="346" t="n"/>
      <c r="L20" s="346" t="n"/>
      <c r="M20" s="346" t="n"/>
    </row>
    <row r="21" ht="25.5" customFormat="1" customHeight="1" s="344">
      <c r="A21" s="415" t="n">
        <v>8</v>
      </c>
      <c r="B21" s="381" t="n"/>
      <c r="C21" s="313" t="inlineStr">
        <is>
          <t>91.06.09-101</t>
        </is>
      </c>
      <c r="D21" s="314" t="inlineStr">
        <is>
          <t>Стрелы монтажные А-образные для подъема опор ВЛ, высота до 22 м</t>
        </is>
      </c>
      <c r="E21" s="415" t="inlineStr">
        <is>
          <t>маш.час</t>
        </is>
      </c>
      <c r="F21" s="415" t="n">
        <v>625.91160790327</v>
      </c>
      <c r="G21" s="319" t="n">
        <v>6.24</v>
      </c>
      <c r="H21" s="316">
        <f>ROUND(F21*G21,2)</f>
        <v/>
      </c>
      <c r="I21" s="232" t="n"/>
    </row>
    <row r="22" ht="25.5" customFormat="1" customHeight="1" s="344">
      <c r="A22" s="415" t="n">
        <v>9</v>
      </c>
      <c r="B22" s="381" t="n"/>
      <c r="C22" s="313" t="inlineStr">
        <is>
          <t>91.21.01-012</t>
        </is>
      </c>
      <c r="D22" s="314" t="inlineStr">
        <is>
          <t>Агрегаты окрасочные высокого давления для окраски поверхностей конструкций, мощность 1 кВт</t>
        </is>
      </c>
      <c r="E22" s="415" t="inlineStr">
        <is>
          <t>маш.час</t>
        </is>
      </c>
      <c r="F22" s="415" t="n">
        <v>566.2854881219901</v>
      </c>
      <c r="G22" s="319" t="n">
        <v>6.82</v>
      </c>
      <c r="H22" s="316">
        <f>ROUND(F22*G22,2)</f>
        <v/>
      </c>
      <c r="I22" s="232" t="n"/>
      <c r="J22" s="346" t="n"/>
      <c r="K22" s="346" t="n"/>
      <c r="L22" s="346" t="n"/>
      <c r="M22" s="231" t="n"/>
    </row>
    <row r="23" ht="26.4" customFormat="1" customHeight="1" s="344">
      <c r="A23" s="415" t="n">
        <v>10</v>
      </c>
      <c r="B23" s="381" t="n"/>
      <c r="C23" s="313" t="inlineStr">
        <is>
          <t>91.06.01-002</t>
        </is>
      </c>
      <c r="D23" s="314" t="inlineStr">
        <is>
          <t>Домкраты гидравлические, грузоподъемность 6,3-25 т</t>
        </is>
      </c>
      <c r="E23" s="415" t="inlineStr">
        <is>
          <t>маш.час</t>
        </is>
      </c>
      <c r="F23" s="415" t="n">
        <v>3369.9224307986</v>
      </c>
      <c r="G23" s="319" t="n">
        <v>0.48</v>
      </c>
      <c r="H23" s="316">
        <f>ROUND(F23*G23,2)</f>
        <v/>
      </c>
      <c r="I23" s="232" t="n"/>
      <c r="J23" s="346" t="n"/>
      <c r="K23" s="346" t="n"/>
      <c r="L23" s="346" t="n"/>
      <c r="M23" s="231" t="n"/>
    </row>
    <row r="24" customFormat="1" s="344">
      <c r="A24" s="415" t="n">
        <v>11</v>
      </c>
      <c r="B24" s="381" t="n"/>
      <c r="C24" s="313" t="inlineStr">
        <is>
          <t>91.14.02-001</t>
        </is>
      </c>
      <c r="D24" s="314" t="inlineStr">
        <is>
          <t>Автомобили бортовые, грузоподъемность до 5 т</t>
        </is>
      </c>
      <c r="E24" s="415" t="inlineStr">
        <is>
          <t>маш.час</t>
        </is>
      </c>
      <c r="F24" s="415" t="n">
        <v>9.6633324042068</v>
      </c>
      <c r="G24" s="319" t="n">
        <v>65.70999999999999</v>
      </c>
      <c r="H24" s="316">
        <f>ROUND(F24*G24,2)</f>
        <v/>
      </c>
      <c r="I24" s="232" t="n"/>
      <c r="J24" s="346" t="n"/>
      <c r="K24" s="346" t="n"/>
      <c r="L24" s="346" t="n"/>
      <c r="M24" s="231" t="n"/>
    </row>
    <row r="25" customFormat="1" s="344">
      <c r="A25" s="415" t="n">
        <v>12</v>
      </c>
      <c r="B25" s="381" t="n"/>
      <c r="C25" s="313" t="inlineStr">
        <is>
          <t>91.06.05-011</t>
        </is>
      </c>
      <c r="D25" s="314" t="inlineStr">
        <is>
          <t>Погрузчики, грузоподъемность 5 т</t>
        </is>
      </c>
      <c r="E25" s="415" t="inlineStr">
        <is>
          <t>маш.час</t>
        </is>
      </c>
      <c r="F25" s="415" t="n">
        <v>6.4096499036775</v>
      </c>
      <c r="G25" s="319" t="n">
        <v>89.98999999999999</v>
      </c>
      <c r="H25" s="316">
        <f>ROUND(F25*G25,2)</f>
        <v/>
      </c>
      <c r="I25" s="232" t="n"/>
      <c r="J25" s="346" t="n"/>
      <c r="K25" s="346" t="n"/>
      <c r="L25" s="346" t="n"/>
      <c r="M25" s="346" t="n"/>
    </row>
    <row r="26" ht="25.5" customFormat="1" customHeight="1" s="344">
      <c r="A26" s="415" t="n">
        <v>13</v>
      </c>
      <c r="B26" s="381" t="n"/>
      <c r="C26" s="313" t="inlineStr">
        <is>
          <t>91.17.04-171</t>
        </is>
      </c>
      <c r="D26" s="314" t="inlineStr">
        <is>
          <t>Преобразователи сварочные номинальным сварочным током 315-500 А</t>
        </is>
      </c>
      <c r="E26" s="415" t="inlineStr">
        <is>
          <t>маш.час</t>
        </is>
      </c>
      <c r="F26" s="415" t="n">
        <v>10.242484317457</v>
      </c>
      <c r="G26" s="319" t="n">
        <v>12.31</v>
      </c>
      <c r="H26" s="316">
        <f>ROUND(F26*G26,2)</f>
        <v/>
      </c>
      <c r="I26" s="232" t="n"/>
      <c r="J26" s="346" t="n"/>
      <c r="K26" s="346" t="n"/>
      <c r="L26" s="346" t="n"/>
      <c r="M26" s="346" t="n"/>
    </row>
    <row r="27" ht="25.5" customFormat="1" customHeight="1" s="344">
      <c r="A27" s="415" t="n">
        <v>14</v>
      </c>
      <c r="B27" s="381" t="n"/>
      <c r="C27" s="313" t="inlineStr">
        <is>
          <t>91.06.03-060</t>
        </is>
      </c>
      <c r="D27" s="314" t="inlineStr">
        <is>
          <t>Лебедки электрические тяговым усилием до 5,79 кН (0,59 т)</t>
        </is>
      </c>
      <c r="E27" s="415" t="inlineStr">
        <is>
          <t>маш.час</t>
        </is>
      </c>
      <c r="F27" s="415" t="n">
        <v>6.4096499036775</v>
      </c>
      <c r="G27" s="319" t="n">
        <v>1.7</v>
      </c>
      <c r="H27" s="316">
        <f>ROUND(F27*G27,2)</f>
        <v/>
      </c>
      <c r="I27" s="232" t="n"/>
    </row>
    <row r="28" ht="15" customHeight="1" s="343">
      <c r="A28" s="380" t="inlineStr">
        <is>
          <t>Оборудование</t>
        </is>
      </c>
      <c r="B28" s="461" t="n"/>
      <c r="C28" s="461" t="n"/>
      <c r="D28" s="461" t="n"/>
      <c r="E28" s="462" t="n"/>
      <c r="F28" s="177" t="n"/>
      <c r="G28" s="177" t="n"/>
      <c r="H28" s="176" t="n">
        <v>0</v>
      </c>
      <c r="M28" s="231" t="n"/>
    </row>
    <row r="29">
      <c r="A29" s="380" t="inlineStr">
        <is>
          <t>Материалы</t>
        </is>
      </c>
      <c r="B29" s="461" t="n"/>
      <c r="C29" s="461" t="n"/>
      <c r="D29" s="461" t="n"/>
      <c r="E29" s="462" t="n"/>
      <c r="F29" s="380" t="n"/>
      <c r="G29" s="181" t="n"/>
      <c r="H29" s="176">
        <f>SUM(H30:H39)</f>
        <v/>
      </c>
      <c r="M29" s="231" t="n"/>
    </row>
    <row r="30" ht="38.25" customHeight="1" s="343">
      <c r="A30" s="187" t="n">
        <v>15</v>
      </c>
      <c r="B30" s="381" t="n"/>
      <c r="C30" s="313" t="inlineStr">
        <is>
          <t>Прайс из СД ОП</t>
        </is>
      </c>
      <c r="D30" s="314" t="inlineStr">
        <is>
          <t>Опоры решетчатые линий электропередачи оцинкованные, 330 кВ, промежуточные, одностоечные, свободностоящие</t>
        </is>
      </c>
      <c r="E30" s="415" t="inlineStr">
        <is>
          <t>т</t>
        </is>
      </c>
      <c r="F30" s="415" t="n">
        <v>531.34844418444</v>
      </c>
      <c r="G30" s="316" t="n">
        <v>24123.95</v>
      </c>
      <c r="H30" s="316">
        <f>ROUND(F30*G30,2)</f>
        <v/>
      </c>
      <c r="I30" s="312" t="n"/>
      <c r="M30" s="231" t="n"/>
    </row>
    <row r="31" ht="38.25" customHeight="1" s="343">
      <c r="A31" s="187" t="n">
        <v>16</v>
      </c>
      <c r="B31" s="381" t="n"/>
      <c r="C31" s="313" t="inlineStr">
        <is>
          <t>Прайс из СД ОП</t>
        </is>
      </c>
      <c r="D31" s="314" t="inlineStr">
        <is>
          <t>Опоры решетчатые линий электропередачи оцинкованные, 330 кВ, анкерно-угловые, одностоечные, свободностоящие</t>
        </is>
      </c>
      <c r="E31" s="415" t="inlineStr">
        <is>
          <t>т</t>
        </is>
      </c>
      <c r="F31" s="415" t="n">
        <v>347.99155581557</v>
      </c>
      <c r="G31" s="316" t="n">
        <v>24839.5</v>
      </c>
      <c r="H31" s="316">
        <f>ROUND(F31*G31,2)</f>
        <v/>
      </c>
      <c r="I31" s="312" t="n"/>
    </row>
    <row r="32">
      <c r="A32" s="187" t="n">
        <v>17</v>
      </c>
      <c r="B32" s="381" t="n"/>
      <c r="C32" s="313" t="inlineStr">
        <is>
          <t>14.4.04.09-0016</t>
        </is>
      </c>
      <c r="D32" s="314" t="inlineStr">
        <is>
          <t>Эмаль ХВ-124, голубая</t>
        </is>
      </c>
      <c r="E32" s="415" t="inlineStr">
        <is>
          <t>т</t>
        </is>
      </c>
      <c r="F32" s="415" t="n">
        <v>6.0500142290239</v>
      </c>
      <c r="G32" s="316" t="n">
        <v>22050</v>
      </c>
      <c r="H32" s="316">
        <f>ROUND(F32*G32,2)</f>
        <v/>
      </c>
      <c r="I32" s="312" t="n"/>
    </row>
    <row r="33">
      <c r="A33" s="187" t="n">
        <v>18</v>
      </c>
      <c r="B33" s="381" t="n"/>
      <c r="C33" s="313" t="inlineStr">
        <is>
          <t>14.4.01.18-0002</t>
        </is>
      </c>
      <c r="D33" s="314" t="inlineStr">
        <is>
          <t>Грунтовка ФЛ-03К, коричневая</t>
        </is>
      </c>
      <c r="E33" s="415" t="inlineStr">
        <is>
          <t>т</t>
        </is>
      </c>
      <c r="F33" s="415" t="n">
        <v>2.8657962290239</v>
      </c>
      <c r="G33" s="316" t="n">
        <v>29470.1</v>
      </c>
      <c r="H33" s="316">
        <f>ROUND(F33*G33,2)</f>
        <v/>
      </c>
      <c r="I33" s="312" t="n"/>
      <c r="J33" s="344" t="n"/>
      <c r="K33" s="344" t="n"/>
      <c r="L33" s="344" t="n"/>
      <c r="M33" s="344" t="n"/>
    </row>
    <row r="34">
      <c r="A34" s="187" t="n">
        <v>19</v>
      </c>
      <c r="B34" s="381" t="n"/>
      <c r="C34" s="313" t="inlineStr">
        <is>
          <t>14.4.02.09-0301</t>
        </is>
      </c>
      <c r="D34" s="314" t="inlineStr">
        <is>
          <t>Композиция антикоррозионная цинкнаполненная</t>
        </is>
      </c>
      <c r="E34" s="415" t="inlineStr">
        <is>
          <t>кг</t>
        </is>
      </c>
      <c r="F34" s="415" t="n">
        <v>168.9770050778</v>
      </c>
      <c r="G34" s="316" t="n">
        <v>238.48</v>
      </c>
      <c r="H34" s="316">
        <f>ROUND(F34*G34,2)</f>
        <v/>
      </c>
      <c r="I34" s="312" t="n"/>
      <c r="M34" s="231" t="n"/>
    </row>
    <row r="35" ht="51" customHeight="1" s="343">
      <c r="A35" s="187" t="n">
        <v>20</v>
      </c>
      <c r="B35" s="381" t="n"/>
      <c r="C35" s="313" t="inlineStr">
        <is>
          <t>25.1.06.03-0001</t>
        </is>
      </c>
      <c r="D35" s="314" t="inlineStr">
        <is>
          <t>Знак для нумерации опор контактной сети из алюминиевого сплава NРКС 01.01.00СБ размером 210х150 мм (Плакаты металлическеи для нумерации опор)</t>
        </is>
      </c>
      <c r="E35" s="415" t="inlineStr">
        <is>
          <t>100 шт</t>
        </is>
      </c>
      <c r="F35" s="415" t="n">
        <v>1.1111998174621</v>
      </c>
      <c r="G35" s="316" t="n">
        <v>29877</v>
      </c>
      <c r="H35" s="316">
        <f>ROUND(F35*G35,2)</f>
        <v/>
      </c>
      <c r="I35" s="312" t="n"/>
      <c r="M35" s="231" t="n"/>
    </row>
    <row r="36">
      <c r="A36" s="187" t="n">
        <v>21</v>
      </c>
      <c r="B36" s="381" t="n"/>
      <c r="C36" s="313" t="inlineStr">
        <is>
          <t>14.5.09.07-0030</t>
        </is>
      </c>
      <c r="D36" s="314" t="inlineStr">
        <is>
          <t>Растворитель Р-4</t>
        </is>
      </c>
      <c r="E36" s="415" t="inlineStr">
        <is>
          <t>кг</t>
        </is>
      </c>
      <c r="F36" s="415" t="n">
        <v>2569.0116994307</v>
      </c>
      <c r="G36" s="316" t="n">
        <v>9.42</v>
      </c>
      <c r="H36" s="316">
        <f>ROUND(F36*G36,2)</f>
        <v/>
      </c>
      <c r="I36" s="312" t="n"/>
      <c r="M36" s="231" t="n"/>
    </row>
    <row r="37">
      <c r="A37" s="187" t="n">
        <v>22</v>
      </c>
      <c r="B37" s="381" t="n"/>
      <c r="C37" s="313" t="inlineStr">
        <is>
          <t>14.2.01.05-0001</t>
        </is>
      </c>
      <c r="D37" s="314" t="inlineStr">
        <is>
          <t>Композиция на основе термопластичных полимеров</t>
        </is>
      </c>
      <c r="E37" s="415" t="inlineStr">
        <is>
          <t>кг</t>
        </is>
      </c>
      <c r="F37" s="415" t="n">
        <v>80.36711217115</v>
      </c>
      <c r="G37" s="316" t="n">
        <v>54.99</v>
      </c>
      <c r="H37" s="316">
        <f>ROUND(F37*G37,2)</f>
        <v/>
      </c>
      <c r="I37" s="312" t="n"/>
    </row>
    <row r="38">
      <c r="A38" s="187" t="n">
        <v>23</v>
      </c>
      <c r="B38" s="381" t="n"/>
      <c r="C38" s="313" t="inlineStr">
        <is>
          <t>14.5.09.02-0002</t>
        </is>
      </c>
      <c r="D38" s="314" t="inlineStr">
        <is>
          <t>Ксилол нефтяной, марка А</t>
        </is>
      </c>
      <c r="E38" s="415" t="inlineStr">
        <is>
          <t>т</t>
        </is>
      </c>
      <c r="F38" s="415" t="n">
        <v>0.44579052082925</v>
      </c>
      <c r="G38" s="316" t="n">
        <v>7640</v>
      </c>
      <c r="H38" s="316">
        <f>ROUND(F38*G38,2)</f>
        <v/>
      </c>
      <c r="I38" s="312" t="n"/>
    </row>
    <row r="39">
      <c r="A39" s="187" t="n">
        <v>24</v>
      </c>
      <c r="B39" s="381" t="n"/>
      <c r="C39" s="313" t="inlineStr">
        <is>
          <t>01.7.11.07-0036</t>
        </is>
      </c>
      <c r="D39" s="314" t="inlineStr">
        <is>
          <t>Электроды сварочные Э46, диаметр 4 мм</t>
        </is>
      </c>
      <c r="E39" s="415" t="inlineStr">
        <is>
          <t>кг</t>
        </is>
      </c>
      <c r="F39" s="415" t="n">
        <v>9.9367385169359</v>
      </c>
      <c r="G39" s="316" t="n">
        <v>10.75</v>
      </c>
      <c r="H39" s="316">
        <f>ROUND(F39*G39,2)</f>
        <v/>
      </c>
      <c r="I39" s="312" t="n"/>
      <c r="J39" s="344" t="n"/>
      <c r="K39" s="344" t="n"/>
      <c r="L39" s="344" t="n"/>
      <c r="M39" s="344" t="n"/>
    </row>
    <row r="40">
      <c r="A40" s="208" t="n"/>
      <c r="B40" s="209" t="n"/>
      <c r="C40" s="210" t="n"/>
      <c r="D40" s="211" t="n"/>
      <c r="E40" s="212" t="n"/>
      <c r="F40" s="212" t="n"/>
      <c r="G40" s="213" t="n"/>
      <c r="H40" s="213" t="n"/>
      <c r="I40" s="312" t="n"/>
      <c r="M40" s="231" t="n"/>
    </row>
    <row r="41">
      <c r="A41" s="208" t="n"/>
      <c r="B41" s="209" t="n"/>
      <c r="C41" s="210" t="n"/>
      <c r="D41" s="211" t="n"/>
      <c r="E41" s="212" t="n"/>
      <c r="F41" s="212" t="n"/>
      <c r="G41" s="213" t="n"/>
      <c r="H41" s="213" t="n"/>
      <c r="I41" s="312" t="n"/>
      <c r="M41" s="231" t="n"/>
    </row>
    <row r="42">
      <c r="A42" s="208" t="n"/>
      <c r="B42" s="209" t="n"/>
      <c r="C42" s="210" t="n"/>
      <c r="D42" s="211" t="n"/>
      <c r="E42" s="212" t="n"/>
      <c r="F42" s="212" t="n"/>
      <c r="G42" s="213" t="n"/>
      <c r="H42" s="213" t="n"/>
      <c r="I42" s="312" t="n"/>
      <c r="M42" s="231" t="n"/>
    </row>
    <row r="45">
      <c r="B45" s="346" t="inlineStr">
        <is>
          <t>Составил ______________________     Д.Ю. Нефедова</t>
        </is>
      </c>
      <c r="J45" s="344" t="n"/>
      <c r="K45" s="344" t="n"/>
      <c r="L45" s="344" t="n"/>
      <c r="M45" s="344" t="n"/>
    </row>
    <row r="46">
      <c r="B46" s="228" t="inlineStr">
        <is>
          <t xml:space="preserve">                         (подпись, инициалы, фамилия)</t>
        </is>
      </c>
    </row>
    <row r="48">
      <c r="B48" s="346" t="inlineStr">
        <is>
          <t>Проверил ______________________        А.В. Костянецкая</t>
        </is>
      </c>
    </row>
    <row r="49">
      <c r="B49" s="228" t="inlineStr">
        <is>
          <t xml:space="preserve">                        (подпись, инициалы, фамилия)</t>
        </is>
      </c>
    </row>
  </sheetData>
  <mergeCells count="16">
    <mergeCell ref="A3:H3"/>
    <mergeCell ref="A29:E29"/>
    <mergeCell ref="A8:A9"/>
    <mergeCell ref="E8:E9"/>
    <mergeCell ref="C8:C9"/>
    <mergeCell ref="F8:F9"/>
    <mergeCell ref="A15:E15"/>
    <mergeCell ref="A28:E28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343" min="1" max="1"/>
    <col width="36.33203125" customWidth="1" style="343" min="2" max="2"/>
    <col width="18.88671875" customWidth="1" style="343" min="3" max="3"/>
    <col width="18.33203125" customWidth="1" style="343" min="4" max="4"/>
    <col width="18.88671875" customWidth="1" style="343" min="5" max="5"/>
    <col width="15" customWidth="1" style="343" min="6" max="6"/>
    <col width="14.44140625" customWidth="1" style="343" min="7" max="7"/>
    <col width="9.109375" customWidth="1" style="343" min="8" max="11"/>
    <col width="13.5546875" customWidth="1" style="343" min="12" max="12"/>
    <col width="9.109375" customWidth="1" style="343" min="13" max="13"/>
  </cols>
  <sheetData>
    <row r="1">
      <c r="B1" s="350" t="n"/>
      <c r="C1" s="350" t="n"/>
      <c r="D1" s="350" t="n"/>
      <c r="E1" s="350" t="n"/>
    </row>
    <row r="2">
      <c r="B2" s="350" t="n"/>
      <c r="C2" s="350" t="n"/>
      <c r="D2" s="350" t="n"/>
      <c r="E2" s="410" t="inlineStr">
        <is>
          <t>Приложение № 4</t>
        </is>
      </c>
    </row>
    <row r="3">
      <c r="B3" s="350" t="n"/>
      <c r="C3" s="350" t="n"/>
      <c r="D3" s="350" t="n"/>
      <c r="E3" s="350" t="n"/>
    </row>
    <row r="4">
      <c r="B4" s="350" t="n"/>
      <c r="C4" s="350" t="n"/>
      <c r="D4" s="350" t="n"/>
      <c r="E4" s="350" t="n"/>
    </row>
    <row r="5">
      <c r="B5" s="362" t="inlineStr">
        <is>
          <t>Ресурсная модель</t>
        </is>
      </c>
    </row>
    <row r="6">
      <c r="B6" s="306" t="n"/>
      <c r="C6" s="350" t="n"/>
      <c r="D6" s="350" t="n"/>
      <c r="E6" s="350" t="n"/>
    </row>
    <row r="7" ht="25.5" customHeight="1" s="343">
      <c r="B7" s="371" t="inlineStr">
        <is>
          <t>Наименование разрабатываемого показателя УНЦ — Опоры ВЛ 0,4 - 750 кВ. Двухцепная, все типы опор за исключением многогранных 330 кВ.</t>
        </is>
      </c>
    </row>
    <row r="8">
      <c r="B8" s="383" t="inlineStr">
        <is>
          <t>Единица измерения  — 1 км</t>
        </is>
      </c>
    </row>
    <row r="9">
      <c r="B9" s="306" t="n"/>
      <c r="C9" s="350" t="n"/>
      <c r="D9" s="350" t="n"/>
      <c r="E9" s="350" t="n"/>
    </row>
    <row r="10" ht="51" customHeight="1" s="343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262" t="inlineStr">
        <is>
          <t>Оплата труда рабочих</t>
        </is>
      </c>
      <c r="C11" s="274">
        <f>'Прил.5 Расчет СМР и ОБ'!J15</f>
        <v/>
      </c>
      <c r="D11" s="307">
        <f>C11/$C$24</f>
        <v/>
      </c>
      <c r="E11" s="307">
        <f>C11/$C$40</f>
        <v/>
      </c>
    </row>
    <row r="12">
      <c r="B12" s="262" t="inlineStr">
        <is>
          <t>Эксплуатация машин основных</t>
        </is>
      </c>
      <c r="C12" s="274">
        <f>'Прил.5 Расчет СМР и ОБ'!J23</f>
        <v/>
      </c>
      <c r="D12" s="307">
        <f>C12/$C$24</f>
        <v/>
      </c>
      <c r="E12" s="307">
        <f>C12/$C$40</f>
        <v/>
      </c>
    </row>
    <row r="13">
      <c r="B13" s="262" t="inlineStr">
        <is>
          <t>Эксплуатация машин прочих</t>
        </is>
      </c>
      <c r="C13" s="274">
        <f>'Прил.5 Расчет СМР и ОБ'!J33</f>
        <v/>
      </c>
      <c r="D13" s="307">
        <f>C13/$C$24</f>
        <v/>
      </c>
      <c r="E13" s="307">
        <f>C13/$C$40</f>
        <v/>
      </c>
    </row>
    <row r="14">
      <c r="B14" s="262" t="inlineStr">
        <is>
          <t>ЭКСПЛУАТАЦИЯ МАШИН, ВСЕГО:</t>
        </is>
      </c>
      <c r="C14" s="274">
        <f>C13+C12</f>
        <v/>
      </c>
      <c r="D14" s="307">
        <f>C14/$C$24</f>
        <v/>
      </c>
      <c r="E14" s="307">
        <f>C14/$C$40</f>
        <v/>
      </c>
    </row>
    <row r="15">
      <c r="B15" s="262" t="inlineStr">
        <is>
          <t>в том числе зарплата машинистов</t>
        </is>
      </c>
      <c r="C15" s="274">
        <f>'Прил.5 Расчет СМР и ОБ'!J17</f>
        <v/>
      </c>
      <c r="D15" s="307">
        <f>C15/$C$24</f>
        <v/>
      </c>
      <c r="E15" s="307">
        <f>C15/$C$40</f>
        <v/>
      </c>
    </row>
    <row r="16">
      <c r="B16" s="262" t="inlineStr">
        <is>
          <t>Материалы основные</t>
        </is>
      </c>
      <c r="C16" s="274">
        <f>'Прил.5 Расчет СМР и ОБ'!J45</f>
        <v/>
      </c>
      <c r="D16" s="307">
        <f>C16/$C$24</f>
        <v/>
      </c>
      <c r="E16" s="307">
        <f>C16/$C$40</f>
        <v/>
      </c>
    </row>
    <row r="17">
      <c r="B17" s="262" t="inlineStr">
        <is>
          <t>Материалы прочие</t>
        </is>
      </c>
      <c r="C17" s="274">
        <f>'Прил.5 Расчет СМР и ОБ'!J54</f>
        <v/>
      </c>
      <c r="D17" s="307">
        <f>C17/$C$24</f>
        <v/>
      </c>
      <c r="E17" s="307">
        <f>C17/$C$40</f>
        <v/>
      </c>
      <c r="G17" s="309" t="n"/>
    </row>
    <row r="18">
      <c r="B18" s="262" t="inlineStr">
        <is>
          <t>МАТЕРИАЛЫ, ВСЕГО:</t>
        </is>
      </c>
      <c r="C18" s="274">
        <f>C17+C16</f>
        <v/>
      </c>
      <c r="D18" s="307">
        <f>C18/$C$24</f>
        <v/>
      </c>
      <c r="E18" s="307">
        <f>C18/$C$40</f>
        <v/>
      </c>
    </row>
    <row r="19">
      <c r="B19" s="262" t="inlineStr">
        <is>
          <t>ИТОГО</t>
        </is>
      </c>
      <c r="C19" s="274">
        <f>C18+C14+C11</f>
        <v/>
      </c>
      <c r="D19" s="307" t="n"/>
      <c r="E19" s="262" t="n"/>
    </row>
    <row r="20">
      <c r="B20" s="262" t="inlineStr">
        <is>
          <t>Сметная прибыль, руб.</t>
        </is>
      </c>
      <c r="C20" s="274">
        <f>ROUND(C21*(C11+C15),2)</f>
        <v/>
      </c>
      <c r="D20" s="307">
        <f>C20/$C$24</f>
        <v/>
      </c>
      <c r="E20" s="307">
        <f>C20/$C$40</f>
        <v/>
      </c>
    </row>
    <row r="21">
      <c r="B21" s="262" t="inlineStr">
        <is>
          <t>Сметная прибыль, %</t>
        </is>
      </c>
      <c r="C21" s="275">
        <f>'Прил.5 Расчет СМР и ОБ'!D58</f>
        <v/>
      </c>
      <c r="D21" s="307" t="n"/>
      <c r="E21" s="262" t="n"/>
    </row>
    <row r="22">
      <c r="B22" s="262" t="inlineStr">
        <is>
          <t>Накладные расходы, руб.</t>
        </is>
      </c>
      <c r="C22" s="274">
        <f>ROUND(C23*(C11+C15),2)</f>
        <v/>
      </c>
      <c r="D22" s="307">
        <f>C22/$C$24</f>
        <v/>
      </c>
      <c r="E22" s="307">
        <f>C22/$C$40</f>
        <v/>
      </c>
    </row>
    <row r="23">
      <c r="B23" s="262" t="inlineStr">
        <is>
          <t>Накладные расходы, %</t>
        </is>
      </c>
      <c r="C23" s="275">
        <f>'Прил.5 Расчет СМР и ОБ'!D57</f>
        <v/>
      </c>
      <c r="D23" s="307" t="n"/>
      <c r="E23" s="262" t="n"/>
    </row>
    <row r="24">
      <c r="B24" s="262" t="inlineStr">
        <is>
          <t>ВСЕГО СМР с НР и СП</t>
        </is>
      </c>
      <c r="C24" s="274">
        <f>C19+C20+C22</f>
        <v/>
      </c>
      <c r="D24" s="307">
        <f>C24/$C$24</f>
        <v/>
      </c>
      <c r="E24" s="307">
        <f>C24/$C$40</f>
        <v/>
      </c>
    </row>
    <row r="25" ht="25.5" customHeight="1" s="343">
      <c r="B25" s="262" t="inlineStr">
        <is>
          <t>ВСЕГО стоимость оборудования, в том числе</t>
        </is>
      </c>
      <c r="C25" s="274">
        <f>'Прил.5 Расчет СМР и ОБ'!J39</f>
        <v/>
      </c>
      <c r="D25" s="307" t="n"/>
      <c r="E25" s="307">
        <f>C25/$C$40</f>
        <v/>
      </c>
    </row>
    <row r="26" ht="25.5" customHeight="1" s="343">
      <c r="B26" s="262" t="inlineStr">
        <is>
          <t>стоимость оборудования технологического</t>
        </is>
      </c>
      <c r="C26" s="274">
        <f>'Прил.5 Расчет СМР и ОБ'!J40</f>
        <v/>
      </c>
      <c r="D26" s="307" t="n"/>
      <c r="E26" s="307">
        <f>C26/$C$40</f>
        <v/>
      </c>
    </row>
    <row r="27">
      <c r="B27" s="262" t="inlineStr">
        <is>
          <t>ИТОГО (СМР + ОБОРУДОВАНИЕ)</t>
        </is>
      </c>
      <c r="C27" s="172">
        <f>C24+C25</f>
        <v/>
      </c>
      <c r="D27" s="307" t="n"/>
      <c r="E27" s="307">
        <f>C27/$C$40</f>
        <v/>
      </c>
      <c r="F27" s="309" t="n"/>
    </row>
    <row r="28" ht="33" customHeight="1" s="343">
      <c r="B28" s="262" t="inlineStr">
        <is>
          <t>ПРОЧ. ЗАТР., УЧТЕННЫЕ ПОКАЗАТЕЛЕМ,  в том числе</t>
        </is>
      </c>
      <c r="C28" s="262" t="n"/>
      <c r="D28" s="262" t="n"/>
      <c r="E28" s="262" t="n"/>
      <c r="F28" s="310" t="n"/>
    </row>
    <row r="29" ht="25.5" customHeight="1" s="343">
      <c r="B29" s="262" t="inlineStr">
        <is>
          <t>Временные здания и сооружения - 3,3%</t>
        </is>
      </c>
      <c r="C29" s="172">
        <f>ROUND(C24*3.3%,2)</f>
        <v/>
      </c>
      <c r="D29" s="262" t="n"/>
      <c r="E29" s="307">
        <f>C29/$C$40</f>
        <v/>
      </c>
    </row>
    <row r="30" ht="38.25" customHeight="1" s="343">
      <c r="B30" s="262" t="inlineStr">
        <is>
          <t>Дополнительные затраты при производстве строительно-монтажных работ в зимнее время - 1,00%</t>
        </is>
      </c>
      <c r="C30" s="172">
        <f>ROUND((C24+C29)*1%,2)</f>
        <v/>
      </c>
      <c r="D30" s="262" t="n"/>
      <c r="E30" s="307">
        <f>C30/$C$40</f>
        <v/>
      </c>
      <c r="F30" s="311" t="n"/>
    </row>
    <row r="31">
      <c r="B31" s="262" t="inlineStr">
        <is>
          <t>Пусконаладочные работы</t>
        </is>
      </c>
      <c r="C31" s="172" t="n">
        <v>0</v>
      </c>
      <c r="D31" s="262" t="n"/>
      <c r="E31" s="307">
        <f>C31/$C$40</f>
        <v/>
      </c>
    </row>
    <row r="32" ht="25.5" customHeight="1" s="343">
      <c r="B32" s="262" t="inlineStr">
        <is>
          <t>Затраты по перевозке работников к месту работы и обратно</t>
        </is>
      </c>
      <c r="C32" s="172">
        <f>ROUND(C27*0%,2)</f>
        <v/>
      </c>
      <c r="D32" s="262" t="n"/>
      <c r="E32" s="307">
        <f>C32/$C$40</f>
        <v/>
      </c>
    </row>
    <row r="33" ht="25.5" customHeight="1" s="343">
      <c r="B33" s="262" t="inlineStr">
        <is>
          <t>Затраты, связанные с осуществлением работ вахтовым методом</t>
        </is>
      </c>
      <c r="C33" s="172">
        <f>ROUND(C28*0%,2)</f>
        <v/>
      </c>
      <c r="D33" s="262" t="n"/>
      <c r="E33" s="307">
        <f>C33/$C$40</f>
        <v/>
      </c>
    </row>
    <row r="34" ht="51" customHeight="1" s="343">
      <c r="B34" s="26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2">
        <f>ROUND(C29*0%,2)</f>
        <v/>
      </c>
      <c r="D34" s="262" t="n"/>
      <c r="E34" s="307">
        <f>C34/$C$40</f>
        <v/>
      </c>
      <c r="H34" s="312" t="n"/>
    </row>
    <row r="35" ht="76.5" customHeight="1" s="343">
      <c r="B35" s="26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2">
        <f>ROUND(C30*0%,2)</f>
        <v/>
      </c>
      <c r="D35" s="262" t="n"/>
      <c r="E35" s="307">
        <f>C35/$C$40</f>
        <v/>
      </c>
    </row>
    <row r="36" ht="25.5" customHeight="1" s="343">
      <c r="B36" s="262" t="inlineStr">
        <is>
          <t>Строительный контроль и содержание службы заказчика - 2,14%</t>
        </is>
      </c>
      <c r="C36" s="172">
        <f>ROUND((C27+C32+C33+C34+C35+C29+C31+C30)*2.14%,2)</f>
        <v/>
      </c>
      <c r="D36" s="262" t="n"/>
      <c r="E36" s="307">
        <f>C36/$C$40</f>
        <v/>
      </c>
      <c r="L36" s="310" t="n"/>
    </row>
    <row r="37">
      <c r="B37" s="262" t="inlineStr">
        <is>
          <t>Авторский надзор - 0,2%</t>
        </is>
      </c>
      <c r="C37" s="172">
        <f>ROUND((C27+C32+C33+C34+C35+C29+C31+C30)*0.2%,2)</f>
        <v/>
      </c>
      <c r="D37" s="262" t="n"/>
      <c r="E37" s="307">
        <f>C37/$C$40</f>
        <v/>
      </c>
      <c r="L37" s="310" t="n"/>
    </row>
    <row r="38" ht="38.25" customHeight="1" s="343">
      <c r="B38" s="262" t="inlineStr">
        <is>
          <t>ИТОГО (СМР+ОБОРУДОВАНИЕ+ПРОЧ. ЗАТР., УЧТЕННЫЕ ПОКАЗАТЕЛЕМ)</t>
        </is>
      </c>
      <c r="C38" s="274">
        <f>C27+C32+C33+C34+C35+C29+C31+C30+C36+C37</f>
        <v/>
      </c>
      <c r="D38" s="262" t="n"/>
      <c r="E38" s="307">
        <f>C38/$C$40</f>
        <v/>
      </c>
    </row>
    <row r="39" ht="13.5" customHeight="1" s="343">
      <c r="B39" s="262" t="inlineStr">
        <is>
          <t>Непредвиденные расходы</t>
        </is>
      </c>
      <c r="C39" s="274">
        <f>ROUND(C38*3%,2)</f>
        <v/>
      </c>
      <c r="D39" s="262" t="n"/>
      <c r="E39" s="307">
        <f>C39/$C$38</f>
        <v/>
      </c>
    </row>
    <row r="40">
      <c r="B40" s="262" t="inlineStr">
        <is>
          <t>ВСЕГО:</t>
        </is>
      </c>
      <c r="C40" s="274">
        <f>C39+C38</f>
        <v/>
      </c>
      <c r="D40" s="262" t="n"/>
      <c r="E40" s="307">
        <f>C40/$C$40</f>
        <v/>
      </c>
    </row>
    <row r="41">
      <c r="B41" s="262" t="inlineStr">
        <is>
          <t>ИТОГО ПОКАЗАТЕЛЬ НА ЕД. ИЗМ.</t>
        </is>
      </c>
      <c r="C41" s="274">
        <f>C40/'Прил.5 Расчет СМР и ОБ'!E61</f>
        <v/>
      </c>
      <c r="D41" s="262" t="n"/>
      <c r="E41" s="262" t="n"/>
    </row>
    <row r="42">
      <c r="B42" s="268" t="n"/>
      <c r="C42" s="350" t="n"/>
      <c r="D42" s="350" t="n"/>
      <c r="E42" s="350" t="n"/>
    </row>
    <row r="43">
      <c r="B43" s="268" t="inlineStr">
        <is>
          <t>Составил ____________________________ Д.Ю. Нефедова</t>
        </is>
      </c>
      <c r="C43" s="350" t="n"/>
      <c r="D43" s="350" t="n"/>
      <c r="E43" s="350" t="n"/>
    </row>
    <row r="44">
      <c r="B44" s="268" t="inlineStr">
        <is>
          <t xml:space="preserve">(должность, подпись, инициалы, фамилия) </t>
        </is>
      </c>
      <c r="C44" s="350" t="n"/>
      <c r="D44" s="350" t="n"/>
      <c r="E44" s="350" t="n"/>
    </row>
    <row r="45">
      <c r="B45" s="268" t="n"/>
      <c r="C45" s="350" t="n"/>
      <c r="D45" s="350" t="n"/>
      <c r="E45" s="350" t="n"/>
    </row>
    <row r="46">
      <c r="B46" s="268" t="inlineStr">
        <is>
          <t>Проверил ____________________________ А.В. Костянецкая</t>
        </is>
      </c>
      <c r="C46" s="350" t="n"/>
      <c r="D46" s="350" t="n"/>
      <c r="E46" s="350" t="n"/>
    </row>
    <row r="47">
      <c r="B47" s="383" t="inlineStr">
        <is>
          <t>(должность, подпись, инициалы, фамилия)</t>
        </is>
      </c>
      <c r="D47" s="350" t="n"/>
      <c r="E47" s="350" t="n"/>
    </row>
    <row r="49">
      <c r="B49" s="350" t="n"/>
      <c r="C49" s="350" t="n"/>
      <c r="D49" s="350" t="n"/>
      <c r="E49" s="350" t="n"/>
    </row>
    <row r="50">
      <c r="B50" s="350" t="n"/>
      <c r="C50" s="350" t="n"/>
      <c r="D50" s="350" t="n"/>
      <c r="E50" s="35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O67"/>
  <sheetViews>
    <sheetView view="pageBreakPreview" topLeftCell="A40" zoomScale="85" workbookViewId="0">
      <selection activeCell="B62" sqref="B62"/>
    </sheetView>
  </sheetViews>
  <sheetFormatPr baseColWidth="8" defaultColWidth="9.109375" defaultRowHeight="14.4" outlineLevelRow="1"/>
  <cols>
    <col width="5.6640625" customWidth="1" style="351" min="1" max="1"/>
    <col width="22.5546875" customWidth="1" style="351" min="2" max="2"/>
    <col width="39.109375" customWidth="1" style="351" min="3" max="3"/>
    <col width="10.6640625" customWidth="1" style="351" min="4" max="4"/>
    <col width="12.6640625" customWidth="1" style="351" min="5" max="5"/>
    <col width="15" customWidth="1" style="351" min="6" max="6"/>
    <col width="13.44140625" customWidth="1" style="351" min="7" max="7"/>
    <col width="12.6640625" customWidth="1" style="351" min="8" max="8"/>
    <col width="13.88671875" customWidth="1" style="351" min="9" max="9"/>
    <col width="17.5546875" customWidth="1" style="351" min="10" max="10"/>
    <col width="19.5546875" customWidth="1" style="351" min="11" max="11"/>
    <col hidden="1" style="351" min="12" max="12"/>
    <col hidden="1" width="51.5546875" customWidth="1" style="343" min="13" max="13"/>
    <col hidden="1" width="49.6640625" customWidth="1" style="343" min="14" max="14"/>
    <col hidden="1" width="9.6640625" customWidth="1" style="343" min="15" max="15"/>
    <col hidden="1" style="343" min="16" max="16"/>
    <col width="9.109375" customWidth="1" style="343" min="17" max="17"/>
  </cols>
  <sheetData>
    <row r="1" s="343">
      <c r="A1" s="351" t="n"/>
      <c r="B1" s="351" t="n"/>
      <c r="C1" s="351" t="n"/>
      <c r="D1" s="351" t="n"/>
      <c r="E1" s="351" t="n"/>
      <c r="F1" s="351" t="n"/>
      <c r="G1" s="351" t="n"/>
      <c r="H1" s="351" t="n"/>
      <c r="I1" s="351" t="n"/>
      <c r="J1" s="351" t="n"/>
      <c r="K1" s="351" t="n"/>
      <c r="L1" s="351" t="n"/>
      <c r="M1" s="351" t="n"/>
      <c r="N1" s="351" t="n"/>
    </row>
    <row r="2" ht="15.75" customHeight="1" s="343">
      <c r="A2" s="351" t="n"/>
      <c r="B2" s="351" t="n"/>
      <c r="C2" s="351" t="n"/>
      <c r="D2" s="351" t="n"/>
      <c r="E2" s="351" t="n"/>
      <c r="F2" s="351" t="n"/>
      <c r="G2" s="351" t="n"/>
      <c r="H2" s="405" t="inlineStr">
        <is>
          <t>Приложение №5</t>
        </is>
      </c>
      <c r="K2" s="351" t="n"/>
      <c r="L2" s="351" t="n"/>
      <c r="M2" s="351" t="n"/>
      <c r="N2" s="351" t="n"/>
    </row>
    <row r="3" s="343">
      <c r="A3" s="351" t="n"/>
      <c r="B3" s="351" t="n"/>
      <c r="C3" s="351" t="n"/>
      <c r="D3" s="351" t="n"/>
      <c r="E3" s="351" t="n"/>
      <c r="F3" s="351" t="n"/>
      <c r="G3" s="351" t="n"/>
      <c r="H3" s="351" t="n"/>
      <c r="I3" s="351" t="n"/>
      <c r="J3" s="351" t="n"/>
      <c r="K3" s="351" t="n"/>
      <c r="L3" s="351" t="n"/>
      <c r="M3" s="351" t="n"/>
      <c r="N3" s="351" t="n"/>
    </row>
    <row r="4" ht="12.75" customFormat="1" customHeight="1" s="350">
      <c r="A4" s="362" t="inlineStr">
        <is>
          <t>Расчет стоимости СМР и оборудования</t>
        </is>
      </c>
    </row>
    <row r="5" ht="12.75" customFormat="1" customHeight="1" s="350">
      <c r="A5" s="362" t="n"/>
      <c r="B5" s="362" t="n"/>
      <c r="C5" s="418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50">
      <c r="A6" s="255" t="inlineStr">
        <is>
          <t>Наименование разрабатываемого показателя УНЦ</t>
        </is>
      </c>
      <c r="B6" s="237" t="n"/>
      <c r="C6" s="237" t="n"/>
      <c r="D6" s="409" t="inlineStr">
        <is>
          <t>Опоры ВЛ 0,4 - 750 кВ. Двухцепная, все типы опор за исключением многогранных 330 кВ.</t>
        </is>
      </c>
    </row>
    <row r="7" ht="12.75" customFormat="1" customHeight="1" s="350">
      <c r="A7" s="365" t="inlineStr">
        <is>
          <t>Единица измерения  — 1 км</t>
        </is>
      </c>
      <c r="I7" s="371" t="n"/>
      <c r="J7" s="371" t="n"/>
    </row>
    <row r="8" ht="13.5" customFormat="1" customHeight="1" s="350">
      <c r="A8" s="365" t="n"/>
    </row>
    <row r="9" ht="13.2" customFormat="1" customHeight="1" s="350"/>
    <row r="10" ht="27" customHeight="1" s="343">
      <c r="A10" s="391" t="inlineStr">
        <is>
          <t>№ пп.</t>
        </is>
      </c>
      <c r="B10" s="391" t="inlineStr">
        <is>
          <t>Код ресурса</t>
        </is>
      </c>
      <c r="C10" s="391" t="inlineStr">
        <is>
          <t>Наименование</t>
        </is>
      </c>
      <c r="D10" s="391" t="inlineStr">
        <is>
          <t>Ед. изм.</t>
        </is>
      </c>
      <c r="E10" s="391" t="inlineStr">
        <is>
          <t>Кол-во единиц по проектным данным</t>
        </is>
      </c>
      <c r="F10" s="391" t="inlineStr">
        <is>
          <t>Сметная стоимость в ценах на 01.01.2000 (руб.)</t>
        </is>
      </c>
      <c r="G10" s="462" t="n"/>
      <c r="H10" s="391" t="inlineStr">
        <is>
          <t>Удельный вес, %</t>
        </is>
      </c>
      <c r="I10" s="391" t="inlineStr">
        <is>
          <t>Сметная стоимость в ценах на 01.01.2023 (руб.)</t>
        </is>
      </c>
      <c r="J10" s="462" t="n"/>
      <c r="K10" s="351" t="n"/>
      <c r="L10" s="351" t="n"/>
      <c r="M10" s="351" t="n"/>
      <c r="N10" s="351" t="n"/>
    </row>
    <row r="11" ht="28.5" customHeight="1" s="343">
      <c r="A11" s="464" t="n"/>
      <c r="B11" s="464" t="n"/>
      <c r="C11" s="464" t="n"/>
      <c r="D11" s="464" t="n"/>
      <c r="E11" s="464" t="n"/>
      <c r="F11" s="391" t="inlineStr">
        <is>
          <t>на ед. изм.</t>
        </is>
      </c>
      <c r="G11" s="391" t="inlineStr">
        <is>
          <t>общая</t>
        </is>
      </c>
      <c r="H11" s="464" t="n"/>
      <c r="I11" s="391" t="inlineStr">
        <is>
          <t>на ед. изм.</t>
        </is>
      </c>
      <c r="J11" s="391" t="inlineStr">
        <is>
          <t>общая</t>
        </is>
      </c>
      <c r="K11" s="351" t="n"/>
      <c r="L11" s="351" t="n"/>
      <c r="M11" s="276" t="inlineStr">
        <is>
          <t>Наименование</t>
        </is>
      </c>
      <c r="N11" s="276" t="inlineStr">
        <is>
          <t>Сметная стоимость в ценах на 01.01.2023
 (руб.)</t>
        </is>
      </c>
    </row>
    <row r="12" s="343">
      <c r="A12" s="391" t="n">
        <v>1</v>
      </c>
      <c r="B12" s="391" t="n">
        <v>2</v>
      </c>
      <c r="C12" s="391" t="n">
        <v>3</v>
      </c>
      <c r="D12" s="391" t="n">
        <v>4</v>
      </c>
      <c r="E12" s="391" t="n">
        <v>5</v>
      </c>
      <c r="F12" s="391" t="n">
        <v>6</v>
      </c>
      <c r="G12" s="391" t="n">
        <v>7</v>
      </c>
      <c r="H12" s="391" t="n">
        <v>8</v>
      </c>
      <c r="I12" s="385" t="n">
        <v>9</v>
      </c>
      <c r="J12" s="385" t="n">
        <v>10</v>
      </c>
      <c r="K12" s="351" t="n"/>
      <c r="L12" s="351" t="n"/>
      <c r="M12" s="276" t="inlineStr">
        <is>
          <t>Оплата труда рабочих</t>
        </is>
      </c>
      <c r="N12" s="277">
        <f>'Прил.4 РМ'!C11</f>
        <v/>
      </c>
      <c r="O12">
        <f>J14=N12</f>
        <v/>
      </c>
    </row>
    <row r="13">
      <c r="A13" s="391" t="n"/>
      <c r="B13" s="389" t="inlineStr">
        <is>
          <t>Затраты труда рабочих-строителей</t>
        </is>
      </c>
      <c r="C13" s="461" t="n"/>
      <c r="D13" s="461" t="n"/>
      <c r="E13" s="461" t="n"/>
      <c r="F13" s="461" t="n"/>
      <c r="G13" s="461" t="n"/>
      <c r="H13" s="462" t="n"/>
      <c r="I13" s="276" t="n"/>
      <c r="J13" s="276" t="n"/>
      <c r="M13" s="278" t="inlineStr">
        <is>
          <t>Эксплуатация машин основных</t>
        </is>
      </c>
      <c r="N13" s="277">
        <f>'Прил.4 РМ'!C12</f>
        <v/>
      </c>
      <c r="O13">
        <f>J23=N13</f>
        <v/>
      </c>
    </row>
    <row r="14" ht="25.5" customHeight="1" s="343">
      <c r="A14" s="391" t="n">
        <v>1</v>
      </c>
      <c r="B14" s="337" t="inlineStr">
        <is>
          <t>1-4-1</t>
        </is>
      </c>
      <c r="C14" s="395" t="inlineStr">
        <is>
          <t>Затраты труда рабочих-строителей среднего разряда (4,1)</t>
        </is>
      </c>
      <c r="D14" s="396" t="inlineStr">
        <is>
          <t>чел.-ч.</t>
        </is>
      </c>
      <c r="E14" s="332" t="n">
        <v>35603.322965635</v>
      </c>
      <c r="F14" s="333" t="n">
        <v>9.76</v>
      </c>
      <c r="G14" s="333">
        <f>ROUND(E14*F14,2)</f>
        <v/>
      </c>
      <c r="H14" s="341">
        <f>G14/G15</f>
        <v/>
      </c>
      <c r="I14" s="333">
        <f>ФОТр.тек.!E13</f>
        <v/>
      </c>
      <c r="J14" s="245">
        <f>ROUND(I14*E14,2)</f>
        <v/>
      </c>
      <c r="M14" s="278" t="inlineStr">
        <is>
          <t>Эксплуатация машин прочих</t>
        </is>
      </c>
      <c r="N14" s="277">
        <f>'Прил.4 РМ'!C13</f>
        <v/>
      </c>
      <c r="O14">
        <f>J33=N14</f>
        <v/>
      </c>
    </row>
    <row r="15" ht="25.5" customFormat="1" customHeight="1" s="351">
      <c r="A15" s="391" t="n"/>
      <c r="B15" s="396" t="n"/>
      <c r="C15" s="400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332">
        <f>SUM(E14:E14)</f>
        <v/>
      </c>
      <c r="F15" s="333" t="n"/>
      <c r="G15" s="333">
        <f>SUM(G14:G14)</f>
        <v/>
      </c>
      <c r="H15" s="399" t="n">
        <v>1</v>
      </c>
      <c r="I15" s="335" t="n"/>
      <c r="J15" s="245">
        <f>SUM(J14:J14)</f>
        <v/>
      </c>
      <c r="M15" s="276" t="inlineStr">
        <is>
          <t>ЭКСПЛУАТАЦИЯ МАШИН, ВСЕГО:</t>
        </is>
      </c>
      <c r="N15" s="277">
        <f>'Прил.4 РМ'!C14</f>
        <v/>
      </c>
      <c r="O15">
        <f>J34=N15</f>
        <v/>
      </c>
    </row>
    <row r="16" customFormat="1" s="351">
      <c r="A16" s="391" t="n"/>
      <c r="B16" s="395" t="inlineStr">
        <is>
          <t>Затраты труда машинистов</t>
        </is>
      </c>
      <c r="C16" s="461" t="n"/>
      <c r="D16" s="461" t="n"/>
      <c r="E16" s="461" t="n"/>
      <c r="F16" s="461" t="n"/>
      <c r="G16" s="461" t="n"/>
      <c r="H16" s="462" t="n"/>
      <c r="I16" s="335" t="n"/>
      <c r="J16" s="276" t="n"/>
      <c r="M16" s="276" t="inlineStr">
        <is>
          <t>в том числе зарплата машинистов</t>
        </is>
      </c>
      <c r="N16" s="277">
        <f>'Прил.4 РМ'!C15</f>
        <v/>
      </c>
      <c r="O16">
        <f>J17=N16</f>
        <v/>
      </c>
    </row>
    <row r="17" customFormat="1" s="351">
      <c r="A17" s="391" t="n">
        <v>2</v>
      </c>
      <c r="B17" s="396" t="n">
        <v>2</v>
      </c>
      <c r="C17" s="395" t="inlineStr">
        <is>
          <t>Затраты труда машинистов</t>
        </is>
      </c>
      <c r="D17" s="396" t="inlineStr">
        <is>
          <t>чел.-ч.</t>
        </is>
      </c>
      <c r="E17" s="332" t="n">
        <v>11818.492882087</v>
      </c>
      <c r="F17" s="333" t="n">
        <v>9.095130996887301</v>
      </c>
      <c r="G17" s="333">
        <f>ROUND(E17*F17,2)</f>
        <v/>
      </c>
      <c r="H17" s="399" t="n">
        <v>1</v>
      </c>
      <c r="I17" s="333">
        <f>ROUND(F17*'Прил. 10'!D11,2)</f>
        <v/>
      </c>
      <c r="J17" s="245">
        <f>ROUND(I17*E17,2)</f>
        <v/>
      </c>
      <c r="M17" s="276" t="inlineStr">
        <is>
          <t>Материалы основные</t>
        </is>
      </c>
      <c r="N17" s="277">
        <f>'Прил.4 РМ'!C16</f>
        <v/>
      </c>
      <c r="O17">
        <f>J45=N17</f>
        <v/>
      </c>
    </row>
    <row r="18" customFormat="1" s="351">
      <c r="A18" s="391" t="n"/>
      <c r="B18" s="400" t="inlineStr">
        <is>
          <t>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335" t="n"/>
      <c r="J18" s="276" t="n"/>
      <c r="M18" s="276" t="inlineStr">
        <is>
          <t>Материалы прочие</t>
        </is>
      </c>
      <c r="N18" s="277">
        <f>'Прил.4 РМ'!C17</f>
        <v/>
      </c>
      <c r="O18">
        <f>J54=N18</f>
        <v/>
      </c>
    </row>
    <row r="19" customFormat="1" s="351">
      <c r="A19" s="391" t="n"/>
      <c r="B19" s="395" t="inlineStr">
        <is>
          <t>Основные машины и механизмы</t>
        </is>
      </c>
      <c r="C19" s="461" t="n"/>
      <c r="D19" s="461" t="n"/>
      <c r="E19" s="461" t="n"/>
      <c r="F19" s="461" t="n"/>
      <c r="G19" s="461" t="n"/>
      <c r="H19" s="462" t="n"/>
      <c r="I19" s="335" t="n"/>
      <c r="J19" s="276" t="n"/>
      <c r="M19" s="276" t="inlineStr">
        <is>
          <t>МАТЕРИАЛЫ, ВСЕГО:</t>
        </is>
      </c>
      <c r="N19" s="277">
        <f>'Прил.4 РМ'!C18</f>
        <v/>
      </c>
      <c r="O19">
        <f>N19=J55</f>
        <v/>
      </c>
    </row>
    <row r="20" ht="25.5" customFormat="1" customHeight="1" s="351">
      <c r="A20" s="391" t="n">
        <v>3</v>
      </c>
      <c r="B20" s="337" t="inlineStr">
        <is>
          <t>91.15.02-029</t>
        </is>
      </c>
      <c r="C20" s="395" t="inlineStr">
        <is>
          <t>Тракторы на гусеничном ходу с лебедкой 132 кВт (180 л.с.)</t>
        </is>
      </c>
      <c r="D20" s="396" t="inlineStr">
        <is>
          <t>маш.час</t>
        </is>
      </c>
      <c r="E20" s="332" t="n">
        <v>4416.2393614057</v>
      </c>
      <c r="F20" s="398" t="n">
        <v>147.43</v>
      </c>
      <c r="G20" s="333">
        <f>ROUND(E20*F20,2)</f>
        <v/>
      </c>
      <c r="H20" s="341">
        <f>G20/$G$34</f>
        <v/>
      </c>
      <c r="I20" s="333">
        <f>ROUND(F20*'Прил. 10'!$D$12,2)</f>
        <v/>
      </c>
      <c r="J20" s="245">
        <f>ROUND(I20*E20,2)</f>
        <v/>
      </c>
      <c r="M20" s="276" t="inlineStr">
        <is>
          <t>ИТОГО</t>
        </is>
      </c>
      <c r="N20" s="277">
        <f>'Прил.4 РМ'!C19</f>
        <v/>
      </c>
      <c r="O20">
        <f>J56=N20</f>
        <v/>
      </c>
    </row>
    <row r="21" ht="25.5" customFormat="1" customHeight="1" s="351">
      <c r="A21" s="391" t="n">
        <v>4</v>
      </c>
      <c r="B21" s="337" t="inlineStr">
        <is>
          <t>91.13.03-111</t>
        </is>
      </c>
      <c r="C21" s="395" t="inlineStr">
        <is>
          <t>Спецавтомобили-вездеходы, грузоподъемность до 8 т</t>
        </is>
      </c>
      <c r="D21" s="396" t="inlineStr">
        <is>
          <t>маш.час</t>
        </is>
      </c>
      <c r="E21" s="332" t="n">
        <v>2080.4670939292</v>
      </c>
      <c r="F21" s="398" t="n">
        <v>189.95</v>
      </c>
      <c r="G21" s="333">
        <f>ROUND(E21*F21,2)</f>
        <v/>
      </c>
      <c r="H21" s="341">
        <f>G21/$G$34</f>
        <v/>
      </c>
      <c r="I21" s="333">
        <f>ROUND(F21*'Прил. 10'!$D$12,2)</f>
        <v/>
      </c>
      <c r="J21" s="245">
        <f>ROUND(I21*E21,2)</f>
        <v/>
      </c>
      <c r="M21" s="276" t="inlineStr">
        <is>
          <t>Сметная прибыль, руб.</t>
        </is>
      </c>
      <c r="N21" s="277">
        <f>'Прил.4 РМ'!C20</f>
        <v/>
      </c>
      <c r="O21">
        <f>J58=N21</f>
        <v/>
      </c>
    </row>
    <row r="22" ht="51" customFormat="1" customHeight="1" s="351">
      <c r="A22" s="391" t="n">
        <v>5</v>
      </c>
      <c r="B22" s="298" t="inlineStr">
        <is>
          <t>91.05.14-516</t>
        </is>
      </c>
      <c r="C22" s="39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91" t="inlineStr">
        <is>
          <t>маш.час</t>
        </is>
      </c>
      <c r="E22" s="192" t="n">
        <v>3394.9022109877</v>
      </c>
      <c r="F22" s="393" t="n">
        <v>77.64</v>
      </c>
      <c r="G22" s="245">
        <f>ROUND(E22*F22,2)</f>
        <v/>
      </c>
      <c r="H22" s="197">
        <f>G22/$G$34</f>
        <v/>
      </c>
      <c r="I22" s="245">
        <f>ROUND(F22*'Прил. 10'!$D$12,2)</f>
        <v/>
      </c>
      <c r="J22" s="245">
        <f>ROUND(I22*E22,2)</f>
        <v/>
      </c>
      <c r="M22" s="276" t="inlineStr">
        <is>
          <t>Сметная прибыль, %</t>
        </is>
      </c>
      <c r="N22" s="277">
        <f>'Прил.4 РМ'!C21</f>
        <v/>
      </c>
      <c r="O22">
        <f>D58=N22</f>
        <v/>
      </c>
    </row>
    <row r="23" customFormat="1" s="351">
      <c r="A23" s="391" t="n"/>
      <c r="B23" s="391" t="n"/>
      <c r="C23" s="390" t="inlineStr">
        <is>
          <t>Итого основные машины и механизмы</t>
        </is>
      </c>
      <c r="D23" s="391" t="n"/>
      <c r="E23" s="192" t="n"/>
      <c r="F23" s="245" t="n"/>
      <c r="G23" s="246">
        <f>SUM(G20:G22)</f>
        <v/>
      </c>
      <c r="H23" s="394">
        <f>G23/G34</f>
        <v/>
      </c>
      <c r="I23" s="246" t="n"/>
      <c r="J23" s="245">
        <f>SUM(J20:J22)</f>
        <v/>
      </c>
      <c r="M23" s="276" t="inlineStr">
        <is>
          <t>Накладные расходы, руб.</t>
        </is>
      </c>
      <c r="N23" s="277">
        <f>'Прил.4 РМ'!C22</f>
        <v/>
      </c>
      <c r="O23">
        <f>J57=N23</f>
        <v/>
      </c>
    </row>
    <row r="24" outlineLevel="1" ht="51" customFormat="1" customHeight="1" s="351">
      <c r="A24" s="391" t="n">
        <v>6</v>
      </c>
      <c r="B24" s="298" t="inlineStr">
        <is>
          <t>91.18.01-007</t>
        </is>
      </c>
      <c r="C24" s="39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91" t="inlineStr">
        <is>
          <t>маш.час</t>
        </is>
      </c>
      <c r="E24" s="192" t="n">
        <v>1234.5305418114</v>
      </c>
      <c r="F24" s="393" t="n">
        <v>90</v>
      </c>
      <c r="G24" s="245">
        <f>ROUND(E24*F24,2)</f>
        <v/>
      </c>
      <c r="H24" s="197">
        <f>G24/$G$34</f>
        <v/>
      </c>
      <c r="I24" s="245">
        <f>ROUND(F24*'Прил. 10'!$D$12,2)</f>
        <v/>
      </c>
      <c r="J24" s="245">
        <f>ROUND(I24*E24,2)</f>
        <v/>
      </c>
      <c r="M24" s="276" t="inlineStr">
        <is>
          <t>Накладные расходы, %</t>
        </is>
      </c>
      <c r="N24" s="277">
        <f>'Прил.4 РМ'!C23</f>
        <v/>
      </c>
      <c r="O24">
        <f>D57=N24</f>
        <v/>
      </c>
    </row>
    <row r="25" outlineLevel="1" ht="25.5" customFormat="1" customHeight="1" s="351">
      <c r="A25" s="391" t="n">
        <v>7</v>
      </c>
      <c r="B25" s="298" t="inlineStr">
        <is>
          <t>91.05.05-015</t>
        </is>
      </c>
      <c r="C25" s="390" t="inlineStr">
        <is>
          <t>Краны на автомобильном ходу, грузоподъемность 16 т</t>
        </is>
      </c>
      <c r="D25" s="391" t="inlineStr">
        <is>
          <t>маш.час</t>
        </is>
      </c>
      <c r="E25" s="192" t="n">
        <v>676.28071175446</v>
      </c>
      <c r="F25" s="393" t="n">
        <v>115.4</v>
      </c>
      <c r="G25" s="245">
        <f>ROUND(E25*F25,2)</f>
        <v/>
      </c>
      <c r="H25" s="197">
        <f>G25/$G$34</f>
        <v/>
      </c>
      <c r="I25" s="245">
        <f>ROUND(F25*'Прил. 10'!$D$12,2)</f>
        <v/>
      </c>
      <c r="J25" s="245">
        <f>ROUND(I25*E25,2)</f>
        <v/>
      </c>
      <c r="M25" s="276" t="inlineStr">
        <is>
          <t>ВСЕГО СМР с НР и СП</t>
        </is>
      </c>
      <c r="N25" s="277">
        <f>'Прил.4 РМ'!C24</f>
        <v/>
      </c>
      <c r="O25">
        <f>N25=J59</f>
        <v/>
      </c>
    </row>
    <row r="26" outlineLevel="1" ht="25.5" customFormat="1" customHeight="1" s="351">
      <c r="A26" s="391" t="n">
        <v>8</v>
      </c>
      <c r="B26" s="298" t="inlineStr">
        <is>
          <t>91.06.09-101</t>
        </is>
      </c>
      <c r="C26" s="390" t="inlineStr">
        <is>
          <t>Стрелы монтажные А-образные для подъема опор ВЛ, высота до 22 м</t>
        </is>
      </c>
      <c r="D26" s="391" t="inlineStr">
        <is>
          <t>маш.час</t>
        </is>
      </c>
      <c r="E26" s="192" t="n">
        <v>625.91160790327</v>
      </c>
      <c r="F26" s="393" t="n">
        <v>6.24</v>
      </c>
      <c r="G26" s="245">
        <f>ROUND(E26*F26,2)</f>
        <v/>
      </c>
      <c r="H26" s="197">
        <f>G26/$G$34</f>
        <v/>
      </c>
      <c r="I26" s="245">
        <f>ROUND(F26*'Прил. 10'!$D$12,2)</f>
        <v/>
      </c>
      <c r="J26" s="245">
        <f>ROUND(I26*E26,2)</f>
        <v/>
      </c>
      <c r="M26" s="276" t="inlineStr">
        <is>
          <t>ВСЕГО стоимость оборудования, в том числе</t>
        </is>
      </c>
      <c r="N26" s="277">
        <f>'Прил.4 РМ'!C25</f>
        <v/>
      </c>
      <c r="O26">
        <f>N26=J39</f>
        <v/>
      </c>
    </row>
    <row r="27" outlineLevel="1" ht="38.25" customFormat="1" customHeight="1" s="351">
      <c r="A27" s="391" t="n">
        <v>9</v>
      </c>
      <c r="B27" s="298" t="inlineStr">
        <is>
          <t>91.21.01-012</t>
        </is>
      </c>
      <c r="C27" s="390" t="inlineStr">
        <is>
          <t>Агрегаты окрасочные высокого давления для окраски поверхностей конструкций, мощность 1 кВт</t>
        </is>
      </c>
      <c r="D27" s="391" t="inlineStr">
        <is>
          <t>маш.час</t>
        </is>
      </c>
      <c r="E27" s="192" t="n">
        <v>566.2854881219901</v>
      </c>
      <c r="F27" s="393" t="n">
        <v>6.82</v>
      </c>
      <c r="G27" s="245">
        <f>ROUND(E27*F27,2)</f>
        <v/>
      </c>
      <c r="H27" s="197">
        <f>G27/$G$34</f>
        <v/>
      </c>
      <c r="I27" s="245">
        <f>ROUND(F27*'Прил. 10'!$D$12,2)</f>
        <v/>
      </c>
      <c r="J27" s="245">
        <f>ROUND(I27*E27,2)</f>
        <v/>
      </c>
      <c r="M27" s="276" t="inlineStr">
        <is>
          <t>стоимость оборудования технологического</t>
        </is>
      </c>
      <c r="N27" s="277">
        <f>'Прил.4 РМ'!C26</f>
        <v/>
      </c>
      <c r="O27">
        <f>N27=J40</f>
        <v/>
      </c>
    </row>
    <row r="28" outlineLevel="1" ht="25.5" customFormat="1" customHeight="1" s="351">
      <c r="A28" s="391" t="n">
        <v>10</v>
      </c>
      <c r="B28" s="298" t="inlineStr">
        <is>
          <t>91.06.01-002</t>
        </is>
      </c>
      <c r="C28" s="390" t="inlineStr">
        <is>
          <t>Домкраты гидравлические, грузоподъемность 6,3-25 т</t>
        </is>
      </c>
      <c r="D28" s="391" t="inlineStr">
        <is>
          <t>маш.час</t>
        </is>
      </c>
      <c r="E28" s="192" t="n">
        <v>3369.9224307986</v>
      </c>
      <c r="F28" s="393" t="n">
        <v>0.48</v>
      </c>
      <c r="G28" s="245">
        <f>ROUND(E28*F28,2)</f>
        <v/>
      </c>
      <c r="H28" s="197">
        <f>G28/$G$34</f>
        <v/>
      </c>
      <c r="I28" s="245">
        <f>ROUND(F28*'Прил. 10'!$D$12,2)</f>
        <v/>
      </c>
      <c r="J28" s="245">
        <f>ROUND(I28*E28,2)</f>
        <v/>
      </c>
      <c r="M28" s="276" t="inlineStr">
        <is>
          <t>ИТОГО (СМР + ОБОРУДОВАНИЕ)</t>
        </is>
      </c>
      <c r="N28" s="277">
        <f>'Прил.4 РМ'!C27</f>
        <v/>
      </c>
      <c r="O28">
        <f>J60=N28</f>
        <v/>
      </c>
    </row>
    <row r="29" outlineLevel="1" ht="25.5" customFormat="1" customHeight="1" s="351">
      <c r="A29" s="391" t="n">
        <v>11</v>
      </c>
      <c r="B29" s="298" t="inlineStr">
        <is>
          <t>91.14.02-001</t>
        </is>
      </c>
      <c r="C29" s="390" t="inlineStr">
        <is>
          <t>Автомобили бортовые, грузоподъемность до 5 т</t>
        </is>
      </c>
      <c r="D29" s="391" t="inlineStr">
        <is>
          <t>маш.час</t>
        </is>
      </c>
      <c r="E29" s="192" t="n">
        <v>9.6633324042068</v>
      </c>
      <c r="F29" s="393" t="n">
        <v>65.70999999999999</v>
      </c>
      <c r="G29" s="245">
        <f>ROUND(E29*F29,2)</f>
        <v/>
      </c>
      <c r="H29" s="197">
        <f>G29/$G$34</f>
        <v/>
      </c>
      <c r="I29" s="245">
        <f>ROUND(F29*'Прил. 10'!$D$12,2)</f>
        <v/>
      </c>
      <c r="J29" s="245">
        <f>ROUND(I29*E29,2)</f>
        <v/>
      </c>
    </row>
    <row r="30" outlineLevel="1" ht="14.25" customFormat="1" customHeight="1" s="351">
      <c r="A30" s="391" t="n">
        <v>12</v>
      </c>
      <c r="B30" s="298" t="inlineStr">
        <is>
          <t>91.06.05-011</t>
        </is>
      </c>
      <c r="C30" s="390" t="inlineStr">
        <is>
          <t>Погрузчики, грузоподъемность 5 т</t>
        </is>
      </c>
      <c r="D30" s="391" t="inlineStr">
        <is>
          <t>маш.час</t>
        </is>
      </c>
      <c r="E30" s="192" t="n">
        <v>6.4096499036775</v>
      </c>
      <c r="F30" s="393" t="n">
        <v>89.98999999999999</v>
      </c>
      <c r="G30" s="245">
        <f>ROUND(E30*F30,2)</f>
        <v/>
      </c>
      <c r="H30" s="197">
        <f>G30/$G$34</f>
        <v/>
      </c>
      <c r="I30" s="245">
        <f>ROUND(F30*'Прил. 10'!$D$12,2)</f>
        <v/>
      </c>
      <c r="J30" s="245">
        <f>ROUND(I30*E30,2)</f>
        <v/>
      </c>
    </row>
    <row r="31" outlineLevel="1" ht="25.5" customFormat="1" customHeight="1" s="351">
      <c r="A31" s="391" t="n">
        <v>13</v>
      </c>
      <c r="B31" s="298" t="inlineStr">
        <is>
          <t>91.17.04-171</t>
        </is>
      </c>
      <c r="C31" s="390" t="inlineStr">
        <is>
          <t>Преобразователи сварочные номинальным сварочным током 315-500 А</t>
        </is>
      </c>
      <c r="D31" s="391" t="inlineStr">
        <is>
          <t>маш.час</t>
        </is>
      </c>
      <c r="E31" s="192" t="n">
        <v>10.242484317457</v>
      </c>
      <c r="F31" s="393" t="n">
        <v>12.31</v>
      </c>
      <c r="G31" s="245">
        <f>ROUND(E31*F31,2)</f>
        <v/>
      </c>
      <c r="H31" s="197">
        <f>G31/$G$34</f>
        <v/>
      </c>
      <c r="I31" s="245">
        <f>ROUND(F31*'Прил. 10'!$D$12,2)</f>
        <v/>
      </c>
      <c r="J31" s="245">
        <f>ROUND(I31*E31,2)</f>
        <v/>
      </c>
    </row>
    <row r="32" outlineLevel="1" ht="25.5" customFormat="1" customHeight="1" s="351">
      <c r="A32" s="391" t="n">
        <v>14</v>
      </c>
      <c r="B32" s="298" t="inlineStr">
        <is>
          <t>91.06.03-060</t>
        </is>
      </c>
      <c r="C32" s="390" t="inlineStr">
        <is>
          <t>Лебедки электрические тяговым усилием до 5,79 кН (0,59 т)</t>
        </is>
      </c>
      <c r="D32" s="391" t="inlineStr">
        <is>
          <t>маш.час</t>
        </is>
      </c>
      <c r="E32" s="192" t="n">
        <v>6.4096499036775</v>
      </c>
      <c r="F32" s="393" t="n">
        <v>1.7</v>
      </c>
      <c r="G32" s="245">
        <f>ROUND(E32*F32,2)</f>
        <v/>
      </c>
      <c r="H32" s="197">
        <f>G32/$G$34</f>
        <v/>
      </c>
      <c r="I32" s="245">
        <f>ROUND(F32*'Прил. 10'!$D$12,2)</f>
        <v/>
      </c>
      <c r="J32" s="245">
        <f>ROUND(I32*E32,2)</f>
        <v/>
      </c>
    </row>
    <row r="33" ht="14.25" customFormat="1" customHeight="1" s="351">
      <c r="A33" s="391" t="n"/>
      <c r="B33" s="391" t="n"/>
      <c r="C33" s="390" t="inlineStr">
        <is>
          <t>Итого прочие машины и механизмы</t>
        </is>
      </c>
      <c r="D33" s="391" t="n"/>
      <c r="E33" s="392" t="n"/>
      <c r="F33" s="245" t="n"/>
      <c r="G33" s="246">
        <f>SUM(G24:G32)</f>
        <v/>
      </c>
      <c r="H33" s="197">
        <f>G33/G34</f>
        <v/>
      </c>
      <c r="I33" s="245" t="n"/>
      <c r="J33" s="245">
        <f>SUM(J24:J32)</f>
        <v/>
      </c>
    </row>
    <row r="34" ht="25.5" customFormat="1" customHeight="1" s="351">
      <c r="A34" s="391" t="n"/>
      <c r="B34" s="391" t="n"/>
      <c r="C34" s="389" t="inlineStr">
        <is>
          <t>Итого по разделу «Машины и механизмы»</t>
        </is>
      </c>
      <c r="D34" s="391" t="n"/>
      <c r="E34" s="392" t="n"/>
      <c r="F34" s="245" t="n"/>
      <c r="G34" s="245">
        <f>G33+G23</f>
        <v/>
      </c>
      <c r="H34" s="198">
        <f>H33+H23</f>
        <v/>
      </c>
      <c r="I34" s="242" t="n"/>
      <c r="J34" s="243">
        <f>J33+J23</f>
        <v/>
      </c>
    </row>
    <row r="35" ht="14.25" customFormat="1" customHeight="1" s="351">
      <c r="A35" s="391" t="n"/>
      <c r="B35" s="389" t="inlineStr">
        <is>
          <t>Оборудование</t>
        </is>
      </c>
      <c r="C35" s="461" t="n"/>
      <c r="D35" s="461" t="n"/>
      <c r="E35" s="461" t="n"/>
      <c r="F35" s="461" t="n"/>
      <c r="G35" s="461" t="n"/>
      <c r="H35" s="462" t="n"/>
      <c r="I35" s="276" t="n"/>
      <c r="J35" s="276" t="n"/>
    </row>
    <row r="36">
      <c r="A36" s="391" t="n"/>
      <c r="B36" s="390" t="inlineStr">
        <is>
          <t>Основное оборудование</t>
        </is>
      </c>
      <c r="C36" s="461" t="n"/>
      <c r="D36" s="461" t="n"/>
      <c r="E36" s="461" t="n"/>
      <c r="F36" s="461" t="n"/>
      <c r="G36" s="461" t="n"/>
      <c r="H36" s="462" t="n"/>
      <c r="I36" s="276" t="n"/>
      <c r="J36" s="276" t="n"/>
      <c r="L36" s="351" t="n"/>
    </row>
    <row r="37">
      <c r="A37" s="391" t="n"/>
      <c r="B37" s="391" t="n"/>
      <c r="C37" s="390" t="inlineStr">
        <is>
          <t>Итого основное оборудование</t>
        </is>
      </c>
      <c r="D37" s="391" t="n"/>
      <c r="E37" s="302" t="n"/>
      <c r="F37" s="393" t="n"/>
      <c r="G37" s="245" t="n">
        <v>0</v>
      </c>
      <c r="H37" s="197" t="n">
        <v>0</v>
      </c>
      <c r="I37" s="246" t="n"/>
      <c r="J37" s="245" t="n">
        <v>0</v>
      </c>
      <c r="L37" s="351" t="n"/>
    </row>
    <row r="38">
      <c r="A38" s="391" t="n"/>
      <c r="B38" s="391" t="n"/>
      <c r="C38" s="390" t="inlineStr">
        <is>
          <t>Итого прочее оборудование</t>
        </is>
      </c>
      <c r="D38" s="391" t="n"/>
      <c r="E38" s="192" t="n"/>
      <c r="F38" s="393" t="n"/>
      <c r="G38" s="245" t="n">
        <v>0</v>
      </c>
      <c r="H38" s="197" t="n">
        <v>0</v>
      </c>
      <c r="I38" s="246" t="n"/>
      <c r="J38" s="245" t="n">
        <v>0</v>
      </c>
      <c r="L38" s="351" t="n"/>
    </row>
    <row r="39">
      <c r="A39" s="391" t="n"/>
      <c r="B39" s="391" t="n"/>
      <c r="C39" s="389" t="inlineStr">
        <is>
          <t>Итого по разделу «Оборудование»</t>
        </is>
      </c>
      <c r="D39" s="391" t="n"/>
      <c r="E39" s="392" t="n"/>
      <c r="F39" s="393" t="n"/>
      <c r="G39" s="245" t="n">
        <v>0</v>
      </c>
      <c r="H39" s="197" t="n">
        <v>0</v>
      </c>
      <c r="I39" s="246" t="n"/>
      <c r="J39" s="245">
        <f>J38+J37</f>
        <v/>
      </c>
      <c r="L39" s="351" t="n"/>
    </row>
    <row r="40" ht="25.5" customHeight="1" s="343">
      <c r="A40" s="391" t="n"/>
      <c r="B40" s="391" t="n"/>
      <c r="C40" s="390" t="inlineStr">
        <is>
          <t>в том числе технологическое оборудование</t>
        </is>
      </c>
      <c r="D40" s="391" t="n"/>
      <c r="E40" s="302" t="n"/>
      <c r="F40" s="393" t="n"/>
      <c r="G40" s="245">
        <f>'Прил.6 Расчет ОБ'!G12</f>
        <v/>
      </c>
      <c r="H40" s="394" t="n"/>
      <c r="I40" s="246" t="n"/>
      <c r="J40" s="245">
        <f>J39</f>
        <v/>
      </c>
      <c r="L40" s="351" t="n"/>
    </row>
    <row r="41" ht="14.25" customFormat="1" customHeight="1" s="351">
      <c r="A41" s="391" t="n"/>
      <c r="B41" s="389" t="inlineStr">
        <is>
          <t>Материалы</t>
        </is>
      </c>
      <c r="C41" s="461" t="n"/>
      <c r="D41" s="461" t="n"/>
      <c r="E41" s="461" t="n"/>
      <c r="F41" s="461" t="n"/>
      <c r="G41" s="461" t="n"/>
      <c r="H41" s="462" t="n"/>
      <c r="I41" s="276" t="n"/>
      <c r="J41" s="276" t="n"/>
    </row>
    <row r="42" ht="14.25" customFormat="1" customHeight="1" s="351">
      <c r="A42" s="385" t="n"/>
      <c r="B42" s="384" t="inlineStr">
        <is>
          <t>Основные материалы</t>
        </is>
      </c>
      <c r="C42" s="465" t="n"/>
      <c r="D42" s="465" t="n"/>
      <c r="E42" s="465" t="n"/>
      <c r="F42" s="465" t="n"/>
      <c r="G42" s="465" t="n"/>
      <c r="H42" s="466" t="n"/>
      <c r="I42" s="252" t="n"/>
      <c r="J42" s="252" t="n"/>
    </row>
    <row r="43" ht="51" customFormat="1" customHeight="1" s="351">
      <c r="A43" s="391" t="n">
        <v>15</v>
      </c>
      <c r="B43" s="396" t="inlineStr">
        <is>
          <t>БЦ.98.30</t>
        </is>
      </c>
      <c r="C43" s="390" t="inlineStr">
        <is>
          <t>Опоры решетчатые линий электропередачи оцинкованные, 330 кВ, промежуточные, одностоечные, свободностоящие</t>
        </is>
      </c>
      <c r="D43" s="391" t="inlineStr">
        <is>
          <t>т</t>
        </is>
      </c>
      <c r="E43" s="302" t="n">
        <v>531.34844418444</v>
      </c>
      <c r="F43" s="393">
        <f>ROUND(I43/'Прил. 10'!$D$13,2)</f>
        <v/>
      </c>
      <c r="G43" s="245">
        <f>ROUND(E43*F43,2)</f>
        <v/>
      </c>
      <c r="H43" s="197">
        <f>G43/$G$55</f>
        <v/>
      </c>
      <c r="I43" s="245" t="n">
        <v>220492.92</v>
      </c>
      <c r="J43" s="245">
        <f>ROUND(I43*E43,2)</f>
        <v/>
      </c>
    </row>
    <row r="44" ht="51" customFormat="1" customHeight="1" s="351">
      <c r="A44" s="391" t="n">
        <v>16</v>
      </c>
      <c r="B44" s="396" t="inlineStr">
        <is>
          <t>БЦ.98.29</t>
        </is>
      </c>
      <c r="C44" s="390" t="inlineStr">
        <is>
          <t>Опоры решетчатые линий электропередачи оцинкованные, 330 кВ, анкерно-угловые, одностоечные, свободностоящие</t>
        </is>
      </c>
      <c r="D44" s="391" t="inlineStr">
        <is>
          <t>т</t>
        </is>
      </c>
      <c r="E44" s="302" t="n">
        <v>347.99155581557</v>
      </c>
      <c r="F44" s="393">
        <f>ROUND(I44/'Прил. 10'!$D$13,2)</f>
        <v/>
      </c>
      <c r="G44" s="245">
        <f>ROUND(E44*F44,2)</f>
        <v/>
      </c>
      <c r="H44" s="197">
        <f>G44/$G$55</f>
        <v/>
      </c>
      <c r="I44" s="245" t="n">
        <v>227033.02</v>
      </c>
      <c r="J44" s="245">
        <f>ROUND(I44*E44,2)</f>
        <v/>
      </c>
    </row>
    <row r="45" ht="14.25" customFormat="1" customHeight="1" s="351">
      <c r="A45" s="408" t="n"/>
      <c r="B45" s="254" t="n"/>
      <c r="C45" s="201" t="inlineStr">
        <is>
          <t>Итого основные материалы</t>
        </is>
      </c>
      <c r="D45" s="408" t="n"/>
      <c r="E45" s="203" t="n"/>
      <c r="F45" s="243" t="n"/>
      <c r="G45" s="243">
        <f>SUM(G43:G44)</f>
        <v/>
      </c>
      <c r="H45" s="197">
        <f>G45/$G$55</f>
        <v/>
      </c>
      <c r="I45" s="245" t="n"/>
      <c r="J45" s="243">
        <f>SUM(J43:J44)</f>
        <v/>
      </c>
    </row>
    <row r="46" outlineLevel="1" ht="14.25" customFormat="1" customHeight="1" s="351">
      <c r="A46" s="391" t="n">
        <v>17</v>
      </c>
      <c r="B46" s="391" t="inlineStr">
        <is>
          <t>14.4.04.09-0016</t>
        </is>
      </c>
      <c r="C46" s="390" t="inlineStr">
        <is>
          <t>Эмаль ХВ-124, голубая</t>
        </is>
      </c>
      <c r="D46" s="391" t="inlineStr">
        <is>
          <t>т</t>
        </is>
      </c>
      <c r="E46" s="302" t="n">
        <v>6.0500142290239</v>
      </c>
      <c r="F46" s="393" t="n">
        <v>22050</v>
      </c>
      <c r="G46" s="245">
        <f>ROUND(E46*F46,2)</f>
        <v/>
      </c>
      <c r="H46" s="197">
        <f>G46/$G$55</f>
        <v/>
      </c>
      <c r="I46" s="245">
        <f>ROUND(F46*'Прил. 10'!$D$13,2)</f>
        <v/>
      </c>
      <c r="J46" s="245">
        <f>ROUND(I46*E46,2)</f>
        <v/>
      </c>
      <c r="M46" s="234" t="n"/>
    </row>
    <row r="47" outlineLevel="1" ht="14.25" customFormat="1" customHeight="1" s="351">
      <c r="A47" s="391" t="n">
        <v>18</v>
      </c>
      <c r="B47" s="391" t="inlineStr">
        <is>
          <t>14.4.01.18-0002</t>
        </is>
      </c>
      <c r="C47" s="390" t="inlineStr">
        <is>
          <t>Грунтовка ФЛ-03К, коричневая</t>
        </is>
      </c>
      <c r="D47" s="391" t="inlineStr">
        <is>
          <t>т</t>
        </is>
      </c>
      <c r="E47" s="302" t="n">
        <v>2.8657962290239</v>
      </c>
      <c r="F47" s="393" t="n">
        <v>29470.1</v>
      </c>
      <c r="G47" s="245">
        <f>ROUND(E47*F47,2)</f>
        <v/>
      </c>
      <c r="H47" s="197">
        <f>G47/$G$55</f>
        <v/>
      </c>
      <c r="I47" s="245">
        <f>ROUND(F47*'Прил. 10'!$D$13,2)</f>
        <v/>
      </c>
      <c r="J47" s="245">
        <f>ROUND(I47*E47,2)</f>
        <v/>
      </c>
    </row>
    <row r="48" outlineLevel="1" ht="25.5" customFormat="1" customHeight="1" s="351">
      <c r="A48" s="391" t="n">
        <v>19</v>
      </c>
      <c r="B48" s="391" t="inlineStr">
        <is>
          <t>14.4.02.09-0301</t>
        </is>
      </c>
      <c r="C48" s="390" t="inlineStr">
        <is>
          <t>Композиция антикоррозионная цинкнаполненная</t>
        </is>
      </c>
      <c r="D48" s="391" t="inlineStr">
        <is>
          <t>кг</t>
        </is>
      </c>
      <c r="E48" s="302" t="n">
        <v>168.9770050778</v>
      </c>
      <c r="F48" s="393" t="n">
        <v>238.48</v>
      </c>
      <c r="G48" s="245">
        <f>ROUND(E48*F48,2)</f>
        <v/>
      </c>
      <c r="H48" s="197">
        <f>G48/$G$55</f>
        <v/>
      </c>
      <c r="I48" s="245">
        <f>ROUND(F48*'Прил. 10'!$D$13,2)</f>
        <v/>
      </c>
      <c r="J48" s="245">
        <f>ROUND(I48*E48,2)</f>
        <v/>
      </c>
    </row>
    <row r="49" outlineLevel="1" ht="63.75" customFormat="1" customHeight="1" s="351">
      <c r="A49" s="391" t="n">
        <v>20</v>
      </c>
      <c r="B49" s="391" t="inlineStr">
        <is>
          <t>25.1.06.03-0001</t>
        </is>
      </c>
      <c r="C49" s="390" t="inlineStr">
        <is>
          <t>Знак для нумерации опор контактной сети из алюминиевого сплава NРКС 01.01.00СБ размером 210х150 мм (Плакаты металлическеи для нумерации опор)</t>
        </is>
      </c>
      <c r="D49" s="391" t="inlineStr">
        <is>
          <t>100 шт</t>
        </is>
      </c>
      <c r="E49" s="302" t="n">
        <v>1.1111998174621</v>
      </c>
      <c r="F49" s="393" t="n">
        <v>29877</v>
      </c>
      <c r="G49" s="245">
        <f>ROUND(E49*F49,2)</f>
        <v/>
      </c>
      <c r="H49" s="197">
        <f>G49/$G$55</f>
        <v/>
      </c>
      <c r="I49" s="245">
        <f>ROUND(F49*'Прил. 10'!$D$13,2)</f>
        <v/>
      </c>
      <c r="J49" s="245">
        <f>ROUND(I49*E49,2)</f>
        <v/>
      </c>
    </row>
    <row r="50" outlineLevel="1" ht="14.25" customFormat="1" customHeight="1" s="351">
      <c r="A50" s="391" t="n">
        <v>21</v>
      </c>
      <c r="B50" s="391" t="inlineStr">
        <is>
          <t>14.5.09.07-0030</t>
        </is>
      </c>
      <c r="C50" s="390" t="inlineStr">
        <is>
          <t>Растворитель Р-4</t>
        </is>
      </c>
      <c r="D50" s="391" t="inlineStr">
        <is>
          <t>кг</t>
        </is>
      </c>
      <c r="E50" s="302" t="n">
        <v>2569.0116994307</v>
      </c>
      <c r="F50" s="393" t="n">
        <v>9.42</v>
      </c>
      <c r="G50" s="245">
        <f>ROUND(E50*F50,2)</f>
        <v/>
      </c>
      <c r="H50" s="197">
        <f>G50/$G$55</f>
        <v/>
      </c>
      <c r="I50" s="245">
        <f>ROUND(F50*'Прил. 10'!$D$13,2)</f>
        <v/>
      </c>
      <c r="J50" s="245">
        <f>ROUND(I50*E50,2)</f>
        <v/>
      </c>
    </row>
    <row r="51" outlineLevel="1" ht="25.5" customFormat="1" customHeight="1" s="351">
      <c r="A51" s="391" t="n">
        <v>22</v>
      </c>
      <c r="B51" s="391" t="inlineStr">
        <is>
          <t>14.2.01.05-0001</t>
        </is>
      </c>
      <c r="C51" s="390" t="inlineStr">
        <is>
          <t>Композиция на основе термопластичных полимеров</t>
        </is>
      </c>
      <c r="D51" s="391" t="inlineStr">
        <is>
          <t>кг</t>
        </is>
      </c>
      <c r="E51" s="302" t="n">
        <v>80.36711217115</v>
      </c>
      <c r="F51" s="393" t="n">
        <v>54.99</v>
      </c>
      <c r="G51" s="245">
        <f>ROUND(E51*F51,2)</f>
        <v/>
      </c>
      <c r="H51" s="197">
        <f>G51/$G$55</f>
        <v/>
      </c>
      <c r="I51" s="245">
        <f>ROUND(F51*'Прил. 10'!$D$13,2)</f>
        <v/>
      </c>
      <c r="J51" s="245">
        <f>ROUND(I51*E51,2)</f>
        <v/>
      </c>
    </row>
    <row r="52" outlineLevel="1" ht="14.25" customFormat="1" customHeight="1" s="351">
      <c r="A52" s="391" t="n">
        <v>23</v>
      </c>
      <c r="B52" s="391" t="inlineStr">
        <is>
          <t>14.5.09.02-0002</t>
        </is>
      </c>
      <c r="C52" s="390" t="inlineStr">
        <is>
          <t>Ксилол нефтяной, марка А</t>
        </is>
      </c>
      <c r="D52" s="391" t="inlineStr">
        <is>
          <t>т</t>
        </is>
      </c>
      <c r="E52" s="302" t="n">
        <v>0.44579052082925</v>
      </c>
      <c r="F52" s="393" t="n">
        <v>7640</v>
      </c>
      <c r="G52" s="245">
        <f>ROUND(E52*F52,2)</f>
        <v/>
      </c>
      <c r="H52" s="197">
        <f>G52/$G$55</f>
        <v/>
      </c>
      <c r="I52" s="245">
        <f>ROUND(F52*'Прил. 10'!$D$13,2)</f>
        <v/>
      </c>
      <c r="J52" s="245">
        <f>ROUND(I52*E52,2)</f>
        <v/>
      </c>
    </row>
    <row r="53" outlineLevel="1" ht="14.25" customFormat="1" customHeight="1" s="351">
      <c r="A53" s="391" t="n">
        <v>24</v>
      </c>
      <c r="B53" s="391" t="inlineStr">
        <is>
          <t>01.7.11.07-0036</t>
        </is>
      </c>
      <c r="C53" s="390" t="inlineStr">
        <is>
          <t>Электроды сварочные Э46, диаметр 4 мм</t>
        </is>
      </c>
      <c r="D53" s="391" t="inlineStr">
        <is>
          <t>кг</t>
        </is>
      </c>
      <c r="E53" s="302" t="n">
        <v>9.9367385169359</v>
      </c>
      <c r="F53" s="393" t="n">
        <v>10.75</v>
      </c>
      <c r="G53" s="245">
        <f>ROUND(E53*F53,2)</f>
        <v/>
      </c>
      <c r="H53" s="197">
        <f>G53/$G$55</f>
        <v/>
      </c>
      <c r="I53" s="245">
        <f>ROUND(F53*'Прил. 10'!$D$13,2)</f>
        <v/>
      </c>
      <c r="J53" s="245">
        <f>ROUND(I53*E53,2)</f>
        <v/>
      </c>
    </row>
    <row r="54" ht="14.25" customFormat="1" customHeight="1" s="351">
      <c r="A54" s="391" t="n"/>
      <c r="B54" s="391" t="n"/>
      <c r="C54" s="390" t="inlineStr">
        <is>
          <t>Итого прочие материалы</t>
        </is>
      </c>
      <c r="D54" s="391" t="n"/>
      <c r="E54" s="302" t="n"/>
      <c r="F54" s="393" t="n"/>
      <c r="G54" s="333">
        <f>SUM(G46:G53)</f>
        <v/>
      </c>
      <c r="H54" s="197">
        <f>G54/$G$55</f>
        <v/>
      </c>
      <c r="I54" s="245" t="n"/>
      <c r="J54" s="245">
        <f>SUM(J46:J53)</f>
        <v/>
      </c>
    </row>
    <row r="55" ht="14.25" customFormat="1" customHeight="1" s="351">
      <c r="A55" s="391" t="n"/>
      <c r="B55" s="391" t="n"/>
      <c r="C55" s="389" t="inlineStr">
        <is>
          <t>Итого по разделу «Материалы»</t>
        </is>
      </c>
      <c r="D55" s="391" t="n"/>
      <c r="E55" s="392" t="n"/>
      <c r="F55" s="393" t="n"/>
      <c r="G55" s="333">
        <f>G45+G54</f>
        <v/>
      </c>
      <c r="H55" s="394">
        <f>G55/$G$55</f>
        <v/>
      </c>
      <c r="I55" s="245" t="n"/>
      <c r="J55" s="245">
        <f>J45+J54</f>
        <v/>
      </c>
    </row>
    <row r="56" ht="14.25" customFormat="1" customHeight="1" s="351">
      <c r="A56" s="391" t="n"/>
      <c r="B56" s="391" t="n"/>
      <c r="C56" s="390" t="inlineStr">
        <is>
          <t>ИТОГО ПО РМ</t>
        </is>
      </c>
      <c r="D56" s="391" t="n"/>
      <c r="E56" s="392" t="n"/>
      <c r="F56" s="393" t="n"/>
      <c r="G56" s="333">
        <f>G15+G34+G55</f>
        <v/>
      </c>
      <c r="H56" s="394" t="n"/>
      <c r="I56" s="245" t="n"/>
      <c r="J56" s="245">
        <f>J15+J34+J55</f>
        <v/>
      </c>
    </row>
    <row r="57" ht="14.25" customFormat="1" customHeight="1" s="351">
      <c r="A57" s="391" t="n"/>
      <c r="B57" s="391" t="n"/>
      <c r="C57" s="390" t="inlineStr">
        <is>
          <t>Накладные расходы</t>
        </is>
      </c>
      <c r="D57" s="206" t="n">
        <v>1.06</v>
      </c>
      <c r="E57" s="392" t="n"/>
      <c r="F57" s="393" t="n"/>
      <c r="G57" s="333">
        <f>D57*($G$15+$G$17)</f>
        <v/>
      </c>
      <c r="H57" s="394" t="n"/>
      <c r="I57" s="245" t="n"/>
      <c r="J57" s="245">
        <f>ROUND(D57*(J15+J17),2)</f>
        <v/>
      </c>
    </row>
    <row r="58" ht="14.25" customFormat="1" customHeight="1" s="351">
      <c r="A58" s="391" t="n"/>
      <c r="B58" s="391" t="n"/>
      <c r="C58" s="390" t="inlineStr">
        <is>
          <t>Сметная прибыль</t>
        </is>
      </c>
      <c r="D58" s="206" t="n">
        <v>0.59</v>
      </c>
      <c r="E58" s="392" t="n"/>
      <c r="F58" s="393" t="n"/>
      <c r="G58" s="333">
        <f>D58*($G$15+$G$17)</f>
        <v/>
      </c>
      <c r="H58" s="394" t="n"/>
      <c r="I58" s="245" t="n"/>
      <c r="J58" s="245">
        <f>ROUND(D58*(J15+J17),2)</f>
        <v/>
      </c>
    </row>
    <row r="59" ht="14.25" customFormat="1" customHeight="1" s="351">
      <c r="A59" s="391" t="n"/>
      <c r="B59" s="391" t="n"/>
      <c r="C59" s="390" t="inlineStr">
        <is>
          <t>Итого СМР (с НР и СП)</t>
        </is>
      </c>
      <c r="D59" s="391" t="n"/>
      <c r="E59" s="392" t="n"/>
      <c r="F59" s="393" t="n"/>
      <c r="G59" s="245">
        <f>G15+G34+G55+G57+G58</f>
        <v/>
      </c>
      <c r="H59" s="394" t="n"/>
      <c r="I59" s="245" t="n"/>
      <c r="J59" s="245">
        <f>J15+J34+J55+J57+J58</f>
        <v/>
      </c>
    </row>
    <row r="60" ht="14.25" customFormat="1" customHeight="1" s="351">
      <c r="A60" s="391" t="n"/>
      <c r="B60" s="391" t="n"/>
      <c r="C60" s="390" t="inlineStr">
        <is>
          <t>ВСЕГО СМР + ОБОРУДОВАНИЕ</t>
        </is>
      </c>
      <c r="D60" s="391" t="n"/>
      <c r="E60" s="392" t="n"/>
      <c r="F60" s="393" t="n"/>
      <c r="G60" s="245">
        <f>G59+G39</f>
        <v/>
      </c>
      <c r="H60" s="394" t="n"/>
      <c r="I60" s="245" t="n"/>
      <c r="J60" s="245">
        <f>J59+J39</f>
        <v/>
      </c>
      <c r="K60" s="304" t="n"/>
    </row>
    <row r="61" ht="34.5" customFormat="1" customHeight="1" s="351">
      <c r="A61" s="391" t="n"/>
      <c r="B61" s="391" t="n"/>
      <c r="C61" s="390" t="inlineStr">
        <is>
          <t>ИТОГО ПОКАЗАТЕЛЬ НА ЕД. ИЗМ.</t>
        </is>
      </c>
      <c r="D61" s="391" t="inlineStr">
        <is>
          <t>1 км</t>
        </is>
      </c>
      <c r="E61" s="188" t="n">
        <v>21.896</v>
      </c>
      <c r="F61" s="393" t="n"/>
      <c r="G61" s="245">
        <f>G60/E61</f>
        <v/>
      </c>
      <c r="H61" s="394" t="n"/>
      <c r="I61" s="245" t="n"/>
      <c r="J61" s="245">
        <f>J60/E61</f>
        <v/>
      </c>
    </row>
    <row r="63" ht="14.25" customFormat="1" customHeight="1" s="351">
      <c r="A63" s="350" t="inlineStr">
        <is>
          <t>Составил ______________________    Д.Ю. Нефедова</t>
        </is>
      </c>
    </row>
    <row r="64" ht="14.25" customFormat="1" customHeight="1" s="351">
      <c r="A64" s="353" t="inlineStr">
        <is>
          <t xml:space="preserve">                         (подпись, инициалы, фамилия)</t>
        </is>
      </c>
    </row>
    <row r="65" ht="14.25" customFormat="1" customHeight="1" s="351">
      <c r="A65" s="350" t="n"/>
    </row>
    <row r="66" ht="14.25" customFormat="1" customHeight="1" s="351">
      <c r="A66" s="350" t="inlineStr">
        <is>
          <t>Проверил ______________________        А.В. Костянецкая</t>
        </is>
      </c>
    </row>
    <row r="67" ht="14.25" customFormat="1" customHeight="1" s="351">
      <c r="A67" s="35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B41:H41"/>
    <mergeCell ref="A7:H7"/>
    <mergeCell ref="B35:H35"/>
    <mergeCell ref="B16:H16"/>
    <mergeCell ref="B10:B11"/>
    <mergeCell ref="B18:H18"/>
    <mergeCell ref="D6:J6"/>
    <mergeCell ref="B42:H42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43" min="1" max="1"/>
    <col width="17.5546875" customWidth="1" style="343" min="2" max="2"/>
    <col width="39.109375" customWidth="1" style="343" min="3" max="3"/>
    <col width="10.6640625" customWidth="1" style="343" min="4" max="4"/>
    <col width="13.88671875" customWidth="1" style="343" min="5" max="5"/>
    <col width="13.33203125" customWidth="1" style="343" min="6" max="6"/>
    <col width="14.109375" customWidth="1" style="343" min="7" max="7"/>
  </cols>
  <sheetData>
    <row r="1">
      <c r="A1" s="410" t="inlineStr">
        <is>
          <t>Приложение №6</t>
        </is>
      </c>
    </row>
    <row r="2" ht="21.75" customHeight="1" s="343">
      <c r="A2" s="410" t="n"/>
      <c r="B2" s="410" t="n"/>
      <c r="C2" s="410" t="n"/>
      <c r="D2" s="410" t="n"/>
      <c r="E2" s="410" t="n"/>
      <c r="F2" s="410" t="n"/>
      <c r="G2" s="410" t="n"/>
    </row>
    <row r="3">
      <c r="A3" s="362" t="inlineStr">
        <is>
          <t>Расчет стоимости оборудования</t>
        </is>
      </c>
    </row>
    <row r="4" ht="25.5" customHeight="1" s="343">
      <c r="A4" s="365" t="inlineStr">
        <is>
          <t>Наименование разрабатываемого показателя УНЦ — Опоры ВЛ 0,4 - 750 кВ. Двухцепная, все типы опор за исключением многогранных 330 кВ.</t>
        </is>
      </c>
    </row>
    <row r="5">
      <c r="A5" s="350" t="n"/>
      <c r="B5" s="350" t="n"/>
      <c r="C5" s="350" t="n"/>
      <c r="D5" s="350" t="n"/>
      <c r="E5" s="350" t="n"/>
      <c r="F5" s="350" t="n"/>
      <c r="G5" s="350" t="n"/>
    </row>
    <row r="6" ht="30" customHeight="1" s="343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1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43">
      <c r="A9" s="262" t="n"/>
      <c r="B9" s="390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3">
      <c r="A10" s="391" t="n"/>
      <c r="B10" s="389" t="n"/>
      <c r="C10" s="390" t="inlineStr">
        <is>
          <t>ИТОГО ИНЖЕНЕРНОЕ ОБОРУДОВАНИЕ</t>
        </is>
      </c>
      <c r="D10" s="389" t="n"/>
      <c r="E10" s="263" t="n"/>
      <c r="F10" s="393" t="n"/>
      <c r="G10" s="393" t="n">
        <v>0</v>
      </c>
    </row>
    <row r="11">
      <c r="A11" s="391" t="n"/>
      <c r="B11" s="390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25.5" customHeight="1" s="343">
      <c r="A12" s="391" t="n"/>
      <c r="B12" s="390" t="n"/>
      <c r="C12" s="390" t="inlineStr">
        <is>
          <t>ИТОГО ТЕХНОЛОГИЧЕСКОЕ ОБОРУДОВАНИЕ</t>
        </is>
      </c>
      <c r="D12" s="390" t="n"/>
      <c r="E12" s="414" t="n"/>
      <c r="F12" s="393" t="n"/>
      <c r="G12" s="245" t="n">
        <v>0</v>
      </c>
    </row>
    <row r="13" ht="19.5" customHeight="1" s="343">
      <c r="A13" s="391" t="n"/>
      <c r="B13" s="390" t="n"/>
      <c r="C13" s="390" t="inlineStr">
        <is>
          <t>Всего по разделу «Оборудование»</t>
        </is>
      </c>
      <c r="D13" s="390" t="n"/>
      <c r="E13" s="414" t="n"/>
      <c r="F13" s="393" t="n"/>
      <c r="G13" s="245">
        <f>G10+G12</f>
        <v/>
      </c>
    </row>
    <row r="14">
      <c r="A14" s="352" t="n"/>
      <c r="B14" s="265" t="n"/>
      <c r="C14" s="352" t="n"/>
      <c r="D14" s="352" t="n"/>
      <c r="E14" s="352" t="n"/>
      <c r="F14" s="352" t="n"/>
      <c r="G14" s="352" t="n"/>
    </row>
    <row r="15">
      <c r="A15" s="350" t="inlineStr">
        <is>
          <t>Составил ______________________    Д.Ю. Нефедова</t>
        </is>
      </c>
      <c r="B15" s="351" t="n"/>
      <c r="C15" s="351" t="n"/>
      <c r="D15" s="352" t="n"/>
      <c r="E15" s="352" t="n"/>
      <c r="F15" s="352" t="n"/>
      <c r="G15" s="352" t="n"/>
    </row>
    <row r="16">
      <c r="A16" s="353" t="inlineStr">
        <is>
          <t xml:space="preserve">                         (подпись, инициалы, фамилия)</t>
        </is>
      </c>
      <c r="B16" s="351" t="n"/>
      <c r="C16" s="351" t="n"/>
      <c r="D16" s="352" t="n"/>
      <c r="E16" s="352" t="n"/>
      <c r="F16" s="352" t="n"/>
      <c r="G16" s="352" t="n"/>
    </row>
    <row r="17">
      <c r="A17" s="350" t="n"/>
      <c r="B17" s="351" t="n"/>
      <c r="C17" s="351" t="n"/>
      <c r="D17" s="352" t="n"/>
      <c r="E17" s="352" t="n"/>
      <c r="F17" s="352" t="n"/>
      <c r="G17" s="352" t="n"/>
    </row>
    <row r="18">
      <c r="A18" s="350" t="inlineStr">
        <is>
          <t>Проверил ______________________        А.В. Костянецкая</t>
        </is>
      </c>
      <c r="B18" s="351" t="n"/>
      <c r="C18" s="351" t="n"/>
      <c r="D18" s="352" t="n"/>
      <c r="E18" s="352" t="n"/>
      <c r="F18" s="352" t="n"/>
      <c r="G18" s="352" t="n"/>
    </row>
    <row r="19">
      <c r="A19" s="353" t="inlineStr">
        <is>
          <t xml:space="preserve">                        (подпись, инициалы, фамилия)</t>
        </is>
      </c>
      <c r="B19" s="351" t="n"/>
      <c r="C19" s="351" t="n"/>
      <c r="D19" s="352" t="n"/>
      <c r="E19" s="352" t="n"/>
      <c r="F19" s="352" t="n"/>
      <c r="G19" s="3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43" min="1" max="1"/>
    <col width="22.44140625" customWidth="1" style="343" min="2" max="2"/>
    <col width="37.109375" customWidth="1" style="343" min="3" max="3"/>
    <col width="49" customWidth="1" style="343" min="4" max="4"/>
    <col width="9.109375" customWidth="1" style="343" min="5" max="5"/>
  </cols>
  <sheetData>
    <row r="1" ht="15.75" customHeight="1" s="343">
      <c r="A1" s="346" t="n"/>
      <c r="B1" s="346" t="n"/>
      <c r="C1" s="346" t="n"/>
      <c r="D1" s="346" t="inlineStr">
        <is>
          <t>Приложение №7</t>
        </is>
      </c>
    </row>
    <row r="2" ht="15.75" customHeight="1" s="343">
      <c r="A2" s="346" t="n"/>
      <c r="B2" s="346" t="n"/>
      <c r="C2" s="346" t="n"/>
      <c r="D2" s="346" t="n"/>
    </row>
    <row r="3" ht="15.75" customHeight="1" s="343">
      <c r="A3" s="346" t="n"/>
      <c r="B3" s="344" t="inlineStr">
        <is>
          <t>Расчет показателя УНЦ</t>
        </is>
      </c>
      <c r="C3" s="346" t="n"/>
      <c r="D3" s="346" t="n"/>
    </row>
    <row r="4" ht="15.75" customHeight="1" s="343">
      <c r="A4" s="346" t="n"/>
      <c r="B4" s="346" t="n"/>
      <c r="C4" s="346" t="n"/>
      <c r="D4" s="346" t="n"/>
    </row>
    <row r="5" ht="31.5" customHeight="1" s="343">
      <c r="A5" s="416" t="inlineStr">
        <is>
          <t xml:space="preserve">Наименование разрабатываемого показателя УНЦ - </t>
        </is>
      </c>
      <c r="D5" s="416">
        <f>'Прил.5 Расчет СМР и ОБ'!D6:J6</f>
        <v/>
      </c>
    </row>
    <row r="6" ht="15.75" customHeight="1" s="343">
      <c r="A6" s="346" t="inlineStr">
        <is>
          <t>Единица измерения  — 1 км</t>
        </is>
      </c>
      <c r="B6" s="346" t="n"/>
      <c r="C6" s="346" t="n"/>
      <c r="D6" s="346" t="n"/>
    </row>
    <row r="7" ht="15.75" customHeight="1" s="343">
      <c r="A7" s="346" t="n"/>
      <c r="B7" s="346" t="n"/>
      <c r="C7" s="346" t="n"/>
      <c r="D7" s="346" t="n"/>
    </row>
    <row r="8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>
      <c r="A9" s="464" t="n"/>
      <c r="B9" s="464" t="n"/>
      <c r="C9" s="464" t="n"/>
      <c r="D9" s="464" t="n"/>
    </row>
    <row r="10" ht="15.75" customHeight="1" s="343">
      <c r="A10" s="377" t="n">
        <v>1</v>
      </c>
      <c r="B10" s="377" t="n">
        <v>2</v>
      </c>
      <c r="C10" s="377" t="n">
        <v>3</v>
      </c>
      <c r="D10" s="377" t="n">
        <v>4</v>
      </c>
    </row>
    <row r="11" ht="63" customHeight="1" s="343">
      <c r="A11" s="377" t="inlineStr">
        <is>
          <t>Л3-06-2</t>
        </is>
      </c>
      <c r="B11" s="377" t="inlineStr">
        <is>
          <t xml:space="preserve">УНЦ опор ВЛ 0,4 - 750 кВ </t>
        </is>
      </c>
      <c r="C11" s="348">
        <f>D5</f>
        <v/>
      </c>
      <c r="D11" s="349">
        <f>'Прил.4 РМ'!C41/1000</f>
        <v/>
      </c>
    </row>
    <row r="13">
      <c r="A13" s="350" t="inlineStr">
        <is>
          <t>Составил ______________________        Д.Ю. Нефедова</t>
        </is>
      </c>
      <c r="B13" s="351" t="n"/>
      <c r="C13" s="351" t="n"/>
      <c r="D13" s="352" t="n"/>
    </row>
    <row r="14">
      <c r="A14" s="353" t="inlineStr">
        <is>
          <t xml:space="preserve">                         (подпись, инициалы, фамилия)</t>
        </is>
      </c>
      <c r="B14" s="351" t="n"/>
      <c r="C14" s="351" t="n"/>
      <c r="D14" s="352" t="n"/>
    </row>
    <row r="15">
      <c r="A15" s="350" t="n"/>
      <c r="B15" s="351" t="n"/>
      <c r="C15" s="351" t="n"/>
      <c r="D15" s="352" t="n"/>
    </row>
    <row r="16">
      <c r="A16" s="350" t="inlineStr">
        <is>
          <t>Проверил ______________________        А.В. Костянецкая</t>
        </is>
      </c>
      <c r="B16" s="351" t="n"/>
      <c r="C16" s="351" t="n"/>
      <c r="D16" s="352" t="n"/>
    </row>
    <row r="17" ht="20.25" customHeight="1" s="343">
      <c r="A17" s="353" t="inlineStr">
        <is>
          <t xml:space="preserve">                        (подпись, инициалы, фамилия)</t>
        </is>
      </c>
      <c r="B17" s="351" t="n"/>
      <c r="C17" s="351" t="n"/>
      <c r="D17" s="35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G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343" min="1" max="1"/>
    <col width="40.6640625" customWidth="1" style="343" min="2" max="2"/>
    <col width="37" customWidth="1" style="343" min="3" max="3"/>
    <col width="32" customWidth="1" style="343" min="4" max="4"/>
    <col width="9.109375" customWidth="1" style="343" min="5" max="5"/>
  </cols>
  <sheetData>
    <row r="4" ht="15.75" customHeight="1" s="343">
      <c r="B4" s="372" t="inlineStr">
        <is>
          <t>Приложение № 10</t>
        </is>
      </c>
    </row>
    <row r="5" ht="18.75" customHeight="1" s="343">
      <c r="B5" s="258" t="n"/>
    </row>
    <row r="6" ht="15.75" customHeight="1" s="343">
      <c r="B6" s="373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7.25" customHeight="1" s="343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43">
      <c r="B10" s="377" t="n">
        <v>1</v>
      </c>
      <c r="C10" s="377" t="n">
        <v>2</v>
      </c>
      <c r="D10" s="377" t="n">
        <v>3</v>
      </c>
    </row>
    <row r="11" ht="45" customHeight="1" s="343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01.04.2023г. №17772-ИФ/09 прил.9</t>
        </is>
      </c>
      <c r="D11" s="377" t="n">
        <v>46.83</v>
      </c>
    </row>
    <row r="12" ht="31.5" customHeight="1" s="343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01.04.2023г. №17772-ИФ/09 прил.9</t>
        </is>
      </c>
      <c r="D12" s="377" t="n">
        <v>11.79</v>
      </c>
    </row>
    <row r="13" ht="31.5" customHeight="1" s="343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01.04.2023г. №17772-ИФ/09 прил.9</t>
        </is>
      </c>
      <c r="D13" s="377" t="n">
        <v>9.140000000000001</v>
      </c>
    </row>
    <row r="14" ht="30.75" customHeight="1" s="343">
      <c r="B14" s="377" t="inlineStr">
        <is>
          <t>Индекс изменения сметной стоимости на 1 квартал 2023 года. ОБ</t>
        </is>
      </c>
      <c r="C14" s="174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43">
      <c r="B15" s="377" t="inlineStr">
        <is>
          <t>Временные здания и сооружения</t>
        </is>
      </c>
      <c r="C15" s="377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9" t="n">
        <v>0.033</v>
      </c>
    </row>
    <row r="16" ht="78.75" customHeight="1" s="343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9" t="n">
        <v>0.01</v>
      </c>
      <c r="F16" s="259" t="n"/>
      <c r="G16" s="259" t="n"/>
    </row>
    <row r="17" ht="31.5" customHeight="1" s="343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89" t="n">
        <v>0.0214</v>
      </c>
    </row>
    <row r="18" ht="31.5" customHeight="1" s="343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89" t="n">
        <v>0.002</v>
      </c>
    </row>
    <row r="19" ht="24" customHeight="1" s="343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89" t="n">
        <v>0.03</v>
      </c>
    </row>
    <row r="20" ht="18.75" customHeight="1" s="343">
      <c r="B20" s="271" t="n"/>
    </row>
    <row r="21" ht="18.75" customHeight="1" s="343">
      <c r="B21" s="271" t="n"/>
    </row>
    <row r="22" ht="18.75" customHeight="1" s="343">
      <c r="B22" s="271" t="n"/>
    </row>
    <row r="23" ht="18.75" customHeight="1" s="343">
      <c r="B23" s="271" t="n"/>
    </row>
    <row r="26">
      <c r="B26" s="350" t="inlineStr">
        <is>
          <t>Составил ______________________        Д.Ю. Нефедова</t>
        </is>
      </c>
      <c r="C26" s="351" t="n"/>
    </row>
    <row r="27">
      <c r="B27" s="353" t="inlineStr">
        <is>
          <t xml:space="preserve">                         (подпись, инициалы, фамилия)</t>
        </is>
      </c>
      <c r="C27" s="351" t="n"/>
    </row>
    <row r="28">
      <c r="B28" s="350" t="n"/>
      <c r="C28" s="351" t="n"/>
    </row>
    <row r="29">
      <c r="B29" s="350" t="inlineStr">
        <is>
          <t>Проверил ______________________        А.В. Костянецкая</t>
        </is>
      </c>
      <c r="C29" s="351" t="n"/>
    </row>
    <row r="30">
      <c r="B30" s="353" t="inlineStr">
        <is>
          <t xml:space="preserve">                        (подпись, инициалы, фамилия)</t>
        </is>
      </c>
      <c r="C30" s="3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4.4"/>
  <cols>
    <col width="9.109375" customWidth="1" style="343" min="1" max="1"/>
    <col width="44.88671875" customWidth="1" style="343" min="2" max="2"/>
    <col width="13" customWidth="1" style="343" min="3" max="3"/>
    <col width="22.88671875" customWidth="1" style="343" min="4" max="4"/>
    <col width="21.5546875" customWidth="1" style="343" min="5" max="5"/>
    <col width="43.88671875" customWidth="1" style="343" min="6" max="6"/>
    <col width="9.109375" customWidth="1" style="343" min="7" max="7"/>
  </cols>
  <sheetData>
    <row r="2" ht="17.25" customHeight="1" s="343">
      <c r="A2" s="37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3">
      <c r="A4" s="160" t="inlineStr">
        <is>
          <t>Составлен в уровне цен на 01.01.2023 г.</t>
        </is>
      </c>
      <c r="B4" s="346" t="n"/>
      <c r="C4" s="346" t="n"/>
      <c r="D4" s="346" t="n"/>
      <c r="E4" s="346" t="n"/>
      <c r="F4" s="346" t="n"/>
      <c r="G4" s="346" t="n"/>
    </row>
    <row r="5" ht="15.75" customHeight="1" s="343">
      <c r="A5" s="355" t="inlineStr">
        <is>
          <t>№ пп.</t>
        </is>
      </c>
      <c r="B5" s="355" t="inlineStr">
        <is>
          <t>Наименование элемента</t>
        </is>
      </c>
      <c r="C5" s="355" t="inlineStr">
        <is>
          <t>Обозначение</t>
        </is>
      </c>
      <c r="D5" s="355" t="inlineStr">
        <is>
          <t>Формула</t>
        </is>
      </c>
      <c r="E5" s="355" t="inlineStr">
        <is>
          <t>Величина элемента</t>
        </is>
      </c>
      <c r="F5" s="355" t="inlineStr">
        <is>
          <t>Наименования обосновывающих документов</t>
        </is>
      </c>
      <c r="G5" s="346" t="n"/>
    </row>
    <row r="6" ht="15.75" customHeight="1" s="343">
      <c r="A6" s="355" t="n">
        <v>1</v>
      </c>
      <c r="B6" s="355" t="n">
        <v>2</v>
      </c>
      <c r="C6" s="355" t="n">
        <v>3</v>
      </c>
      <c r="D6" s="355" t="n">
        <v>4</v>
      </c>
      <c r="E6" s="355" t="n">
        <v>5</v>
      </c>
      <c r="F6" s="355" t="n">
        <v>6</v>
      </c>
      <c r="G6" s="346" t="n"/>
    </row>
    <row r="7" ht="110.25" customHeight="1" s="343">
      <c r="A7" s="163" t="inlineStr">
        <is>
          <t>1.1</t>
        </is>
      </c>
      <c r="B7" s="1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49" t="n">
        <v>47872.94</v>
      </c>
      <c r="F7" s="1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6" t="n"/>
    </row>
    <row r="8" ht="31.5" customHeight="1" s="343">
      <c r="A8" s="163" t="inlineStr">
        <is>
          <t>1.2</t>
        </is>
      </c>
      <c r="B8" s="166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49">
        <f>1973/12</f>
        <v/>
      </c>
      <c r="F8" s="166" t="inlineStr">
        <is>
          <t>Производственный календарь 2023 год
(40-часов.неделя)</t>
        </is>
      </c>
      <c r="G8" s="168" t="n"/>
    </row>
    <row r="9" ht="15.75" customHeight="1" s="343">
      <c r="A9" s="163" t="inlineStr">
        <is>
          <t>1.3</t>
        </is>
      </c>
      <c r="B9" s="166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49" t="n">
        <v>1</v>
      </c>
      <c r="F9" s="166" t="n"/>
      <c r="G9" s="168" t="n"/>
    </row>
    <row r="10" ht="15.75" customHeight="1" s="343">
      <c r="A10" s="163" t="inlineStr">
        <is>
          <t>1.4</t>
        </is>
      </c>
      <c r="B10" s="166" t="inlineStr">
        <is>
          <t>Средний разряд работ</t>
        </is>
      </c>
      <c r="C10" s="377" t="n"/>
      <c r="D10" s="377" t="n"/>
      <c r="E10" s="293" t="n">
        <v>4.1</v>
      </c>
      <c r="F10" s="166" t="inlineStr">
        <is>
          <t>РТМ</t>
        </is>
      </c>
      <c r="G10" s="168" t="n"/>
    </row>
    <row r="11" ht="78.75" customHeight="1" s="343">
      <c r="A11" s="163" t="inlineStr">
        <is>
          <t>1.5</t>
        </is>
      </c>
      <c r="B11" s="166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294" t="n">
        <v>1.359</v>
      </c>
      <c r="F11" s="1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6" t="n"/>
    </row>
    <row r="12" ht="78.75" customHeight="1" s="343">
      <c r="A12" s="163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295" t="n">
        <v>1.139</v>
      </c>
      <c r="F12" s="17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3">
      <c r="A13" s="163" t="inlineStr">
        <is>
          <t>1.7</t>
        </is>
      </c>
      <c r="B13" s="171" t="inlineStr">
        <is>
          <t>Размер средств на оплату труда рабочих-строителей в текущем уровне цен (ФОТр.тек.), руб/чел.-ч</t>
        </is>
      </c>
      <c r="C13" s="377" t="inlineStr">
        <is>
          <t>ФОТр.тек.</t>
        </is>
      </c>
      <c r="D13" s="377" t="inlineStr">
        <is>
          <t>(С1ср/tср*КТ*Т*Кув)*Кинф</t>
        </is>
      </c>
      <c r="E13" s="296">
        <f>((E7*E9/E8)*E11)*E12</f>
        <v/>
      </c>
      <c r="F13" s="1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2025-01-24T12:10:08Z</dcterms:modified>
  <cp:lastModifiedBy>user1</cp:lastModifiedBy>
</cp:coreProperties>
</file>