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70" fontId="4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169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6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14" min="1" max="2"/>
    <col width="36.88671875" customWidth="1" style="314" min="3" max="3"/>
    <col width="36.5546875" customWidth="1" style="314" min="4" max="4"/>
    <col width="37.44140625" customWidth="1" style="314" min="5" max="5"/>
    <col width="9.109375" customWidth="1" style="314" min="6" max="6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>
      <c r="B5" s="251" t="n"/>
      <c r="C5" s="251" t="n"/>
      <c r="D5" s="251" t="n"/>
    </row>
    <row r="6">
      <c r="B6" s="251" t="n"/>
      <c r="C6" s="251" t="n"/>
      <c r="D6" s="251" t="n"/>
    </row>
    <row r="7">
      <c r="B7" s="333" t="inlineStr">
        <is>
          <t>Наименование разрабатываемого показателя УНЦ — Опоры ВЛ 0,4 - 750 кВ. Одноцепная, все типы опор за исключением многогранных 500 кВ.</t>
        </is>
      </c>
      <c r="E7" s="250" t="n"/>
    </row>
    <row r="8" ht="31.5" customHeight="1" s="311">
      <c r="B8" s="333" t="inlineStr">
        <is>
          <t>Сопоставимый уровень цен: 1 кв 2022</t>
        </is>
      </c>
    </row>
    <row r="9">
      <c r="B9" s="333" t="inlineStr">
        <is>
          <t>Единица измерения  — 1 км</t>
        </is>
      </c>
      <c r="E9" s="250" t="n"/>
    </row>
    <row r="10">
      <c r="B10" s="333" t="n"/>
    </row>
    <row r="11">
      <c r="B11" s="339" t="inlineStr">
        <is>
          <t>№ п/п</t>
        </is>
      </c>
      <c r="C11" s="339" t="inlineStr">
        <is>
          <t>Параметр</t>
        </is>
      </c>
      <c r="D11" s="245" t="inlineStr">
        <is>
          <t>Объект-представитель 1</t>
        </is>
      </c>
      <c r="E11" s="250" t="n"/>
    </row>
    <row r="12" ht="297.6" customHeight="1" s="311">
      <c r="B12" s="339" t="n">
        <v>1</v>
      </c>
      <c r="C12" s="245" t="inlineStr">
        <is>
          <t>Наименование объекта-представителя</t>
        </is>
      </c>
      <c r="D12" s="339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</row>
    <row r="13" ht="31.5" customHeight="1" s="311">
      <c r="B13" s="339" t="n">
        <v>2</v>
      </c>
      <c r="C13" s="245" t="inlineStr">
        <is>
          <t>Наименование субъекта Российской Федерации</t>
        </is>
      </c>
      <c r="D13" s="322" t="inlineStr">
        <is>
          <t>Иркутская область</t>
        </is>
      </c>
    </row>
    <row r="14">
      <c r="B14" s="339" t="n">
        <v>3</v>
      </c>
      <c r="C14" s="245" t="inlineStr">
        <is>
          <t>Климатический район и подрайон</t>
        </is>
      </c>
      <c r="D14" s="322" t="inlineStr">
        <is>
          <t>IА</t>
        </is>
      </c>
    </row>
    <row r="15">
      <c r="B15" s="339" t="n">
        <v>4</v>
      </c>
      <c r="C15" s="245" t="inlineStr">
        <is>
          <t>Мощность объекта</t>
        </is>
      </c>
      <c r="D15" s="322" t="n">
        <v>295</v>
      </c>
    </row>
    <row r="16" ht="155.4" customHeight="1" s="311">
      <c r="B16" s="3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2" t="inlineStr">
        <is>
          <t>ригели Р1-А - 2348 шт
Ф3-2 - 16 шт
Ф6-4 - 1616 шт
ФП6-4 - 64 шт
Ф3-А5м- 576 шт
Ф5-А5м - 144 шт
ФП5-А5м - 72 шт
Ф6-А5м - 36 шт
Плиты ПН1-А - 72 шт
Линейная арматура</t>
        </is>
      </c>
    </row>
    <row r="17" ht="78.75" customHeight="1" s="311">
      <c r="B17" s="3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SUM(D18:D21)</f>
        <v/>
      </c>
      <c r="E17" s="246" t="n"/>
    </row>
    <row r="18">
      <c r="B18" s="249" t="inlineStr">
        <is>
          <t>6.1</t>
        </is>
      </c>
      <c r="C18" s="245" t="inlineStr">
        <is>
          <t>строительно-монтажные работы</t>
        </is>
      </c>
      <c r="D18" s="323">
        <f>'Прил.2 Расч стоим'!F14</f>
        <v/>
      </c>
    </row>
    <row r="19" ht="15.75" customHeight="1" s="311">
      <c r="B19" s="249" t="inlineStr">
        <is>
          <t>6.2</t>
        </is>
      </c>
      <c r="C19" s="245" t="inlineStr">
        <is>
          <t>оборудование и инвентарь</t>
        </is>
      </c>
      <c r="D19" s="323" t="inlineStr">
        <is>
          <t>-</t>
        </is>
      </c>
    </row>
    <row r="20" ht="16.5" customHeight="1" s="311">
      <c r="B20" s="249" t="inlineStr">
        <is>
          <t>6.3</t>
        </is>
      </c>
      <c r="C20" s="245" t="inlineStr">
        <is>
          <t>пусконаладочные работы</t>
        </is>
      </c>
      <c r="D20" s="323" t="inlineStr">
        <is>
          <t>-</t>
        </is>
      </c>
    </row>
    <row r="21" ht="35.25" customHeight="1" s="311">
      <c r="B21" s="249" t="inlineStr">
        <is>
          <t>6.4</t>
        </is>
      </c>
      <c r="C21" s="248" t="inlineStr">
        <is>
          <t>прочие и лимитированные затраты</t>
        </is>
      </c>
      <c r="D21" s="323" t="n"/>
    </row>
    <row r="22">
      <c r="B22" s="339" t="n">
        <v>7</v>
      </c>
      <c r="C22" s="248" t="inlineStr">
        <is>
          <t>Сопоставимый уровень цен</t>
        </is>
      </c>
      <c r="D22" s="322" t="inlineStr">
        <is>
          <t>2 квартал 2022 года</t>
        </is>
      </c>
      <c r="E22" s="246" t="n"/>
    </row>
    <row r="23" ht="123" customHeight="1" s="311">
      <c r="B23" s="339" t="n">
        <v>8</v>
      </c>
      <c r="C23" s="2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</row>
    <row r="24" ht="60.75" customHeight="1" s="311">
      <c r="B24" s="3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46" t="n"/>
    </row>
    <row r="25">
      <c r="B25" s="339" t="n">
        <v>10</v>
      </c>
      <c r="C25" s="245" t="inlineStr">
        <is>
          <t>Примечание</t>
        </is>
      </c>
      <c r="D25" s="245" t="n"/>
    </row>
    <row r="26">
      <c r="B26" s="244" t="n"/>
      <c r="C26" s="243" t="n"/>
      <c r="D26" s="243" t="n"/>
    </row>
    <row r="27" ht="37.5" customHeight="1" s="311">
      <c r="B27" s="242" t="n"/>
    </row>
    <row r="28">
      <c r="B28" s="314" t="inlineStr">
        <is>
          <t>Составил ______________________        А.П. Николаева</t>
        </is>
      </c>
    </row>
    <row r="29">
      <c r="B29" s="242" t="inlineStr">
        <is>
          <t xml:space="preserve">                         (подпись, инициалы, фамилия)</t>
        </is>
      </c>
    </row>
    <row r="31">
      <c r="B31" s="314" t="inlineStr">
        <is>
          <t>Проверил ______________________        А.В. Костянецкая</t>
        </is>
      </c>
    </row>
    <row r="32">
      <c r="B32" s="242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5"/>
  <sheetViews>
    <sheetView view="pageBreakPreview" zoomScale="70" zoomScaleNormal="70" workbookViewId="0">
      <selection activeCell="C20" sqref="C20"/>
    </sheetView>
  </sheetViews>
  <sheetFormatPr baseColWidth="8" defaultColWidth="9.109375" defaultRowHeight="15.6"/>
  <cols>
    <col width="5.5546875" customWidth="1" style="314" min="1" max="1"/>
    <col width="9.109375" customWidth="1" style="314" min="2" max="2"/>
    <col width="35.33203125" customWidth="1" style="314" min="3" max="3"/>
    <col width="13.88671875" customWidth="1" style="314" min="4" max="4"/>
    <col width="24.88671875" customWidth="1" style="314" min="5" max="5"/>
    <col width="15.5546875" customWidth="1" style="314" min="6" max="6"/>
    <col width="14.88671875" customWidth="1" style="314" min="7" max="7"/>
    <col width="16.6640625" customWidth="1" style="314" min="8" max="8"/>
    <col width="13" customWidth="1" style="314" min="9" max="10"/>
    <col width="18" customWidth="1" style="314" min="11" max="11"/>
    <col width="9.109375" customWidth="1" style="314" min="12" max="12"/>
  </cols>
  <sheetData>
    <row r="3">
      <c r="B3" s="331" t="inlineStr">
        <is>
          <t>Приложение № 2</t>
        </is>
      </c>
      <c r="K3" s="242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 ht="15.75" customHeight="1" s="311">
      <c r="B6" s="338" t="inlineStr">
        <is>
          <t>Наименование разрабатываемого показателя УНЦ —  Опоры ВЛ 0,4 - 750 кВ. Одноцепная, все типы опор за исключением многогранных 500 кВ.</t>
        </is>
      </c>
      <c r="K6" s="242" t="n"/>
      <c r="L6" s="250" t="n"/>
    </row>
    <row r="7">
      <c r="B7" s="333" t="inlineStr">
        <is>
          <t>Единица измерения  — 1 км</t>
        </is>
      </c>
      <c r="L7" s="250" t="n"/>
    </row>
    <row r="8">
      <c r="B8" s="333" t="n"/>
    </row>
    <row r="9" ht="15.75" customHeight="1" s="311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21" t="n"/>
      <c r="F9" s="421" t="n"/>
      <c r="G9" s="421" t="n"/>
      <c r="H9" s="421" t="n"/>
      <c r="I9" s="421" t="n"/>
      <c r="J9" s="422" t="n"/>
    </row>
    <row r="10" ht="15.75" customHeight="1" s="311">
      <c r="B10" s="423" t="n"/>
      <c r="C10" s="423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2 кв. 2022 г., тыс. руб.</t>
        </is>
      </c>
      <c r="G10" s="421" t="n"/>
      <c r="H10" s="421" t="n"/>
      <c r="I10" s="421" t="n"/>
      <c r="J10" s="422" t="n"/>
    </row>
    <row r="11" ht="31.5" customHeight="1" s="311">
      <c r="B11" s="424" t="n"/>
      <c r="C11" s="424" t="n"/>
      <c r="D11" s="424" t="n"/>
      <c r="E11" s="424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 ht="126" customHeight="1" s="311">
      <c r="B12" s="270" t="n">
        <v>1</v>
      </c>
      <c r="C12" s="271" t="inlineStr">
        <is>
          <t>ПС500н-3 - 408 шт
ПС500н-3+5 - 12 шт
У500н-1 - 22 шт
У500н-1+5 - 31 шт
У500н-1+12 - 13 шт
УТ500н-1+5 - 2 шт
У2(С2)-Уту+25 - 1 шт
Общая масса 7867,596 т</t>
        </is>
      </c>
      <c r="D12" s="269" t="inlineStr">
        <is>
          <t>02.02-01-02</t>
        </is>
      </c>
      <c r="E12" s="245" t="inlineStr">
        <is>
          <t>Опоры. ВЛ 500 кВ Усть-Илимская ГЭС – Усть-Кут №3 (3 зона)</t>
        </is>
      </c>
      <c r="F12" s="265">
        <f>275447317.56/1000*10.67</f>
        <v/>
      </c>
      <c r="G12" s="254" t="n"/>
      <c r="H12" s="254" t="n"/>
      <c r="I12" s="254" t="n"/>
      <c r="J12" s="267">
        <f>SUM(F12:I12)</f>
        <v/>
      </c>
    </row>
    <row r="13" ht="15.75" customHeight="1" s="311">
      <c r="B13" s="337" t="inlineStr">
        <is>
          <t>Всего по объекту:</t>
        </is>
      </c>
      <c r="C13" s="421" t="n"/>
      <c r="D13" s="421" t="n"/>
      <c r="E13" s="422" t="n"/>
      <c r="F13" s="266">
        <f>SUM(F12:F12)</f>
        <v/>
      </c>
      <c r="G13" s="253" t="n"/>
      <c r="H13" s="253" t="n"/>
      <c r="I13" s="253" t="n"/>
      <c r="J13" s="268">
        <f>SUM(F13:I13)</f>
        <v/>
      </c>
    </row>
    <row r="14" ht="28.5" customHeight="1" s="311">
      <c r="B14" s="337" t="inlineStr">
        <is>
          <t>Всего по объекту в сопоставимом уровне цен 2 кв. 2022 г:</t>
        </is>
      </c>
      <c r="C14" s="421" t="n"/>
      <c r="D14" s="421" t="n"/>
      <c r="E14" s="422" t="n"/>
      <c r="F14" s="266">
        <f>F13</f>
        <v/>
      </c>
      <c r="G14" s="253" t="n"/>
      <c r="H14" s="253" t="n"/>
      <c r="I14" s="253" t="n"/>
      <c r="J14" s="268">
        <f>SUM(F14:I14)</f>
        <v/>
      </c>
    </row>
    <row r="17">
      <c r="B17" s="365" t="inlineStr">
        <is>
          <t>*</t>
        </is>
      </c>
      <c r="C17" s="314" t="inlineStr">
        <is>
          <t xml:space="preserve"> - стоимость с учетом исключения затрат на корректровку по транспортировке  свыше 30 км.</t>
        </is>
      </c>
    </row>
    <row r="21">
      <c r="B21" s="314" t="inlineStr">
        <is>
          <t>Составил ______________________        А.П. Николаева</t>
        </is>
      </c>
    </row>
    <row r="22">
      <c r="B22" s="242" t="inlineStr">
        <is>
          <t xml:space="preserve">                         (подпись, инициалы, фамилия)</t>
        </is>
      </c>
    </row>
    <row r="24">
      <c r="B24" s="314" t="inlineStr">
        <is>
          <t>Проверил ______________________        А.В. Костянецкая</t>
        </is>
      </c>
    </row>
    <row r="25">
      <c r="B25" s="242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2"/>
  <sheetViews>
    <sheetView view="pageBreakPreview" topLeftCell="A19" zoomScale="85" workbookViewId="0">
      <selection activeCell="C28" sqref="C28"/>
    </sheetView>
  </sheetViews>
  <sheetFormatPr baseColWidth="8" defaultColWidth="9.109375" defaultRowHeight="15.6"/>
  <cols>
    <col width="9.109375" customWidth="1" style="314" min="1" max="1"/>
    <col width="12.5546875" customWidth="1" style="314" min="2" max="2"/>
    <col width="22.44140625" customWidth="1" style="314" min="3" max="3"/>
    <col width="49.6640625" customWidth="1" style="314" min="4" max="4"/>
    <col width="10.109375" customWidth="1" style="314" min="5" max="5"/>
    <col width="20.6640625" customWidth="1" style="314" min="6" max="6"/>
    <col width="16.109375" customWidth="1" style="314" min="7" max="7"/>
    <col width="16.6640625" customWidth="1" style="314" min="8" max="8"/>
    <col width="9.109375" customWidth="1" style="314" min="9" max="9"/>
  </cols>
  <sheetData>
    <row r="2">
      <c r="A2" s="331" t="inlineStr">
        <is>
          <t xml:space="preserve">Приложение № 3 </t>
        </is>
      </c>
    </row>
    <row r="3">
      <c r="A3" s="332" t="inlineStr">
        <is>
          <t>Объектная ресурсная ведомость</t>
        </is>
      </c>
    </row>
    <row r="4">
      <c r="A4" s="333" t="n"/>
    </row>
    <row r="5">
      <c r="A5" s="338" t="inlineStr">
        <is>
          <t>Наименование разрабатываемого показателя УНЦ -  Опоры ВЛ 0,4 - 750 кВ. Одноцепная, все типы опор за исключением многогранных 500 кВ.</t>
        </is>
      </c>
    </row>
    <row r="6">
      <c r="A6" s="338" t="n"/>
      <c r="B6" s="338" t="n"/>
      <c r="C6" s="338" t="n"/>
      <c r="D6" s="338" t="n"/>
      <c r="E6" s="338" t="n"/>
      <c r="F6" s="338" t="n"/>
      <c r="G6" s="338" t="n"/>
      <c r="H6" s="338" t="n"/>
    </row>
    <row r="7" ht="38.25" customHeight="1" s="311">
      <c r="A7" s="339" t="inlineStr">
        <is>
          <t>п/п</t>
        </is>
      </c>
      <c r="B7" s="339" t="inlineStr">
        <is>
          <t>№ЛСР</t>
        </is>
      </c>
      <c r="C7" s="339" t="inlineStr">
        <is>
          <t>Код ресурса</t>
        </is>
      </c>
      <c r="D7" s="339" t="inlineStr">
        <is>
          <t>Наименование ресурса</t>
        </is>
      </c>
      <c r="E7" s="339" t="inlineStr">
        <is>
          <t>Ед. изм.</t>
        </is>
      </c>
      <c r="F7" s="339" t="inlineStr">
        <is>
          <t>Кол-во единиц по данным объекта-представителя</t>
        </is>
      </c>
      <c r="G7" s="339" t="inlineStr">
        <is>
          <t>Сметная стоимость в ценах на 01.01.2000 (руб.)</t>
        </is>
      </c>
      <c r="H7" s="422" t="n"/>
    </row>
    <row r="8" ht="40.5" customHeight="1" s="311">
      <c r="A8" s="424" t="n"/>
      <c r="B8" s="424" t="n"/>
      <c r="C8" s="424" t="n"/>
      <c r="D8" s="424" t="n"/>
      <c r="E8" s="424" t="n"/>
      <c r="F8" s="424" t="n"/>
      <c r="G8" s="339" t="inlineStr">
        <is>
          <t>на ед.изм.</t>
        </is>
      </c>
      <c r="H8" s="339" t="inlineStr">
        <is>
          <t>общая</t>
        </is>
      </c>
    </row>
    <row r="9">
      <c r="A9" s="264" t="n">
        <v>1</v>
      </c>
      <c r="B9" s="264" t="n"/>
      <c r="C9" s="264" t="n">
        <v>2</v>
      </c>
      <c r="D9" s="264" t="inlineStr">
        <is>
          <t>З</t>
        </is>
      </c>
      <c r="E9" s="264" t="n">
        <v>4</v>
      </c>
      <c r="F9" s="264" t="n">
        <v>5</v>
      </c>
      <c r="G9" s="264" t="n">
        <v>6</v>
      </c>
      <c r="H9" s="264" t="n">
        <v>7</v>
      </c>
    </row>
    <row r="10" customFormat="1" s="312">
      <c r="A10" s="340" t="inlineStr">
        <is>
          <t>Затраты труда рабочих</t>
        </is>
      </c>
      <c r="B10" s="421" t="n"/>
      <c r="C10" s="421" t="n"/>
      <c r="D10" s="421" t="n"/>
      <c r="E10" s="422" t="n"/>
      <c r="F10" s="260">
        <f>SUM(F11:F11)</f>
        <v/>
      </c>
      <c r="G10" s="260" t="n"/>
      <c r="H10" s="260">
        <f>SUM(H11:H11)</f>
        <v/>
      </c>
      <c r="I10" s="314" t="n"/>
      <c r="J10" s="314" t="n"/>
      <c r="K10" s="314" t="n"/>
      <c r="L10" s="314" t="n"/>
      <c r="M10" s="314" t="n"/>
      <c r="N10" s="314" t="n"/>
    </row>
    <row r="11">
      <c r="A11" s="341" t="n">
        <v>1</v>
      </c>
      <c r="B11" s="263" t="inlineStr">
        <is>
          <t> </t>
        </is>
      </c>
      <c r="C11" s="262" t="inlineStr">
        <is>
          <t>1-4-2</t>
        </is>
      </c>
      <c r="D11" s="342" t="inlineStr">
        <is>
          <t>Затраты труда рабочих (ср 4,2)</t>
        </is>
      </c>
      <c r="E11" s="341" t="inlineStr">
        <is>
          <t>чел.-ч</t>
        </is>
      </c>
      <c r="F11" s="341" t="n">
        <v>98322.29625924</v>
      </c>
      <c r="G11" s="256" t="n">
        <v>9.92</v>
      </c>
      <c r="H11" s="256">
        <f>ROUND(F11*G11,2)</f>
        <v/>
      </c>
    </row>
    <row r="12">
      <c r="A12" s="340" t="inlineStr">
        <is>
          <t>Затраты труда машинистов</t>
        </is>
      </c>
      <c r="B12" s="421" t="n"/>
      <c r="C12" s="421" t="n"/>
      <c r="D12" s="421" t="n"/>
      <c r="E12" s="422" t="n"/>
      <c r="F12" s="340">
        <f>F13</f>
        <v/>
      </c>
      <c r="G12" s="260" t="n"/>
      <c r="H12" s="260">
        <f>H13</f>
        <v/>
      </c>
    </row>
    <row r="13">
      <c r="A13" s="341" t="n">
        <v>2</v>
      </c>
      <c r="B13" s="341" t="inlineStr">
        <is>
          <t> </t>
        </is>
      </c>
      <c r="C13" s="342" t="n">
        <v>2</v>
      </c>
      <c r="D13" s="342" t="inlineStr">
        <is>
          <t>Затраты труда машинистов</t>
        </is>
      </c>
      <c r="E13" s="341" t="inlineStr">
        <is>
          <t>чел.-ч</t>
        </is>
      </c>
      <c r="F13" s="341" t="n">
        <v>166533.40623184</v>
      </c>
      <c r="G13" s="256" t="n">
        <v>0</v>
      </c>
      <c r="H13" s="256" t="n">
        <v>1058739.8</v>
      </c>
    </row>
    <row r="14" customFormat="1" s="312">
      <c r="A14" s="340" t="inlineStr">
        <is>
          <t>Машины и механизмы</t>
        </is>
      </c>
      <c r="B14" s="421" t="n"/>
      <c r="C14" s="421" t="n"/>
      <c r="D14" s="421" t="n"/>
      <c r="E14" s="422" t="n"/>
      <c r="F14" s="340" t="n"/>
      <c r="G14" s="260" t="n"/>
      <c r="H14" s="260">
        <f>SUM(H15:H21)</f>
        <v/>
      </c>
      <c r="I14" s="314" t="n"/>
      <c r="J14" s="314" t="n"/>
      <c r="K14" s="314" t="n"/>
      <c r="L14" s="314" t="n"/>
      <c r="M14" s="314" t="n"/>
      <c r="N14" s="314" t="n"/>
    </row>
    <row r="15" ht="31.5" customHeight="1" s="311">
      <c r="A15" s="341" t="n">
        <v>3</v>
      </c>
      <c r="B15" s="341" t="inlineStr">
        <is>
          <t> </t>
        </is>
      </c>
      <c r="C15" s="342" t="inlineStr">
        <is>
          <t>91.15.02-029</t>
        </is>
      </c>
      <c r="D15" s="342" t="inlineStr">
        <is>
          <t>Тракторы на гусеничном ходу с лебедкой 132 кВт (180 л.с.)</t>
        </is>
      </c>
      <c r="E15" s="341" t="inlineStr">
        <is>
          <t>маш.час</t>
        </is>
      </c>
      <c r="F15" s="341" t="n">
        <v>61698.728797865</v>
      </c>
      <c r="G15" s="256" t="n">
        <v>147.43</v>
      </c>
      <c r="H15" s="256">
        <f>ROUND(F15*G15,2)</f>
        <v/>
      </c>
    </row>
    <row r="16" ht="31.5" customFormat="1" customHeight="1" s="312">
      <c r="A16" s="341" t="n">
        <v>4</v>
      </c>
      <c r="B16" s="341" t="inlineStr">
        <is>
          <t> </t>
        </is>
      </c>
      <c r="C16" s="342" t="inlineStr">
        <is>
          <t>91.13.03-111</t>
        </is>
      </c>
      <c r="D16" s="342" t="inlineStr">
        <is>
          <t>Спецавтомобили-вездеходы, грузоподъемность до 8 т</t>
        </is>
      </c>
      <c r="E16" s="341" t="inlineStr">
        <is>
          <t>маш.час</t>
        </is>
      </c>
      <c r="F16" s="341" t="n">
        <v>35234.563294006</v>
      </c>
      <c r="G16" s="256" t="n">
        <v>189.95</v>
      </c>
      <c r="H16" s="256">
        <f>ROUND(F16*G16,2)</f>
        <v/>
      </c>
      <c r="I16" s="314" t="n"/>
      <c r="J16" s="314" t="n"/>
      <c r="K16" s="314" t="n"/>
      <c r="L16" s="314" t="n"/>
      <c r="M16" s="314" t="n"/>
      <c r="N16" s="314" t="n"/>
    </row>
    <row r="17" ht="63" customFormat="1" customHeight="1" s="312">
      <c r="A17" s="341" t="n">
        <v>5</v>
      </c>
      <c r="B17" s="341" t="inlineStr">
        <is>
          <t> </t>
        </is>
      </c>
      <c r="C17" s="342" t="inlineStr">
        <is>
          <t>91.05.14-516</t>
        </is>
      </c>
      <c r="D17" s="342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7" s="341" t="inlineStr">
        <is>
          <t>маш.час</t>
        </is>
      </c>
      <c r="F17" s="341" t="n">
        <v>41143.594161934</v>
      </c>
      <c r="G17" s="256" t="n">
        <v>77.64</v>
      </c>
      <c r="H17" s="256">
        <f>ROUND(F17*G17,2)</f>
        <v/>
      </c>
      <c r="I17" s="314" t="n"/>
      <c r="J17" s="314" t="n"/>
      <c r="K17" s="314" t="n"/>
      <c r="L17" s="314" t="n"/>
      <c r="M17" s="314" t="n"/>
      <c r="N17" s="314" t="n"/>
    </row>
    <row r="18" ht="31.5" customFormat="1" customHeight="1" s="312">
      <c r="A18" s="341" t="n">
        <v>6</v>
      </c>
      <c r="B18" s="341" t="inlineStr">
        <is>
          <t> </t>
        </is>
      </c>
      <c r="C18" s="342" t="inlineStr">
        <is>
          <t>91.05.05-015</t>
        </is>
      </c>
      <c r="D18" s="342" t="inlineStr">
        <is>
          <t>Краны на автомобильном ходу, грузоподъемность 16 т</t>
        </is>
      </c>
      <c r="E18" s="341" t="inlineStr">
        <is>
          <t>маш.час</t>
        </is>
      </c>
      <c r="F18" s="341" t="n">
        <v>12574.037065524</v>
      </c>
      <c r="G18" s="256" t="n">
        <v>115.4</v>
      </c>
      <c r="H18" s="256">
        <f>ROUND(F18*G18,2)</f>
        <v/>
      </c>
      <c r="I18" s="314" t="n"/>
      <c r="J18" s="314" t="n"/>
      <c r="K18" s="314" t="n"/>
      <c r="L18" s="314" t="n"/>
      <c r="M18" s="314" t="n"/>
      <c r="N18" s="314" t="n"/>
    </row>
    <row r="19" ht="47.25" customFormat="1" customHeight="1" s="312">
      <c r="A19" s="341" t="n">
        <v>7</v>
      </c>
      <c r="B19" s="341" t="inlineStr">
        <is>
          <t> </t>
        </is>
      </c>
      <c r="C19" s="342" t="inlineStr">
        <is>
          <t>91.18.01-007</t>
        </is>
      </c>
      <c r="D19" s="3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9" s="341" t="inlineStr">
        <is>
          <t>маш.час</t>
        </is>
      </c>
      <c r="F19" s="341" t="n">
        <v>15882.482912512</v>
      </c>
      <c r="G19" s="256" t="n">
        <v>90</v>
      </c>
      <c r="H19" s="256">
        <f>ROUND(F19*G19,2)</f>
        <v/>
      </c>
      <c r="I19" s="314" t="n"/>
      <c r="J19" s="314" t="n"/>
      <c r="K19" s="314" t="n"/>
      <c r="L19" s="314" t="n"/>
      <c r="M19" s="314" t="n"/>
      <c r="N19" s="314" t="n"/>
    </row>
    <row r="20" ht="31.5" customFormat="1" customHeight="1" s="312">
      <c r="A20" s="341" t="n">
        <v>8</v>
      </c>
      <c r="B20" s="341" t="inlineStr">
        <is>
          <t> </t>
        </is>
      </c>
      <c r="C20" s="342" t="inlineStr">
        <is>
          <t>91.06.09-101</t>
        </is>
      </c>
      <c r="D20" s="342" t="inlineStr">
        <is>
          <t>Стрелы монтажные А-образные для подъема опор ВЛ, высота до 22 м</t>
        </is>
      </c>
      <c r="E20" s="341" t="inlineStr">
        <is>
          <t>маш.час</t>
        </is>
      </c>
      <c r="F20" s="341" t="n">
        <v>11576.927139491</v>
      </c>
      <c r="G20" s="256" t="n">
        <v>6.24</v>
      </c>
      <c r="H20" s="256">
        <f>ROUND(F20*G20,2)</f>
        <v/>
      </c>
      <c r="I20" s="314" t="n"/>
      <c r="J20" s="314" t="n"/>
      <c r="K20" s="314" t="n"/>
      <c r="L20" s="314" t="n"/>
      <c r="M20" s="314" t="n"/>
      <c r="N20" s="314" t="n"/>
    </row>
    <row r="21" ht="31.5" customFormat="1" customHeight="1" s="312">
      <c r="A21" s="341" t="n">
        <v>9</v>
      </c>
      <c r="B21" s="341" t="inlineStr">
        <is>
          <t> </t>
        </is>
      </c>
      <c r="C21" s="342" t="inlineStr">
        <is>
          <t>91.06.01-002</t>
        </is>
      </c>
      <c r="D21" s="342" t="inlineStr">
        <is>
          <t>Домкраты гидравлические, грузоподъемность 6,3-25 т</t>
        </is>
      </c>
      <c r="E21" s="341" t="inlineStr">
        <is>
          <t>маш.час</t>
        </is>
      </c>
      <c r="F21" s="341" t="n">
        <v>41142.659539736</v>
      </c>
      <c r="G21" s="256" t="n">
        <v>0.48</v>
      </c>
      <c r="H21" s="256">
        <f>ROUND(F21*G21,2)</f>
        <v/>
      </c>
      <c r="I21" s="314" t="n"/>
      <c r="J21" s="314" t="n"/>
      <c r="K21" s="314" t="n"/>
      <c r="L21" s="314" t="n"/>
      <c r="M21" s="314" t="n"/>
      <c r="N21" s="314" t="n"/>
    </row>
    <row r="22">
      <c r="A22" s="340" t="inlineStr">
        <is>
          <t>Материалы</t>
        </is>
      </c>
      <c r="B22" s="421" t="n"/>
      <c r="C22" s="421" t="n"/>
      <c r="D22" s="421" t="n"/>
      <c r="E22" s="422" t="n"/>
      <c r="F22" s="340" t="n"/>
      <c r="G22" s="260" t="n"/>
      <c r="H22" s="260">
        <f>SUM(H23:H25)</f>
        <v/>
      </c>
    </row>
    <row r="23" ht="47.25" customHeight="1" s="311">
      <c r="A23" s="341" t="n">
        <v>10</v>
      </c>
      <c r="B23" s="341" t="inlineStr">
        <is>
          <t> </t>
        </is>
      </c>
      <c r="C23" s="342" t="inlineStr">
        <is>
          <t>Прайс из СД ОП</t>
        </is>
      </c>
      <c r="D23" s="342" t="inlineStr">
        <is>
          <t>Опоры решетчатые линий электропередачи оцинкованные, 500 кВ, промежуточные, одностоечные, свободностоящие</t>
        </is>
      </c>
      <c r="E23" s="341" t="inlineStr">
        <is>
          <t>т</t>
        </is>
      </c>
      <c r="F23" s="341" t="n">
        <v>9496.370000000001</v>
      </c>
      <c r="G23" s="256" t="n">
        <v>25580.08</v>
      </c>
      <c r="H23" s="256">
        <f>ROUND(F23*G23,2)</f>
        <v/>
      </c>
    </row>
    <row r="24" ht="63" customHeight="1" s="311">
      <c r="A24" s="341" t="n">
        <v>11</v>
      </c>
      <c r="B24" s="341" t="inlineStr">
        <is>
          <t> </t>
        </is>
      </c>
      <c r="C24" s="342" t="inlineStr">
        <is>
          <t>Прайс из СД ОП</t>
        </is>
      </c>
      <c r="D24" s="342" t="inlineStr">
        <is>
          <t>Опоры решетчатые линий электропередачи новой унификации, оцинкованные, 500 кВ, анкерно-угловые, трехстоечные, свободностоящие</t>
        </is>
      </c>
      <c r="E24" s="341" t="inlineStr">
        <is>
          <t>т</t>
        </is>
      </c>
      <c r="F24" s="341" t="n">
        <v>7023.967</v>
      </c>
      <c r="G24" s="256" t="n">
        <v>26312.39</v>
      </c>
      <c r="H24" s="256">
        <f>ROUND(F24*G24,2)</f>
        <v/>
      </c>
    </row>
    <row r="25" ht="31.5" customHeight="1" s="311">
      <c r="A25" s="341" t="n">
        <v>12</v>
      </c>
      <c r="B25" s="341" t="inlineStr">
        <is>
          <t> </t>
        </is>
      </c>
      <c r="C25" s="342" t="inlineStr">
        <is>
          <t>01.7.15.03-0035</t>
        </is>
      </c>
      <c r="D25" s="342" t="inlineStr">
        <is>
          <t>Болты с гайками и шайбами оцинкованные, диаметр 20 мм</t>
        </is>
      </c>
      <c r="E25" s="341" t="inlineStr">
        <is>
          <t>кг</t>
        </is>
      </c>
      <c r="F25" s="341" t="n">
        <v>694511.529</v>
      </c>
      <c r="G25" s="256" t="n">
        <v>24.97</v>
      </c>
      <c r="H25" s="256">
        <f>ROUND(F25*G25,2)</f>
        <v/>
      </c>
    </row>
    <row r="28">
      <c r="B28" s="314" t="inlineStr">
        <is>
          <t>Составил ______________________        А.П. Николаева</t>
        </is>
      </c>
    </row>
    <row r="29">
      <c r="B29" s="242" t="inlineStr">
        <is>
          <t xml:space="preserve">                         (подпись, инициалы, фамилия)</t>
        </is>
      </c>
    </row>
    <row r="31">
      <c r="B31" s="314" t="inlineStr">
        <is>
          <t>Проверил ______________________        А.В. Костянецкая</t>
        </is>
      </c>
    </row>
    <row r="32">
      <c r="B32" s="242" t="inlineStr">
        <is>
          <t xml:space="preserve">                        (подпись, инициалы, фамилия)</t>
        </is>
      </c>
    </row>
  </sheetData>
  <mergeCells count="14">
    <mergeCell ref="A3:H3"/>
    <mergeCell ref="A12:E12"/>
    <mergeCell ref="G7:H7"/>
    <mergeCell ref="A14:E14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RowHeight="14.4"/>
  <cols>
    <col width="4.109375" customWidth="1" style="311" min="1" max="1"/>
    <col width="36.33203125" customWidth="1" style="311" min="2" max="2"/>
    <col width="18.88671875" customWidth="1" style="311" min="3" max="3"/>
    <col width="18.33203125" customWidth="1" style="311" min="4" max="4"/>
    <col width="18.88671875" customWidth="1" style="311" min="5" max="5"/>
    <col width="11.44140625" customWidth="1" style="311" min="6" max="6"/>
    <col width="14.44140625" customWidth="1" style="311" min="7" max="7"/>
    <col width="9.109375" customWidth="1" style="311" min="8" max="11"/>
    <col width="13.5546875" customWidth="1" style="311" min="12" max="12"/>
    <col width="9.109375" customWidth="1" style="311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70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24" t="inlineStr">
        <is>
          <t>Ресурсная модель</t>
        </is>
      </c>
    </row>
    <row r="6">
      <c r="B6" s="282" t="n"/>
      <c r="C6" s="318" t="n"/>
      <c r="D6" s="318" t="n"/>
      <c r="E6" s="318" t="n"/>
    </row>
    <row r="7" ht="25.5" customHeight="1" s="311">
      <c r="B7" s="336" t="inlineStr">
        <is>
          <t>Наименование разрабатываемого показателя УНЦ — Опоры ВЛ 0,4 - 750 кВ. Одноцепная, все типы опор за исключением многогранных 500 кВ.</t>
        </is>
      </c>
    </row>
    <row r="8">
      <c r="B8" s="343" t="inlineStr">
        <is>
          <t>Единица измерения  — 1 км</t>
        </is>
      </c>
    </row>
    <row r="9">
      <c r="B9" s="282" t="n"/>
      <c r="C9" s="318" t="n"/>
      <c r="D9" s="318" t="n"/>
      <c r="E9" s="318" t="n"/>
    </row>
    <row r="10" ht="51" customHeight="1" s="311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74" t="inlineStr">
        <is>
          <t>Оплата труда рабочих</t>
        </is>
      </c>
      <c r="C11" s="275">
        <f>'Прил.5 Расчет СМР и ОБ'!J15</f>
        <v/>
      </c>
      <c r="D11" s="276">
        <f>C11/$C$24</f>
        <v/>
      </c>
      <c r="E11" s="276">
        <f>C11/$C$40</f>
        <v/>
      </c>
    </row>
    <row r="12">
      <c r="B12" s="274" t="inlineStr">
        <is>
          <t>Эксплуатация машин основных</t>
        </is>
      </c>
      <c r="C12" s="275">
        <f>'Прил.5 Расчет СМР и ОБ'!J23</f>
        <v/>
      </c>
      <c r="D12" s="276">
        <f>C12/$C$24</f>
        <v/>
      </c>
      <c r="E12" s="276">
        <f>C12/$C$40</f>
        <v/>
      </c>
    </row>
    <row r="13">
      <c r="B13" s="274" t="inlineStr">
        <is>
          <t>Эксплуатация машин прочих</t>
        </is>
      </c>
      <c r="C13" s="275">
        <f>'Прил.5 Расчет СМР и ОБ'!J28</f>
        <v/>
      </c>
      <c r="D13" s="276">
        <f>C13/$C$24</f>
        <v/>
      </c>
      <c r="E13" s="276">
        <f>C13/$C$40</f>
        <v/>
      </c>
    </row>
    <row r="14">
      <c r="B14" s="274" t="inlineStr">
        <is>
          <t>ЭКСПЛУАТАЦИЯ МАШИН, ВСЕГО:</t>
        </is>
      </c>
      <c r="C14" s="275">
        <f>C13+C12</f>
        <v/>
      </c>
      <c r="D14" s="276">
        <f>C14/$C$24</f>
        <v/>
      </c>
      <c r="E14" s="276">
        <f>C14/$C$40</f>
        <v/>
      </c>
    </row>
    <row r="15">
      <c r="B15" s="274" t="inlineStr">
        <is>
          <t>в том числе зарплата машинистов</t>
        </is>
      </c>
      <c r="C15" s="275">
        <f>'Прил.5 Расчет СМР и ОБ'!J17</f>
        <v/>
      </c>
      <c r="D15" s="276">
        <f>C15/$C$24</f>
        <v/>
      </c>
      <c r="E15" s="276">
        <f>C15/$C$40</f>
        <v/>
      </c>
    </row>
    <row r="16">
      <c r="B16" s="274" t="inlineStr">
        <is>
          <t>Материалы основные</t>
        </is>
      </c>
      <c r="C16" s="275">
        <f>'Прил.5 Расчет СМР и ОБ'!J40</f>
        <v/>
      </c>
      <c r="D16" s="276">
        <f>C16/$C$24</f>
        <v/>
      </c>
      <c r="E16" s="276">
        <f>C16/$C$40</f>
        <v/>
      </c>
    </row>
    <row r="17">
      <c r="B17" s="274" t="inlineStr">
        <is>
          <t>Материалы прочие</t>
        </is>
      </c>
      <c r="C17" s="275">
        <f>'Прил.5 Расчет СМР и ОБ'!J42</f>
        <v/>
      </c>
      <c r="D17" s="276">
        <f>C17/$C$24</f>
        <v/>
      </c>
      <c r="E17" s="276">
        <f>C17/$C$40</f>
        <v/>
      </c>
      <c r="G17" s="280" t="n"/>
    </row>
    <row r="18">
      <c r="B18" s="274" t="inlineStr">
        <is>
          <t>МАТЕРИАЛЫ, ВСЕГО:</t>
        </is>
      </c>
      <c r="C18" s="275">
        <f>C17+C16</f>
        <v/>
      </c>
      <c r="D18" s="276">
        <f>C18/$C$24</f>
        <v/>
      </c>
      <c r="E18" s="276">
        <f>C18/$C$40</f>
        <v/>
      </c>
    </row>
    <row r="19">
      <c r="B19" s="274" t="inlineStr">
        <is>
          <t>ИТОГО</t>
        </is>
      </c>
      <c r="C19" s="275">
        <f>C18+C14+C11</f>
        <v/>
      </c>
      <c r="D19" s="276" t="n"/>
      <c r="E19" s="274" t="n"/>
    </row>
    <row r="20">
      <c r="B20" s="274" t="inlineStr">
        <is>
          <t>Сметная прибыль, руб.</t>
        </is>
      </c>
      <c r="C20" s="275">
        <f>ROUND(C21*(C11+C15),2)</f>
        <v/>
      </c>
      <c r="D20" s="276">
        <f>C20/$C$24</f>
        <v/>
      </c>
      <c r="E20" s="276">
        <f>C20/$C$40</f>
        <v/>
      </c>
    </row>
    <row r="21">
      <c r="B21" s="274" t="inlineStr">
        <is>
          <t>Сметная прибыль, %</t>
        </is>
      </c>
      <c r="C21" s="279">
        <f>'Прил.5 Расчет СМР и ОБ'!D46</f>
        <v/>
      </c>
      <c r="D21" s="276" t="n"/>
      <c r="E21" s="274" t="n"/>
    </row>
    <row r="22">
      <c r="B22" s="274" t="inlineStr">
        <is>
          <t>Накладные расходы, руб.</t>
        </is>
      </c>
      <c r="C22" s="275">
        <f>ROUND(C23*(C11+C15),2)</f>
        <v/>
      </c>
      <c r="D22" s="276">
        <f>C22/$C$24</f>
        <v/>
      </c>
      <c r="E22" s="276">
        <f>C22/$C$40</f>
        <v/>
      </c>
    </row>
    <row r="23">
      <c r="B23" s="274" t="inlineStr">
        <is>
          <t>Накладные расходы, %</t>
        </is>
      </c>
      <c r="C23" s="279">
        <f>'Прил.5 Расчет СМР и ОБ'!D45</f>
        <v/>
      </c>
      <c r="D23" s="276" t="n"/>
      <c r="E23" s="274" t="n"/>
    </row>
    <row r="24">
      <c r="B24" s="274" t="inlineStr">
        <is>
          <t>ВСЕГО СМР с НР и СП</t>
        </is>
      </c>
      <c r="C24" s="275">
        <f>C19+C20+C22</f>
        <v/>
      </c>
      <c r="D24" s="276">
        <f>C24/$C$24</f>
        <v/>
      </c>
      <c r="E24" s="276">
        <f>C24/$C$40</f>
        <v/>
      </c>
    </row>
    <row r="25" ht="25.5" customHeight="1" s="311">
      <c r="B25" s="274" t="inlineStr">
        <is>
          <t>ВСЕГО стоимость оборудования, в том числе</t>
        </is>
      </c>
      <c r="C25" s="275">
        <f>'Прил.5 Расчет СМР и ОБ'!J34</f>
        <v/>
      </c>
      <c r="D25" s="276" t="n"/>
      <c r="E25" s="276">
        <f>C25/$C$40</f>
        <v/>
      </c>
    </row>
    <row r="26" ht="25.5" customHeight="1" s="311">
      <c r="B26" s="274" t="inlineStr">
        <is>
          <t>стоимость оборудования технологического</t>
        </is>
      </c>
      <c r="C26" s="275">
        <f>'Прил.5 Расчет СМР и ОБ'!J35</f>
        <v/>
      </c>
      <c r="D26" s="276" t="n"/>
      <c r="E26" s="276">
        <f>C26/$C$40</f>
        <v/>
      </c>
    </row>
    <row r="27">
      <c r="B27" s="274" t="inlineStr">
        <is>
          <t>ИТОГО (СМР + ОБОРУДОВАНИЕ)</t>
        </is>
      </c>
      <c r="C27" s="278">
        <f>C24+C25</f>
        <v/>
      </c>
      <c r="D27" s="276" t="n"/>
      <c r="E27" s="276">
        <f>C27/$C$40</f>
        <v/>
      </c>
    </row>
    <row r="28" ht="33" customHeight="1" s="311">
      <c r="B28" s="274" t="inlineStr">
        <is>
          <t>ПРОЧ. ЗАТР., УЧТЕННЫЕ ПОКАЗАТЕЛЕМ,  в том числе</t>
        </is>
      </c>
      <c r="C28" s="274" t="n"/>
      <c r="D28" s="274" t="n"/>
      <c r="E28" s="274" t="n"/>
      <c r="F28" s="277" t="n"/>
    </row>
    <row r="29" ht="25.5" customHeight="1" s="311">
      <c r="B29" s="274" t="inlineStr">
        <is>
          <t>Временные здания и сооружения - 3,3%</t>
        </is>
      </c>
      <c r="C29" s="278">
        <f>ROUND(C24*3.3%,2)</f>
        <v/>
      </c>
      <c r="D29" s="274" t="n"/>
      <c r="E29" s="276">
        <f>C29/$C$40</f>
        <v/>
      </c>
    </row>
    <row r="30" ht="38.25" customHeight="1" s="311">
      <c r="B30" s="274" t="inlineStr">
        <is>
          <t>Дополнительные затраты при производстве строительно-монтажных работ в зимнее время - 1%</t>
        </is>
      </c>
      <c r="C30" s="278">
        <f>ROUND((C24+C29)*1%,2)</f>
        <v/>
      </c>
      <c r="D30" s="274" t="n"/>
      <c r="E30" s="276">
        <f>C30/$C$40</f>
        <v/>
      </c>
      <c r="F30" s="277" t="n"/>
    </row>
    <row r="31">
      <c r="B31" s="274" t="inlineStr">
        <is>
          <t>Пусконаладочные работы</t>
        </is>
      </c>
      <c r="C31" s="278" t="n">
        <v>0</v>
      </c>
      <c r="D31" s="274" t="n"/>
      <c r="E31" s="276">
        <f>C31/$C$40</f>
        <v/>
      </c>
    </row>
    <row r="32" ht="25.5" customHeight="1" s="311">
      <c r="B32" s="274" t="inlineStr">
        <is>
          <t>Затраты по перевозке работников к месту работы и обратно</t>
        </is>
      </c>
      <c r="C32" s="278">
        <f>ROUND($C$270,2)</f>
        <v/>
      </c>
      <c r="D32" s="274" t="n"/>
      <c r="E32" s="276">
        <f>C32/$C$40</f>
        <v/>
      </c>
    </row>
    <row r="33" ht="25.5" customHeight="1" s="311">
      <c r="B33" s="274" t="inlineStr">
        <is>
          <t>Затраты, связанные с осуществлением работ вахтовым методом</t>
        </is>
      </c>
      <c r="C33" s="278">
        <f>ROUND($C$270,2)</f>
        <v/>
      </c>
      <c r="D33" s="274" t="n"/>
      <c r="E33" s="276">
        <f>C33/$C$40</f>
        <v/>
      </c>
    </row>
    <row r="34" ht="51" customHeight="1" s="311">
      <c r="B34" s="27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8">
        <f>ROUND($C$270,2)</f>
        <v/>
      </c>
      <c r="D34" s="274" t="n"/>
      <c r="E34" s="276">
        <f>C34/$C$40</f>
        <v/>
      </c>
      <c r="H34" s="285" t="n"/>
    </row>
    <row r="35" ht="76.5" customHeight="1" s="311">
      <c r="B35" s="27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8">
        <f>ROUND($C$270,2)</f>
        <v/>
      </c>
      <c r="D35" s="274" t="n"/>
      <c r="E35" s="276">
        <f>C35/$C$40</f>
        <v/>
      </c>
    </row>
    <row r="36" ht="25.5" customHeight="1" s="311">
      <c r="B36" s="274" t="inlineStr">
        <is>
          <t>Строительный контроль и содержание службы заказчика - 2,14%</t>
        </is>
      </c>
      <c r="C36" s="278">
        <f>ROUND((C27+C32+C33+C34+C35+C29+C31+C30)*2.14%,2)</f>
        <v/>
      </c>
      <c r="D36" s="274" t="n"/>
      <c r="E36" s="276">
        <f>C36/$C$40</f>
        <v/>
      </c>
      <c r="L36" s="277" t="n"/>
    </row>
    <row r="37">
      <c r="B37" s="274" t="inlineStr">
        <is>
          <t>Авторский надзор - 0,2%</t>
        </is>
      </c>
      <c r="C37" s="278">
        <f>ROUND((C27+C32+C33+C34+C35+C29+C31+C30)*0.2%,2)</f>
        <v/>
      </c>
      <c r="D37" s="274" t="n"/>
      <c r="E37" s="276">
        <f>C37/$C$40</f>
        <v/>
      </c>
      <c r="L37" s="277" t="n"/>
    </row>
    <row r="38" ht="38.25" customHeight="1" s="311">
      <c r="B38" s="274" t="inlineStr">
        <is>
          <t>ИТОГО (СМР+ОБОРУДОВАНИЕ+ПРОЧ. ЗАТР., УЧТЕННЫЕ ПОКАЗАТЕЛЕМ)</t>
        </is>
      </c>
      <c r="C38" s="275">
        <f>C27+C32+C33+C34+C35+C29+C31+C30+C36+C37</f>
        <v/>
      </c>
      <c r="D38" s="274" t="n"/>
      <c r="E38" s="276">
        <f>C38/$C$40</f>
        <v/>
      </c>
    </row>
    <row r="39" ht="13.5" customHeight="1" s="311">
      <c r="B39" s="274" t="inlineStr">
        <is>
          <t>Непредвиденные расходы</t>
        </is>
      </c>
      <c r="C39" s="275">
        <f>ROUND(C38*3%,2)</f>
        <v/>
      </c>
      <c r="D39" s="274" t="n"/>
      <c r="E39" s="276">
        <f>C39/$C$38</f>
        <v/>
      </c>
    </row>
    <row r="40">
      <c r="B40" s="274" t="inlineStr">
        <is>
          <t>ВСЕГО:</t>
        </is>
      </c>
      <c r="C40" s="275">
        <f>C39+C38</f>
        <v/>
      </c>
      <c r="D40" s="274" t="n"/>
      <c r="E40" s="276">
        <f>C40/$C$40</f>
        <v/>
      </c>
    </row>
    <row r="41">
      <c r="B41" s="274" t="inlineStr">
        <is>
          <t>ИТОГО ПОКАЗАТЕЛЬ НА ЕД. ИЗМ.</t>
        </is>
      </c>
      <c r="C41" s="275">
        <f>C40/'Прил.5 Расчет СМР и ОБ'!E49</f>
        <v/>
      </c>
      <c r="D41" s="274" t="n"/>
      <c r="E41" s="274" t="n"/>
    </row>
    <row r="42">
      <c r="B42" s="273" t="n"/>
      <c r="C42" s="318" t="n"/>
      <c r="D42" s="318" t="n"/>
      <c r="E42" s="318" t="n"/>
    </row>
    <row r="43">
      <c r="B43" s="273" t="inlineStr">
        <is>
          <t>Составил ____________________________ А.П. Николаева</t>
        </is>
      </c>
      <c r="C43" s="318" t="n"/>
      <c r="D43" s="318" t="n"/>
      <c r="E43" s="318" t="n"/>
    </row>
    <row r="44">
      <c r="B44" s="273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73" t="n"/>
      <c r="C45" s="318" t="n"/>
      <c r="D45" s="318" t="n"/>
      <c r="E45" s="318" t="n"/>
    </row>
    <row r="46">
      <c r="B46" s="273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43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22" zoomScale="70" workbookViewId="0">
      <selection activeCell="B50" sqref="B50"/>
    </sheetView>
  </sheetViews>
  <sheetFormatPr baseColWidth="8" defaultColWidth="9.109375" defaultRowHeight="14.4" outlineLevelRow="1"/>
  <cols>
    <col width="5.6640625" customWidth="1" style="319" min="1" max="1"/>
    <col width="22.5546875" customWidth="1" style="319" min="2" max="2"/>
    <col width="39.109375" customWidth="1" style="319" min="3" max="3"/>
    <col width="10.6640625" customWidth="1" style="319" min="4" max="4"/>
    <col width="12.6640625" customWidth="1" style="319" min="5" max="5"/>
    <col width="15" customWidth="1" style="319" min="6" max="6"/>
    <col width="13.44140625" customWidth="1" style="319" min="7" max="7"/>
    <col width="12.6640625" customWidth="1" style="319" min="8" max="8"/>
    <col width="13.88671875" customWidth="1" style="319" min="9" max="9"/>
    <col width="17.5546875" customWidth="1" style="319" min="10" max="10"/>
    <col width="10.88671875" customWidth="1" style="319" min="11" max="11"/>
    <col width="9.109375" customWidth="1" style="319" min="12" max="12"/>
    <col width="9.109375" customWidth="1" style="311" min="13" max="13"/>
    <col width="19.5546875" customWidth="1" style="311" min="14" max="14"/>
    <col width="9.109375" customWidth="1" style="311" min="15" max="15"/>
  </cols>
  <sheetData>
    <row r="1" s="311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11">
      <c r="A2" s="319" t="n"/>
      <c r="B2" s="319" t="n"/>
      <c r="C2" s="319" t="n"/>
      <c r="D2" s="319" t="n"/>
      <c r="E2" s="319" t="n"/>
      <c r="F2" s="319" t="n"/>
      <c r="G2" s="319" t="n"/>
      <c r="H2" s="365" t="inlineStr">
        <is>
          <t>Приложение №5</t>
        </is>
      </c>
      <c r="K2" s="319" t="n"/>
      <c r="L2" s="319" t="n"/>
      <c r="M2" s="319" t="n"/>
      <c r="N2" s="319" t="n"/>
    </row>
    <row r="3" s="311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24" t="inlineStr">
        <is>
          <t>Расчет стоимости СМР и оборудования</t>
        </is>
      </c>
    </row>
    <row r="5" ht="12.75" customFormat="1" customHeight="1" s="318">
      <c r="A5" s="324" t="n"/>
      <c r="B5" s="324" t="n"/>
      <c r="C5" s="378" t="n"/>
      <c r="D5" s="324" t="n"/>
      <c r="E5" s="324" t="n"/>
      <c r="F5" s="324" t="n"/>
      <c r="G5" s="324" t="n"/>
      <c r="H5" s="324" t="n"/>
      <c r="I5" s="324" t="n"/>
      <c r="J5" s="324" t="n"/>
    </row>
    <row r="6" ht="12.75" customFormat="1" customHeight="1" s="318">
      <c r="A6" s="229" t="inlineStr">
        <is>
          <t>Наименование разрабатываемого показателя УНЦ</t>
        </is>
      </c>
      <c r="B6" s="228" t="n"/>
      <c r="C6" s="228" t="n"/>
      <c r="D6" s="369" t="inlineStr">
        <is>
          <t>Опоры ВЛ 0,4 - 750 кВ. Одноцепная, все типы опор за исключением многогранных 500 кВ.</t>
        </is>
      </c>
    </row>
    <row r="7" ht="12.75" customFormat="1" customHeight="1" s="318">
      <c r="A7" s="327" t="inlineStr">
        <is>
          <t>Единица измерения  — 1 км</t>
        </is>
      </c>
      <c r="I7" s="336" t="n"/>
      <c r="J7" s="336" t="n"/>
    </row>
    <row r="8" ht="13.5" customFormat="1" customHeight="1" s="318">
      <c r="A8" s="327" t="n"/>
    </row>
    <row r="9" ht="13.2" customFormat="1" customHeight="1" s="318"/>
    <row r="10" ht="27" customHeight="1" s="311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22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22" t="n"/>
      <c r="K10" s="319" t="n"/>
      <c r="L10" s="319" t="n"/>
      <c r="M10" s="319" t="n"/>
      <c r="N10" s="319" t="n"/>
    </row>
    <row r="11" ht="28.5" customHeight="1" s="311">
      <c r="A11" s="424" t="n"/>
      <c r="B11" s="424" t="n"/>
      <c r="C11" s="424" t="n"/>
      <c r="D11" s="424" t="n"/>
      <c r="E11" s="424" t="n"/>
      <c r="F11" s="351" t="inlineStr">
        <is>
          <t>на ед. изм.</t>
        </is>
      </c>
      <c r="G11" s="351" t="inlineStr">
        <is>
          <t>общая</t>
        </is>
      </c>
      <c r="H11" s="424" t="n"/>
      <c r="I11" s="351" t="inlineStr">
        <is>
          <t>на ед. изм.</t>
        </is>
      </c>
      <c r="J11" s="351" t="inlineStr">
        <is>
          <t>общая</t>
        </is>
      </c>
      <c r="K11" s="319" t="n"/>
      <c r="L11" s="319" t="n"/>
      <c r="M11" s="319" t="n"/>
      <c r="N11" s="319" t="n"/>
    </row>
    <row r="12" s="311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45" t="n">
        <v>9</v>
      </c>
      <c r="J12" s="345" t="n">
        <v>10</v>
      </c>
      <c r="K12" s="319" t="n"/>
      <c r="L12" s="319" t="n"/>
      <c r="M12" s="319" t="n"/>
      <c r="N12" s="319" t="n"/>
    </row>
    <row r="13">
      <c r="A13" s="351" t="n"/>
      <c r="B13" s="349" t="inlineStr">
        <is>
          <t>Затраты труда рабочих-строителей</t>
        </is>
      </c>
      <c r="C13" s="421" t="n"/>
      <c r="D13" s="421" t="n"/>
      <c r="E13" s="421" t="n"/>
      <c r="F13" s="421" t="n"/>
      <c r="G13" s="421" t="n"/>
      <c r="H13" s="422" t="n"/>
      <c r="I13" s="217" t="n"/>
      <c r="J13" s="217" t="n"/>
    </row>
    <row r="14" ht="25.5" customHeight="1" s="311">
      <c r="A14" s="351" t="n">
        <v>1</v>
      </c>
      <c r="B14" s="304" t="inlineStr">
        <is>
          <t>1-4-1</t>
        </is>
      </c>
      <c r="C14" s="355" t="inlineStr">
        <is>
          <t>Затраты труда рабочих-строителей среднего разряда (4,1)</t>
        </is>
      </c>
      <c r="D14" s="356" t="inlineStr">
        <is>
          <t>чел.-ч.</t>
        </is>
      </c>
      <c r="E14" s="300" t="n">
        <v>98322.29625924</v>
      </c>
      <c r="F14" s="301" t="n">
        <v>9.76</v>
      </c>
      <c r="G14" s="301">
        <f>ROUND(E14*F14,2)</f>
        <v/>
      </c>
      <c r="H14" s="308">
        <f>G14/G15</f>
        <v/>
      </c>
      <c r="I14" s="225">
        <f>ФОТр.тек.!E13</f>
        <v/>
      </c>
      <c r="J14" s="225">
        <f>ROUND(I14*E14,2)</f>
        <v/>
      </c>
    </row>
    <row r="15" ht="25.5" customFormat="1" customHeight="1" s="319">
      <c r="A15" s="351" t="n"/>
      <c r="B15" s="356" t="n"/>
      <c r="C15" s="360" t="inlineStr">
        <is>
          <t>Итого по разделу "Затраты труда рабочих-строителей"</t>
        </is>
      </c>
      <c r="D15" s="356" t="inlineStr">
        <is>
          <t>чел.-ч.</t>
        </is>
      </c>
      <c r="E15" s="300" t="n">
        <v>98322.29625924</v>
      </c>
      <c r="F15" s="301" t="n"/>
      <c r="G15" s="301">
        <f>SUM(G14:G14)</f>
        <v/>
      </c>
      <c r="H15" s="359" t="n">
        <v>1</v>
      </c>
      <c r="I15" s="217" t="n"/>
      <c r="J15" s="225">
        <f>SUM(J14:J14)</f>
        <v/>
      </c>
    </row>
    <row r="16" ht="14.25" customFormat="1" customHeight="1" s="319">
      <c r="A16" s="351" t="n"/>
      <c r="B16" s="355" t="inlineStr">
        <is>
          <t>Затраты труда машинистов</t>
        </is>
      </c>
      <c r="C16" s="421" t="n"/>
      <c r="D16" s="421" t="n"/>
      <c r="E16" s="421" t="n"/>
      <c r="F16" s="421" t="n"/>
      <c r="G16" s="421" t="n"/>
      <c r="H16" s="422" t="n"/>
      <c r="I16" s="217" t="n"/>
      <c r="J16" s="217" t="n"/>
    </row>
    <row r="17" ht="14.25" customFormat="1" customHeight="1" s="319">
      <c r="A17" s="351" t="n">
        <v>2</v>
      </c>
      <c r="B17" s="356" t="n">
        <v>2</v>
      </c>
      <c r="C17" s="355" t="inlineStr">
        <is>
          <t>Затраты труда машинистов</t>
        </is>
      </c>
      <c r="D17" s="356" t="inlineStr">
        <is>
          <t>чел.-ч.</t>
        </is>
      </c>
      <c r="E17" s="300" t="n">
        <v>166533.40623184</v>
      </c>
      <c r="F17" s="301" t="n">
        <v>9.602109245747901</v>
      </c>
      <c r="G17" s="301">
        <f>ROUND(E17*F17,2)</f>
        <v/>
      </c>
      <c r="H17" s="359" t="n">
        <v>1</v>
      </c>
      <c r="I17" s="225">
        <f>ROUND(F17*'Прил. 10'!D11,2)</f>
        <v/>
      </c>
      <c r="J17" s="225">
        <f>ROUND(I17*E17,2)</f>
        <v/>
      </c>
    </row>
    <row r="18" ht="14.25" customFormat="1" customHeight="1" s="319">
      <c r="A18" s="351" t="n"/>
      <c r="B18" s="360" t="inlineStr">
        <is>
          <t>Машины и механизмы</t>
        </is>
      </c>
      <c r="C18" s="421" t="n"/>
      <c r="D18" s="421" t="n"/>
      <c r="E18" s="421" t="n"/>
      <c r="F18" s="421" t="n"/>
      <c r="G18" s="421" t="n"/>
      <c r="H18" s="422" t="n"/>
      <c r="I18" s="217" t="n"/>
      <c r="J18" s="217" t="n"/>
    </row>
    <row r="19" ht="14.25" customFormat="1" customHeight="1" s="319">
      <c r="A19" s="351" t="n"/>
      <c r="B19" s="355" t="inlineStr">
        <is>
          <t>Основные машины и механизмы</t>
        </is>
      </c>
      <c r="C19" s="421" t="n"/>
      <c r="D19" s="421" t="n"/>
      <c r="E19" s="421" t="n"/>
      <c r="F19" s="421" t="n"/>
      <c r="G19" s="421" t="n"/>
      <c r="H19" s="422" t="n"/>
      <c r="I19" s="217" t="n"/>
      <c r="J19" s="217" t="n"/>
    </row>
    <row r="20" ht="25.5" customFormat="1" customHeight="1" s="319">
      <c r="A20" s="351" t="n">
        <v>3</v>
      </c>
      <c r="B20" s="304" t="inlineStr">
        <is>
          <t>91.15.02-029</t>
        </is>
      </c>
      <c r="C20" s="355" t="inlineStr">
        <is>
          <t>Тракторы на гусеничном ходу с лебедкой 132 кВт (180 л.с.)</t>
        </is>
      </c>
      <c r="D20" s="356" t="inlineStr">
        <is>
          <t>маш.час</t>
        </is>
      </c>
      <c r="E20" s="300" t="n">
        <v>61698.728797865</v>
      </c>
      <c r="F20" s="358" t="n">
        <v>147.43</v>
      </c>
      <c r="G20" s="301">
        <f>ROUND(E20*F20,2)</f>
        <v/>
      </c>
      <c r="H20" s="308">
        <f>G20/$G$29</f>
        <v/>
      </c>
      <c r="I20" s="225">
        <f>ROUND(F20*'Прил. 10'!$D$12,2)</f>
        <v/>
      </c>
      <c r="J20" s="225">
        <f>ROUND(I20*E20,2)</f>
        <v/>
      </c>
    </row>
    <row r="21" ht="25.5" customFormat="1" customHeight="1" s="319">
      <c r="A21" s="351" t="n">
        <v>4</v>
      </c>
      <c r="B21" s="222" t="inlineStr">
        <is>
          <t>91.13.03-111</t>
        </is>
      </c>
      <c r="C21" s="350" t="inlineStr">
        <is>
          <t>Спецавтомобили-вездеходы, грузоподъемность до 8 т</t>
        </is>
      </c>
      <c r="D21" s="351" t="inlineStr">
        <is>
          <t>маш.час</t>
        </is>
      </c>
      <c r="E21" s="205" t="n">
        <v>35234.563294006</v>
      </c>
      <c r="F21" s="353" t="n">
        <v>189.95</v>
      </c>
      <c r="G21" s="225">
        <f>ROUND(E21*F21,2)</f>
        <v/>
      </c>
      <c r="H21" s="227">
        <f>G21/$G$29</f>
        <v/>
      </c>
      <c r="I21" s="225">
        <f>ROUND(F21*'Прил. 10'!$D$12,2)</f>
        <v/>
      </c>
      <c r="J21" s="225">
        <f>ROUND(I21*E21,2)</f>
        <v/>
      </c>
    </row>
    <row r="22" ht="51" customFormat="1" customHeight="1" s="319">
      <c r="A22" s="351" t="n">
        <v>5</v>
      </c>
      <c r="B22" s="222" t="inlineStr">
        <is>
          <t>91.05.14-516</t>
        </is>
      </c>
      <c r="C22" s="35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51" t="inlineStr">
        <is>
          <t>маш.час</t>
        </is>
      </c>
      <c r="E22" s="205" t="n">
        <v>41143.594161934</v>
      </c>
      <c r="F22" s="353" t="n">
        <v>77.64</v>
      </c>
      <c r="G22" s="225">
        <f>ROUND(E22*F22,2)</f>
        <v/>
      </c>
      <c r="H22" s="227">
        <f>G22/$G$29</f>
        <v/>
      </c>
      <c r="I22" s="225">
        <f>ROUND(F22*'Прил. 10'!$D$12,2)</f>
        <v/>
      </c>
      <c r="J22" s="225">
        <f>ROUND(I22*E22,2)</f>
        <v/>
      </c>
    </row>
    <row r="23" ht="14.25" customFormat="1" customHeight="1" s="319">
      <c r="A23" s="351" t="n"/>
      <c r="B23" s="351" t="n"/>
      <c r="C23" s="350" t="inlineStr">
        <is>
          <t>Итого основные машины и механизмы</t>
        </is>
      </c>
      <c r="D23" s="351" t="n"/>
      <c r="E23" s="205" t="n"/>
      <c r="F23" s="225" t="n"/>
      <c r="G23" s="225">
        <f>SUM(G20:G22)</f>
        <v/>
      </c>
      <c r="H23" s="354">
        <f>G23/G29</f>
        <v/>
      </c>
      <c r="I23" s="218" t="n"/>
      <c r="J23" s="225">
        <f>SUM(J20:J22)</f>
        <v/>
      </c>
    </row>
    <row r="24" outlineLevel="1" ht="25.5" customFormat="1" customHeight="1" s="319">
      <c r="A24" s="351" t="n">
        <v>6</v>
      </c>
      <c r="B24" s="222" t="inlineStr">
        <is>
          <t>91.05.05-015</t>
        </is>
      </c>
      <c r="C24" s="350" t="inlineStr">
        <is>
          <t>Краны на автомобильном ходу, грузоподъемность 16 т</t>
        </is>
      </c>
      <c r="D24" s="351" t="inlineStr">
        <is>
          <t>маш.час</t>
        </is>
      </c>
      <c r="E24" s="205" t="n">
        <v>12574.037065524</v>
      </c>
      <c r="F24" s="353" t="n">
        <v>115.4</v>
      </c>
      <c r="G24" s="225">
        <f>ROUND(E24*F24,2)</f>
        <v/>
      </c>
      <c r="H24" s="227">
        <f>G24/$G$29</f>
        <v/>
      </c>
      <c r="I24" s="225">
        <f>ROUND(F24*'Прил. 10'!$D$12,2)</f>
        <v/>
      </c>
      <c r="J24" s="225">
        <f>ROUND(I24*E24,2)</f>
        <v/>
      </c>
    </row>
    <row r="25" outlineLevel="1" ht="51" customFormat="1" customHeight="1" s="319">
      <c r="A25" s="351" t="n">
        <v>7</v>
      </c>
      <c r="B25" s="222" t="inlineStr">
        <is>
          <t>91.18.01-007</t>
        </is>
      </c>
      <c r="C25" s="35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51" t="inlineStr">
        <is>
          <t>маш.час</t>
        </is>
      </c>
      <c r="E25" s="205" t="n">
        <v>15882.482912512</v>
      </c>
      <c r="F25" s="353" t="n">
        <v>90</v>
      </c>
      <c r="G25" s="225">
        <f>ROUND(E25*F25,2)</f>
        <v/>
      </c>
      <c r="H25" s="227">
        <f>G25/$G$29</f>
        <v/>
      </c>
      <c r="I25" s="225">
        <f>ROUND(F25*'Прил. 10'!$D$12,2)</f>
        <v/>
      </c>
      <c r="J25" s="225">
        <f>ROUND(I25*E25,2)</f>
        <v/>
      </c>
    </row>
    <row r="26" outlineLevel="1" ht="25.5" customFormat="1" customHeight="1" s="319">
      <c r="A26" s="351" t="n">
        <v>8</v>
      </c>
      <c r="B26" s="222" t="inlineStr">
        <is>
          <t>91.06.09-101</t>
        </is>
      </c>
      <c r="C26" s="350" t="inlineStr">
        <is>
          <t>Стрелы монтажные А-образные для подъема опор ВЛ, высота до 22 м</t>
        </is>
      </c>
      <c r="D26" s="351" t="inlineStr">
        <is>
          <t>маш.час</t>
        </is>
      </c>
      <c r="E26" s="205" t="n">
        <v>11576.927139491</v>
      </c>
      <c r="F26" s="353" t="n">
        <v>6.24</v>
      </c>
      <c r="G26" s="225">
        <f>ROUND(E26*F26,2)</f>
        <v/>
      </c>
      <c r="H26" s="227">
        <f>G26/$G$29</f>
        <v/>
      </c>
      <c r="I26" s="225">
        <f>ROUND(F26*'Прил. 10'!$D$12,2)</f>
        <v/>
      </c>
      <c r="J26" s="225">
        <f>ROUND(I26*E26,2)</f>
        <v/>
      </c>
    </row>
    <row r="27" outlineLevel="1" ht="25.5" customFormat="1" customHeight="1" s="319">
      <c r="A27" s="351" t="n">
        <v>9</v>
      </c>
      <c r="B27" s="222" t="inlineStr">
        <is>
          <t>91.06.01-002</t>
        </is>
      </c>
      <c r="C27" s="350" t="inlineStr">
        <is>
          <t>Домкраты гидравлические, грузоподъемность 6,3-25 т</t>
        </is>
      </c>
      <c r="D27" s="351" t="inlineStr">
        <is>
          <t>маш.час</t>
        </is>
      </c>
      <c r="E27" s="205" t="n">
        <v>41142.659539736</v>
      </c>
      <c r="F27" s="353" t="n">
        <v>0.48</v>
      </c>
      <c r="G27" s="225">
        <f>ROUND(E27*F27,2)</f>
        <v/>
      </c>
      <c r="H27" s="227">
        <f>G27/$G$29</f>
        <v/>
      </c>
      <c r="I27" s="225">
        <f>ROUND(F27*'Прил. 10'!$D$12,2)</f>
        <v/>
      </c>
      <c r="J27" s="225">
        <f>ROUND(I27*E27,2)</f>
        <v/>
      </c>
    </row>
    <row r="28" ht="14.25" customFormat="1" customHeight="1" s="319">
      <c r="A28" s="351" t="n"/>
      <c r="B28" s="351" t="n"/>
      <c r="C28" s="350" t="inlineStr">
        <is>
          <t>Итого прочие машины и механизмы</t>
        </is>
      </c>
      <c r="D28" s="351" t="n"/>
      <c r="E28" s="352" t="n"/>
      <c r="F28" s="225" t="n"/>
      <c r="G28" s="218">
        <f>SUM(G24:G27)</f>
        <v/>
      </c>
      <c r="H28" s="227">
        <f>G28/G29</f>
        <v/>
      </c>
      <c r="I28" s="225" t="n"/>
      <c r="J28" s="225">
        <f>SUM(J24:J27)</f>
        <v/>
      </c>
    </row>
    <row r="29" ht="25.5" customFormat="1" customHeight="1" s="319">
      <c r="A29" s="351" t="n"/>
      <c r="B29" s="351" t="n"/>
      <c r="C29" s="349" t="inlineStr">
        <is>
          <t>Итого по разделу «Машины и механизмы»</t>
        </is>
      </c>
      <c r="D29" s="351" t="n"/>
      <c r="E29" s="352" t="n"/>
      <c r="F29" s="225" t="n"/>
      <c r="G29" s="225">
        <f>G28+G23</f>
        <v/>
      </c>
      <c r="H29" s="211" t="n">
        <v>1</v>
      </c>
      <c r="I29" s="212" t="n"/>
      <c r="J29" s="237">
        <f>J28+J23</f>
        <v/>
      </c>
    </row>
    <row r="30" ht="14.25" customFormat="1" customHeight="1" s="319">
      <c r="A30" s="351" t="n"/>
      <c r="B30" s="349" t="inlineStr">
        <is>
          <t>Оборудование</t>
        </is>
      </c>
      <c r="C30" s="421" t="n"/>
      <c r="D30" s="421" t="n"/>
      <c r="E30" s="421" t="n"/>
      <c r="F30" s="421" t="n"/>
      <c r="G30" s="421" t="n"/>
      <c r="H30" s="422" t="n"/>
      <c r="I30" s="217" t="n"/>
      <c r="J30" s="217" t="n"/>
    </row>
    <row r="31">
      <c r="A31" s="351" t="n"/>
      <c r="B31" s="350" t="inlineStr">
        <is>
          <t>Основное оборудование</t>
        </is>
      </c>
      <c r="C31" s="421" t="n"/>
      <c r="D31" s="421" t="n"/>
      <c r="E31" s="421" t="n"/>
      <c r="F31" s="421" t="n"/>
      <c r="G31" s="421" t="n"/>
      <c r="H31" s="422" t="n"/>
      <c r="I31" s="217" t="n"/>
      <c r="J31" s="217" t="n"/>
      <c r="L31" s="319" t="n"/>
    </row>
    <row r="32">
      <c r="A32" s="351" t="n"/>
      <c r="B32" s="351" t="n"/>
      <c r="C32" s="350" t="inlineStr">
        <is>
          <t>Итого основное оборудование</t>
        </is>
      </c>
      <c r="D32" s="351" t="n"/>
      <c r="E32" s="205" t="n"/>
      <c r="F32" s="353" t="n"/>
      <c r="G32" s="225" t="n">
        <v>0</v>
      </c>
      <c r="H32" s="354" t="n">
        <v>0</v>
      </c>
      <c r="I32" s="218" t="n"/>
      <c r="J32" s="225" t="n">
        <v>0</v>
      </c>
      <c r="L32" s="319" t="n"/>
    </row>
    <row r="33">
      <c r="A33" s="351" t="n"/>
      <c r="B33" s="351" t="n"/>
      <c r="C33" s="350" t="inlineStr">
        <is>
          <t>Итого прочее оборудование</t>
        </is>
      </c>
      <c r="D33" s="351" t="n"/>
      <c r="E33" s="205" t="n"/>
      <c r="F33" s="353" t="n"/>
      <c r="G33" s="225" t="n">
        <v>0</v>
      </c>
      <c r="H33" s="354" t="n">
        <v>0</v>
      </c>
      <c r="I33" s="218" t="n"/>
      <c r="J33" s="225" t="n">
        <v>0</v>
      </c>
      <c r="L33" s="319" t="n"/>
    </row>
    <row r="34">
      <c r="A34" s="351" t="n"/>
      <c r="B34" s="351" t="n"/>
      <c r="C34" s="349" t="inlineStr">
        <is>
          <t>Итого по разделу «Оборудование»</t>
        </is>
      </c>
      <c r="D34" s="351" t="n"/>
      <c r="E34" s="352" t="n"/>
      <c r="F34" s="353" t="n"/>
      <c r="G34" s="225">
        <f>G32+G33</f>
        <v/>
      </c>
      <c r="H34" s="354" t="n">
        <v>0</v>
      </c>
      <c r="I34" s="218" t="n"/>
      <c r="J34" s="225">
        <f>J33+J32</f>
        <v/>
      </c>
      <c r="L34" s="319" t="n"/>
    </row>
    <row r="35" ht="25.5" customHeight="1" s="311">
      <c r="A35" s="351" t="n"/>
      <c r="B35" s="351" t="n"/>
      <c r="C35" s="350" t="inlineStr">
        <is>
          <t>в том числе технологическое оборудование</t>
        </is>
      </c>
      <c r="D35" s="351" t="n"/>
      <c r="E35" s="287" t="n"/>
      <c r="F35" s="353" t="n"/>
      <c r="G35" s="225">
        <f>G34</f>
        <v/>
      </c>
      <c r="H35" s="354" t="n"/>
      <c r="I35" s="218" t="n"/>
      <c r="J35" s="225">
        <f>J34</f>
        <v/>
      </c>
      <c r="L35" s="319" t="n"/>
    </row>
    <row r="36" ht="14.25" customFormat="1" customHeight="1" s="319">
      <c r="A36" s="351" t="n"/>
      <c r="B36" s="349" t="inlineStr">
        <is>
          <t>Материалы</t>
        </is>
      </c>
      <c r="C36" s="421" t="n"/>
      <c r="D36" s="421" t="n"/>
      <c r="E36" s="421" t="n"/>
      <c r="F36" s="421" t="n"/>
      <c r="G36" s="421" t="n"/>
      <c r="H36" s="422" t="n"/>
      <c r="I36" s="217" t="n"/>
      <c r="J36" s="217" t="n"/>
    </row>
    <row r="37" ht="14.25" customFormat="1" customHeight="1" s="319">
      <c r="A37" s="345" t="n"/>
      <c r="B37" s="344" t="inlineStr">
        <is>
          <t>Основные материалы</t>
        </is>
      </c>
      <c r="C37" s="425" t="n"/>
      <c r="D37" s="425" t="n"/>
      <c r="E37" s="425" t="n"/>
      <c r="F37" s="425" t="n"/>
      <c r="G37" s="425" t="n"/>
      <c r="H37" s="426" t="n"/>
      <c r="I37" s="231" t="n"/>
      <c r="J37" s="231" t="n"/>
    </row>
    <row r="38" ht="51" customFormat="1" customHeight="1" s="319">
      <c r="A38" s="351" t="n">
        <v>10</v>
      </c>
      <c r="B38" s="356" t="inlineStr">
        <is>
          <t>БЦ.98.36</t>
        </is>
      </c>
      <c r="C38" s="350" t="inlineStr">
        <is>
          <t>Опоры решетчатые линий электропередачи оцинкованные, 500 кВ, промежуточные, одностоечные, свободностоящие</t>
        </is>
      </c>
      <c r="D38" s="351" t="inlineStr">
        <is>
          <t>т</t>
        </is>
      </c>
      <c r="E38" s="287" t="n">
        <v>9496.370000000001</v>
      </c>
      <c r="F38" s="353">
        <f>ROUND(I38/'Прил. 10'!$D$13,2)</f>
        <v/>
      </c>
      <c r="G38" s="225">
        <f>ROUND(E38*F38,2)</f>
        <v/>
      </c>
      <c r="H38" s="227">
        <f>G38/$G$43</f>
        <v/>
      </c>
      <c r="I38" s="225" t="n">
        <v>233801.89</v>
      </c>
      <c r="J38" s="225">
        <f>ROUND(I38*E38,2)</f>
        <v/>
      </c>
      <c r="N38" s="309" t="n"/>
    </row>
    <row r="39" ht="51" customFormat="1" customHeight="1" s="319">
      <c r="A39" s="351" t="n">
        <v>11</v>
      </c>
      <c r="B39" s="356" t="inlineStr">
        <is>
          <t>БЦ.98.35</t>
        </is>
      </c>
      <c r="C39" s="350" t="inlineStr">
        <is>
          <t>Опоры решетчатые линий электропередачи новой унификации, оцинкованные, 500 кВ, анкерно-угловые, трехстоечные, свободностоящие</t>
        </is>
      </c>
      <c r="D39" s="351" t="inlineStr">
        <is>
          <t>т</t>
        </is>
      </c>
      <c r="E39" s="287" t="n">
        <v>7023.967</v>
      </c>
      <c r="F39" s="353">
        <f>ROUND(I39/'Прил. 10'!$D$13,2)</f>
        <v/>
      </c>
      <c r="G39" s="225">
        <f>ROUND(E39*F39,2)</f>
        <v/>
      </c>
      <c r="H39" s="227">
        <f>G39/$G$43</f>
        <v/>
      </c>
      <c r="I39" s="225" t="n">
        <v>240495.28</v>
      </c>
      <c r="J39" s="225">
        <f>ROUND(I39*E39,2)</f>
        <v/>
      </c>
    </row>
    <row r="40" ht="14.25" customFormat="1" customHeight="1" s="319">
      <c r="A40" s="368" t="n"/>
      <c r="B40" s="233" t="n"/>
      <c r="C40" s="234" t="inlineStr">
        <is>
          <t>Итого основные материалы</t>
        </is>
      </c>
      <c r="D40" s="368" t="n"/>
      <c r="E40" s="288" t="n"/>
      <c r="F40" s="237" t="n"/>
      <c r="G40" s="237">
        <f>SUM(G38:G39)</f>
        <v/>
      </c>
      <c r="H40" s="227">
        <f>G40/$G$43</f>
        <v/>
      </c>
      <c r="I40" s="225" t="n"/>
      <c r="J40" s="237">
        <f>SUM(J38:J39)</f>
        <v/>
      </c>
    </row>
    <row r="41" outlineLevel="1" ht="25.5" customFormat="1" customHeight="1" s="319">
      <c r="A41" s="351" t="n">
        <v>12</v>
      </c>
      <c r="B41" s="351" t="inlineStr">
        <is>
          <t>01.7.15.03-0035</t>
        </is>
      </c>
      <c r="C41" s="350" t="inlineStr">
        <is>
          <t>Болты с гайками и шайбами оцинкованные, диаметр 20 мм</t>
        </is>
      </c>
      <c r="D41" s="351" t="inlineStr">
        <is>
          <t>кг</t>
        </is>
      </c>
      <c r="E41" s="287" t="n">
        <v>694511.529</v>
      </c>
      <c r="F41" s="353" t="n">
        <v>24.97</v>
      </c>
      <c r="G41" s="225" t="n">
        <v>10952104.19</v>
      </c>
      <c r="H41" s="227">
        <f>G41/$G$43</f>
        <v/>
      </c>
      <c r="I41" s="225">
        <f>ROUND(F41*'Прил. 10'!$D$13,2)</f>
        <v/>
      </c>
      <c r="J41" s="225">
        <f>ROUND(I41*E41,2)</f>
        <v/>
      </c>
    </row>
    <row r="42" ht="14.25" customFormat="1" customHeight="1" s="319">
      <c r="A42" s="351" t="n"/>
      <c r="B42" s="351" t="n"/>
      <c r="C42" s="350" t="inlineStr">
        <is>
          <t>Итого прочие материалы</t>
        </is>
      </c>
      <c r="D42" s="351" t="n"/>
      <c r="E42" s="352" t="n"/>
      <c r="F42" s="353" t="n"/>
      <c r="G42" s="225">
        <f>SUM(G41:G41)</f>
        <v/>
      </c>
      <c r="H42" s="227">
        <f>G42/$G$43</f>
        <v/>
      </c>
      <c r="I42" s="225" t="n"/>
      <c r="J42" s="225">
        <f>SUM(J41:J41)</f>
        <v/>
      </c>
    </row>
    <row r="43" ht="14.25" customFormat="1" customHeight="1" s="319">
      <c r="A43" s="351" t="n"/>
      <c r="B43" s="351" t="n"/>
      <c r="C43" s="349" t="inlineStr">
        <is>
          <t>Итого по разделу «Материалы»</t>
        </is>
      </c>
      <c r="D43" s="351" t="n"/>
      <c r="E43" s="352" t="n"/>
      <c r="F43" s="353" t="n"/>
      <c r="G43" s="225">
        <f>G40+G42</f>
        <v/>
      </c>
      <c r="H43" s="354">
        <f>G43/$G$43</f>
        <v/>
      </c>
      <c r="I43" s="225" t="n"/>
      <c r="J43" s="225">
        <f>J40+J42</f>
        <v/>
      </c>
    </row>
    <row r="44" ht="14.25" customFormat="1" customHeight="1" s="319">
      <c r="A44" s="351" t="n"/>
      <c r="B44" s="351" t="n"/>
      <c r="C44" s="350" t="inlineStr">
        <is>
          <t>ИТОГО ПО РМ</t>
        </is>
      </c>
      <c r="D44" s="351" t="n"/>
      <c r="E44" s="352" t="n"/>
      <c r="F44" s="353" t="n"/>
      <c r="G44" s="301">
        <f>G15+G29+G43</f>
        <v/>
      </c>
      <c r="H44" s="354" t="n"/>
      <c r="I44" s="225" t="n"/>
      <c r="J44" s="225">
        <f>J15+J29+J43</f>
        <v/>
      </c>
    </row>
    <row r="45" ht="14.25" customFormat="1" customHeight="1" s="319">
      <c r="A45" s="351" t="n"/>
      <c r="B45" s="351" t="n"/>
      <c r="C45" s="350" t="inlineStr">
        <is>
          <t>Накладные расходы</t>
        </is>
      </c>
      <c r="D45" s="220" t="n">
        <v>0.68</v>
      </c>
      <c r="E45" s="352" t="n"/>
      <c r="F45" s="353" t="n"/>
      <c r="G45" s="301">
        <f>D45*($G$15+$G$17)</f>
        <v/>
      </c>
      <c r="H45" s="354" t="n"/>
      <c r="I45" s="225" t="n"/>
      <c r="J45" s="225">
        <f>ROUND(D45*(J15+J17),2)</f>
        <v/>
      </c>
    </row>
    <row r="46" ht="14.25" customFormat="1" customHeight="1" s="319">
      <c r="A46" s="351" t="n"/>
      <c r="B46" s="351" t="n"/>
      <c r="C46" s="350" t="inlineStr">
        <is>
          <t>Сметная прибыль</t>
        </is>
      </c>
      <c r="D46" s="220" t="n">
        <v>0.43</v>
      </c>
      <c r="E46" s="352" t="n"/>
      <c r="F46" s="353" t="n"/>
      <c r="G46" s="301">
        <f>D46*($G$15+$G$17)</f>
        <v/>
      </c>
      <c r="H46" s="354" t="n"/>
      <c r="I46" s="225" t="n"/>
      <c r="J46" s="225">
        <f>ROUND(D46*(J15+J17),2)</f>
        <v/>
      </c>
    </row>
    <row r="47" ht="14.25" customFormat="1" customHeight="1" s="319">
      <c r="A47" s="351" t="n"/>
      <c r="B47" s="351" t="n"/>
      <c r="C47" s="350" t="inlineStr">
        <is>
          <t>Итого СМР (с НР и СП)</t>
        </is>
      </c>
      <c r="D47" s="351" t="n"/>
      <c r="E47" s="352" t="n"/>
      <c r="F47" s="353" t="n"/>
      <c r="G47" s="301">
        <f>G15+G29+G43+G45+G46</f>
        <v/>
      </c>
      <c r="H47" s="354" t="n"/>
      <c r="I47" s="225" t="n"/>
      <c r="J47" s="225">
        <f>J15+J29+J43+J45+J46</f>
        <v/>
      </c>
    </row>
    <row r="48" ht="14.25" customFormat="1" customHeight="1" s="319">
      <c r="A48" s="351" t="n"/>
      <c r="B48" s="351" t="n"/>
      <c r="C48" s="350" t="inlineStr">
        <is>
          <t>ВСЕГО СМР + ОБОРУДОВАНИЕ</t>
        </is>
      </c>
      <c r="D48" s="351" t="n"/>
      <c r="E48" s="352" t="n"/>
      <c r="F48" s="353" t="n"/>
      <c r="G48" s="301">
        <f>G47+G34</f>
        <v/>
      </c>
      <c r="H48" s="354" t="n"/>
      <c r="I48" s="225" t="n"/>
      <c r="J48" s="225">
        <f>J47+J34</f>
        <v/>
      </c>
    </row>
    <row r="49" ht="34.5" customFormat="1" customHeight="1" s="319">
      <c r="A49" s="351" t="n"/>
      <c r="B49" s="351" t="n"/>
      <c r="C49" s="350" t="inlineStr">
        <is>
          <t>ИТОГО ПОКАЗАТЕЛЬ НА ЕД. ИЗМ.</t>
        </is>
      </c>
      <c r="D49" s="351" t="inlineStr">
        <is>
          <t>км</t>
        </is>
      </c>
      <c r="E49" s="286" t="n">
        <v>295</v>
      </c>
      <c r="F49" s="353" t="n"/>
      <c r="G49" s="301">
        <f>G48/E49</f>
        <v/>
      </c>
      <c r="H49" s="354" t="n"/>
      <c r="I49" s="225" t="n"/>
      <c r="J49" s="225">
        <f>J48/E49</f>
        <v/>
      </c>
    </row>
    <row r="51" ht="14.25" customFormat="1" customHeight="1" s="319">
      <c r="A51" s="318" t="inlineStr">
        <is>
          <t>Составил ______________________    А.П. Николаева</t>
        </is>
      </c>
    </row>
    <row r="52" ht="14.25" customFormat="1" customHeight="1" s="319">
      <c r="A52" s="321" t="inlineStr">
        <is>
          <t xml:space="preserve">                         (подпись, инициалы, фамилия)</t>
        </is>
      </c>
    </row>
    <row r="53" ht="14.25" customFormat="1" customHeight="1" s="319">
      <c r="A53" s="318" t="n"/>
    </row>
    <row r="54" ht="14.25" customFormat="1" customHeight="1" s="319">
      <c r="A54" s="318" t="inlineStr">
        <is>
          <t>Проверил ______________________        А.В. Костянецкая</t>
        </is>
      </c>
    </row>
    <row r="55" ht="14.25" customFormat="1" customHeight="1" s="319">
      <c r="A55" s="321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  <rowBreaks count="1" manualBreakCount="1">
    <brk id="48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1" min="1" max="1"/>
    <col width="17.5546875" customWidth="1" style="311" min="2" max="2"/>
    <col width="39.109375" customWidth="1" style="311" min="3" max="3"/>
    <col width="10.6640625" customWidth="1" style="311" min="4" max="4"/>
    <col width="13.88671875" customWidth="1" style="311" min="5" max="5"/>
    <col width="13.33203125" customWidth="1" style="311" min="6" max="6"/>
    <col width="14.109375" customWidth="1" style="311" min="7" max="7"/>
  </cols>
  <sheetData>
    <row r="1">
      <c r="A1" s="370" t="inlineStr">
        <is>
          <t>Приложение №6</t>
        </is>
      </c>
    </row>
    <row r="2" ht="21.75" customHeight="1" s="311">
      <c r="A2" s="370" t="n"/>
      <c r="B2" s="370" t="n"/>
      <c r="C2" s="370" t="n"/>
      <c r="D2" s="370" t="n"/>
      <c r="E2" s="370" t="n"/>
      <c r="F2" s="370" t="n"/>
      <c r="G2" s="370" t="n"/>
    </row>
    <row r="3">
      <c r="A3" s="324" t="inlineStr">
        <is>
          <t>Расчет стоимости оборудования</t>
        </is>
      </c>
    </row>
    <row r="4" ht="25.5" customHeight="1" s="311">
      <c r="A4" s="327" t="inlineStr">
        <is>
          <t>Наименование разрабатываемого показателя УНЦ — Опоры ВЛ 0,4 - 750 кВ. Одноцепная, все типы опор за исключением многогранных 500 кВ.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11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1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22" t="n"/>
    </row>
    <row r="7">
      <c r="A7" s="424" t="n"/>
      <c r="B7" s="424" t="n"/>
      <c r="C7" s="424" t="n"/>
      <c r="D7" s="424" t="n"/>
      <c r="E7" s="424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311">
      <c r="A9" s="274" t="n"/>
      <c r="B9" s="350" t="inlineStr">
        <is>
          <t>ИНЖЕНЕРНОЕ ОБОРУДОВАНИЕ</t>
        </is>
      </c>
      <c r="C9" s="421" t="n"/>
      <c r="D9" s="421" t="n"/>
      <c r="E9" s="421" t="n"/>
      <c r="F9" s="421" t="n"/>
      <c r="G9" s="422" t="n"/>
    </row>
    <row r="10" ht="27" customHeight="1" s="311">
      <c r="A10" s="351" t="n"/>
      <c r="B10" s="349" t="n"/>
      <c r="C10" s="350" t="inlineStr">
        <is>
          <t>ИТОГО ИНЖЕНЕРНОЕ ОБОРУДОВАНИЕ</t>
        </is>
      </c>
      <c r="D10" s="349" t="n"/>
      <c r="E10" s="148" t="n"/>
      <c r="F10" s="353" t="n"/>
      <c r="G10" s="353" t="n">
        <v>0</v>
      </c>
    </row>
    <row r="11">
      <c r="A11" s="351" t="n"/>
      <c r="B11" s="350" t="inlineStr">
        <is>
          <t>ТЕХНОЛОГИЧЕСКОЕ ОБОРУДОВАНИЕ</t>
        </is>
      </c>
      <c r="C11" s="421" t="n"/>
      <c r="D11" s="421" t="n"/>
      <c r="E11" s="421" t="n"/>
      <c r="F11" s="421" t="n"/>
      <c r="G11" s="422" t="n"/>
    </row>
    <row r="12" ht="25.5" customHeight="1" s="311">
      <c r="A12" s="351" t="n"/>
      <c r="B12" s="350" t="n"/>
      <c r="C12" s="350" t="inlineStr">
        <is>
          <t>ИТОГО ТЕХНОЛОГИЧЕСКОЕ ОБОРУДОВАНИЕ</t>
        </is>
      </c>
      <c r="D12" s="350" t="n"/>
      <c r="E12" s="374" t="n"/>
      <c r="F12" s="353" t="n"/>
      <c r="G12" s="225" t="n">
        <v>0</v>
      </c>
    </row>
    <row r="13" ht="19.5" customHeight="1" s="311">
      <c r="A13" s="351" t="n"/>
      <c r="B13" s="350" t="n"/>
      <c r="C13" s="350" t="inlineStr">
        <is>
          <t>Всего по разделу «Оборудование»</t>
        </is>
      </c>
      <c r="D13" s="350" t="n"/>
      <c r="E13" s="374" t="n"/>
      <c r="F13" s="353" t="n"/>
      <c r="G13" s="225">
        <f>G10+G12</f>
        <v/>
      </c>
    </row>
    <row r="14">
      <c r="A14" s="320" t="n"/>
      <c r="B14" s="151" t="n"/>
      <c r="C14" s="320" t="n"/>
      <c r="D14" s="320" t="n"/>
      <c r="E14" s="320" t="n"/>
      <c r="F14" s="320" t="n"/>
      <c r="G14" s="320" t="n"/>
    </row>
    <row r="15">
      <c r="A15" s="318" t="inlineStr">
        <is>
          <t>Составил ______________________    А.П. Николаева</t>
        </is>
      </c>
      <c r="B15" s="319" t="n"/>
      <c r="C15" s="319" t="n"/>
      <c r="D15" s="320" t="n"/>
      <c r="E15" s="320" t="n"/>
      <c r="F15" s="320" t="n"/>
      <c r="G15" s="320" t="n"/>
    </row>
    <row r="16">
      <c r="A16" s="321" t="inlineStr">
        <is>
          <t xml:space="preserve">                         (подпись, инициалы, фамилия)</t>
        </is>
      </c>
      <c r="B16" s="319" t="n"/>
      <c r="C16" s="319" t="n"/>
      <c r="D16" s="320" t="n"/>
      <c r="E16" s="320" t="n"/>
      <c r="F16" s="320" t="n"/>
      <c r="G16" s="320" t="n"/>
    </row>
    <row r="17">
      <c r="A17" s="318" t="n"/>
      <c r="B17" s="319" t="n"/>
      <c r="C17" s="319" t="n"/>
      <c r="D17" s="320" t="n"/>
      <c r="E17" s="320" t="n"/>
      <c r="F17" s="320" t="n"/>
      <c r="G17" s="320" t="n"/>
    </row>
    <row r="18">
      <c r="A18" s="318" t="inlineStr">
        <is>
          <t>Проверил ______________________        А.В. Костянецкая</t>
        </is>
      </c>
      <c r="B18" s="319" t="n"/>
      <c r="C18" s="319" t="n"/>
      <c r="D18" s="320" t="n"/>
      <c r="E18" s="320" t="n"/>
      <c r="F18" s="320" t="n"/>
      <c r="G18" s="320" t="n"/>
    </row>
    <row r="19">
      <c r="A19" s="321" t="inlineStr">
        <is>
          <t xml:space="preserve">                        (подпись, инициалы, фамилия)</t>
        </is>
      </c>
      <c r="B19" s="319" t="n"/>
      <c r="C19" s="319" t="n"/>
      <c r="D19" s="320" t="n"/>
      <c r="E19" s="320" t="n"/>
      <c r="F19" s="320" t="n"/>
      <c r="G19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11" min="1" max="1"/>
    <col width="22.44140625" customWidth="1" style="311" min="2" max="2"/>
    <col width="37.109375" customWidth="1" style="311" min="3" max="3"/>
    <col width="49" customWidth="1" style="311" min="4" max="4"/>
    <col width="9.109375" customWidth="1" style="311" min="5" max="5"/>
  </cols>
  <sheetData>
    <row r="1" ht="15.75" customHeight="1" s="311">
      <c r="A1" s="314" t="n"/>
      <c r="B1" s="314" t="n"/>
      <c r="C1" s="314" t="n"/>
      <c r="D1" s="314" t="inlineStr">
        <is>
          <t>Приложение №7</t>
        </is>
      </c>
    </row>
    <row r="2" ht="15.75" customHeight="1" s="311">
      <c r="A2" s="314" t="n"/>
      <c r="B2" s="314" t="n"/>
      <c r="C2" s="314" t="n"/>
      <c r="D2" s="314" t="n"/>
    </row>
    <row r="3" ht="15.75" customHeight="1" s="311">
      <c r="A3" s="314" t="n"/>
      <c r="B3" s="312" t="inlineStr">
        <is>
          <t>Расчет показателя УНЦ</t>
        </is>
      </c>
      <c r="C3" s="314" t="n"/>
      <c r="D3" s="314" t="n"/>
    </row>
    <row r="4" ht="15.75" customHeight="1" s="311">
      <c r="A4" s="314" t="n"/>
      <c r="B4" s="314" t="n"/>
      <c r="C4" s="314" t="n"/>
      <c r="D4" s="314" t="n"/>
    </row>
    <row r="5" ht="31.5" customHeight="1" s="311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ОБ'!D6:J6</f>
        <v/>
      </c>
    </row>
    <row r="6" ht="15.75" customHeight="1" s="311">
      <c r="A6" s="314" t="inlineStr">
        <is>
          <t>Единица измерения  — 1 км</t>
        </is>
      </c>
      <c r="B6" s="314" t="n"/>
      <c r="C6" s="314" t="n"/>
      <c r="D6" s="314" t="n"/>
    </row>
    <row r="7" ht="15.75" customHeight="1" s="311">
      <c r="A7" s="314" t="n"/>
      <c r="B7" s="314" t="n"/>
      <c r="C7" s="314" t="n"/>
      <c r="D7" s="314" t="n"/>
    </row>
    <row r="8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>
      <c r="A9" s="424" t="n"/>
      <c r="B9" s="424" t="n"/>
      <c r="C9" s="424" t="n"/>
      <c r="D9" s="424" t="n"/>
    </row>
    <row r="10" ht="15.75" customHeight="1" s="311">
      <c r="A10" s="339" t="n">
        <v>1</v>
      </c>
      <c r="B10" s="339" t="n">
        <v>2</v>
      </c>
      <c r="C10" s="339" t="n">
        <v>3</v>
      </c>
      <c r="D10" s="339" t="n">
        <v>4</v>
      </c>
    </row>
    <row r="11" ht="63" customHeight="1" s="311">
      <c r="A11" s="339" t="inlineStr">
        <is>
          <t>Л3-07-1</t>
        </is>
      </c>
      <c r="B11" s="339" t="inlineStr">
        <is>
          <t xml:space="preserve">УНЦ опор ВЛ 0,4 - 750 кВ </t>
        </is>
      </c>
      <c r="C11" s="316">
        <f>D5</f>
        <v/>
      </c>
      <c r="D11" s="317">
        <f>'Прил.4 РМ'!C41/1000</f>
        <v/>
      </c>
    </row>
    <row r="13">
      <c r="A13" s="318" t="inlineStr">
        <is>
          <t>Составил ______________________    А.П. Николаева</t>
        </is>
      </c>
      <c r="B13" s="319" t="n"/>
      <c r="C13" s="319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19" t="n"/>
      <c r="C14" s="319" t="n"/>
      <c r="D14" s="320" t="n"/>
    </row>
    <row r="15">
      <c r="A15" s="318" t="n"/>
      <c r="B15" s="319" t="n"/>
      <c r="C15" s="319" t="n"/>
      <c r="D15" s="320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20" t="n"/>
    </row>
    <row r="17" ht="20.25" customHeight="1" s="311">
      <c r="A17" s="321" t="inlineStr">
        <is>
          <t xml:space="preserve">                        (подпись, инициалы, фамилия)</t>
        </is>
      </c>
      <c r="B17" s="319" t="n"/>
      <c r="C17" s="319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4.4"/>
  <cols>
    <col width="9.109375" customWidth="1" style="311" min="1" max="1"/>
    <col width="40.6640625" customWidth="1" style="311" min="2" max="2"/>
    <col width="37" customWidth="1" style="311" min="3" max="3"/>
    <col width="32" customWidth="1" style="311" min="4" max="4"/>
    <col width="9.109375" customWidth="1" style="311" min="5" max="5"/>
  </cols>
  <sheetData>
    <row r="4" ht="15.75" customHeight="1" s="311">
      <c r="B4" s="331" t="inlineStr">
        <is>
          <t>Приложение № 10</t>
        </is>
      </c>
    </row>
    <row r="5" ht="18.75" customHeight="1" s="311">
      <c r="B5" s="189" t="n"/>
    </row>
    <row r="6" ht="15.75" customHeight="1" s="311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77" t="n"/>
    </row>
    <row r="8">
      <c r="B8" s="377" t="n"/>
      <c r="C8" s="377" t="n"/>
      <c r="D8" s="377" t="n"/>
      <c r="E8" s="377" t="n"/>
    </row>
    <row r="9" ht="47.25" customHeight="1" s="311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311">
      <c r="B10" s="339" t="n">
        <v>1</v>
      </c>
      <c r="C10" s="339" t="n">
        <v>2</v>
      </c>
      <c r="D10" s="339" t="n">
        <v>3</v>
      </c>
    </row>
    <row r="11" ht="45" customHeight="1" s="311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01.04.2023г. №17772-ИФ/09 прил.9</t>
        </is>
      </c>
      <c r="D11" s="339" t="n">
        <v>46.83</v>
      </c>
    </row>
    <row r="12" ht="29.25" customHeight="1" s="311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01.04.2023г. №17772-ИФ/09 прил.9</t>
        </is>
      </c>
      <c r="D12" s="339" t="n">
        <v>11.79</v>
      </c>
    </row>
    <row r="13" ht="29.25" customHeight="1" s="311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01.04.2023г. №17772-ИФ/09 прил.9</t>
        </is>
      </c>
      <c r="D13" s="339" t="n">
        <v>9.140000000000001</v>
      </c>
    </row>
    <row r="14" ht="30.75" customHeight="1" s="311">
      <c r="B14" s="33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311">
      <c r="B15" s="339" t="inlineStr">
        <is>
          <t>Временные здания и сооружения</t>
        </is>
      </c>
      <c r="C15" s="33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11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11">
      <c r="B17" s="339" t="n"/>
      <c r="C17" s="339" t="n"/>
      <c r="D17" s="339" t="n"/>
    </row>
    <row r="18" ht="31.5" customHeight="1" s="311">
      <c r="B18" s="339" t="inlineStr">
        <is>
          <t>Строительный контроль</t>
        </is>
      </c>
      <c r="C18" s="339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11">
      <c r="B19" s="339" t="inlineStr">
        <is>
          <t>Авторский надзор - 0,2%</t>
        </is>
      </c>
      <c r="C19" s="339" t="inlineStr">
        <is>
          <t>Приказ от 4.08.2020 № 421/пр п.173</t>
        </is>
      </c>
      <c r="D19" s="192" t="n">
        <v>0.002</v>
      </c>
    </row>
    <row r="20" ht="24" customHeight="1" s="311">
      <c r="B20" s="339" t="inlineStr">
        <is>
          <t>Непредвиденные расходы</t>
        </is>
      </c>
      <c r="C20" s="339" t="inlineStr">
        <is>
          <t>Приказ от 4.08.2020 № 421/пр п.179</t>
        </is>
      </c>
      <c r="D20" s="192" t="n">
        <v>0.03</v>
      </c>
    </row>
    <row r="21" ht="18.75" customHeight="1" s="311">
      <c r="B21" s="190" t="n"/>
    </row>
    <row r="22" ht="18.75" customHeight="1" s="311">
      <c r="B22" s="190" t="n"/>
    </row>
    <row r="23" ht="18.75" customHeight="1" s="311">
      <c r="B23" s="190" t="n"/>
    </row>
    <row r="24" ht="18.75" customHeight="1" s="311">
      <c r="B24" s="190" t="n"/>
    </row>
    <row r="27">
      <c r="B27" s="318" t="inlineStr">
        <is>
          <t>Составил ______________________        А.П. Николаева</t>
        </is>
      </c>
      <c r="C27" s="319" t="n"/>
    </row>
    <row r="28">
      <c r="B28" s="321" t="inlineStr">
        <is>
          <t xml:space="preserve">                         (подпись, инициалы, фамилия)</t>
        </is>
      </c>
      <c r="C28" s="319" t="n"/>
    </row>
    <row r="29">
      <c r="B29" s="318" t="n"/>
      <c r="C29" s="319" t="n"/>
    </row>
    <row r="30">
      <c r="B30" s="318" t="inlineStr">
        <is>
          <t>Проверил ______________________        А.В. Костянецкая</t>
        </is>
      </c>
      <c r="C30" s="319" t="n"/>
    </row>
    <row r="31">
      <c r="B31" s="321" t="inlineStr">
        <is>
          <t xml:space="preserve">                        (подпись, инициалы, фамилия)</t>
        </is>
      </c>
      <c r="C31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12" sqref="D12"/>
    </sheetView>
  </sheetViews>
  <sheetFormatPr baseColWidth="8" defaultRowHeight="14.4"/>
  <cols>
    <col width="9.109375" customWidth="1" style="311" min="1" max="1"/>
    <col width="44.88671875" customWidth="1" style="311" min="2" max="2"/>
    <col width="13" customWidth="1" style="311" min="3" max="3"/>
    <col width="22.88671875" customWidth="1" style="311" min="4" max="4"/>
    <col width="21.5546875" customWidth="1" style="311" min="5" max="5"/>
    <col width="43.88671875" customWidth="1" style="311" min="6" max="6"/>
    <col width="9.109375" customWidth="1" style="311" min="7" max="7"/>
  </cols>
  <sheetData>
    <row r="2" ht="17.25" customHeight="1" s="311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1">
      <c r="A4" s="173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311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4" t="n"/>
    </row>
    <row r="6" ht="15.75" customHeight="1" s="311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4" t="n"/>
    </row>
    <row r="7" ht="110.25" customHeight="1" s="311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317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311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317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1">
      <c r="A9" s="176" t="inlineStr">
        <is>
          <t>1.3</t>
        </is>
      </c>
      <c r="B9" s="180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317" t="n">
        <v>1</v>
      </c>
      <c r="F9" s="180" t="n"/>
      <c r="G9" s="182" t="n"/>
    </row>
    <row r="10" ht="15.75" customHeight="1" s="311">
      <c r="A10" s="176" t="inlineStr">
        <is>
          <t>1.4</t>
        </is>
      </c>
      <c r="B10" s="180" t="inlineStr">
        <is>
          <t>Средний разряд работ</t>
        </is>
      </c>
      <c r="C10" s="339" t="n"/>
      <c r="D10" s="339" t="n"/>
      <c r="E10" s="183" t="n">
        <v>4.1</v>
      </c>
      <c r="F10" s="180" t="inlineStr">
        <is>
          <t>РТМ</t>
        </is>
      </c>
      <c r="G10" s="182" t="n"/>
    </row>
    <row r="11" ht="78.75" customHeight="1" s="311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2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311">
      <c r="A12" s="176" t="inlineStr">
        <is>
          <t>1.6</t>
        </is>
      </c>
      <c r="B12" s="245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1">
      <c r="A13" s="176" t="inlineStr">
        <is>
          <t>1.7</t>
        </is>
      </c>
      <c r="B13" s="253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2025-01-24T12:10:10Z</dcterms:modified>
  <cp:lastModifiedBy>user1</cp:lastModifiedBy>
</cp:coreProperties>
</file>