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930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табл'!$A$1:$D$32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3'!$10:$12</definedName>
    <definedName name="_xlnm.Print_Area" localSheetId="2">'Прил. 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ОБ'!$A$1:$J$61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_wrn2" localSheetId="8">{"'ФОТр.тек.'!glc1",#N/A,FALSE,"GLC";"'ФОТр.тек.'!glc2",#N/A,FALSE,"GLC";"'ФОТр.тек.'!glc3",#N/A,FALSE,"GLC";"'ФОТр.тек.'!glc4",#N/A,FALSE,"GLC";"'ФОТр.тек.'!glc5",#N/A,FALSE,"GLC"}</definedName>
    <definedName name="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" localSheetId="8">{"'ФОТр.тек.'!glc1",#N/A,FALSE,"GLC";"'ФОТр.тек.'!glc2",#N/A,FALSE,"GLC";"'ФОТр.тек.'!glc3",#N/A,FALSE,"GLC";"'ФОТр.тек.'!glc4",#N/A,FALSE,"GLC";"'ФОТр.тек.'!glc5",#N/A,FALSE,"GLC"}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{"'ФОТр.тек.'!glc1",#N/A,FALSE,"GLC";"'ФОТр.тек.'!glc2",#N/A,FALSE,"GLC";"'ФОТр.тек.'!glc3",#N/A,FALSE,"GLC";"'ФОТр.тек.'!glc4",#N/A,FALSE,"GLC";"'ФОТр.тек.'!glc5",#N/A,FALSE,"GLC"}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0.0000"/>
    <numFmt numFmtId="167" formatCode="0.000"/>
    <numFmt numFmtId="168" formatCode="#,##0.0000"/>
    <numFmt numFmtId="169" formatCode="#,##0.0"/>
    <numFmt numFmtId="170" formatCode="#,##0.000"/>
    <numFmt numFmtId="171" formatCode="_-* #,##0.0\ _₽_-;\-* #,##0.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00"/>
      <sz val="14"/>
    </font>
    <font>
      <name val="Times New Roman"/>
      <b val="1"/>
      <color rgb="FF000000"/>
      <sz val="14"/>
    </font>
    <font>
      <name val="Times New Roman"/>
      <color rgb="FFFF0000"/>
      <sz val="12"/>
    </font>
    <font>
      <name val="Arial"/>
      <color rgb="FFFF0000"/>
      <sz val="11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166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165" fontId="1" fillId="0" borderId="1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" fontId="18" fillId="0" borderId="1" applyAlignment="1" pivotButton="0" quotePrefix="0" xfId="0">
      <alignment vertical="top"/>
    </xf>
    <xf numFmtId="165" fontId="2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0" fontId="13" fillId="0" borderId="0" pivotButton="0" quotePrefix="0" xfId="0"/>
    <xf numFmtId="0" fontId="20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65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4" fontId="0" fillId="0" borderId="0" pivotButton="0" quotePrefix="0" xfId="0"/>
    <xf numFmtId="4" fontId="13" fillId="0" borderId="0" pivotButton="0" quotePrefix="0" xfId="0"/>
    <xf numFmtId="10" fontId="0" fillId="0" borderId="0" pivotButton="0" quotePrefix="0" xfId="0"/>
    <xf numFmtId="0" fontId="1" fillId="0" borderId="0" applyAlignment="1" pivotButton="0" quotePrefix="0" xfId="0">
      <alignment vertical="center"/>
    </xf>
    <xf numFmtId="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8" fillId="0" borderId="0" pivotButton="0" quotePrefix="0" xfId="0"/>
    <xf numFmtId="171" fontId="16" fillId="0" borderId="0" pivotButton="0" quotePrefix="0" xfId="0"/>
    <xf numFmtId="0" fontId="22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2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justify" vertical="center"/>
    </xf>
    <xf numFmtId="0" fontId="20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4" fillId="0" borderId="1" pivotButton="0" quotePrefix="0" xfId="0"/>
    <xf numFmtId="165" fontId="4" fillId="0" borderId="1" pivotButton="0" quotePrefix="0" xfId="0"/>
    <xf numFmtId="0" fontId="0" fillId="0" borderId="1" pivotButton="0" quotePrefix="0" xfId="0"/>
    <xf numFmtId="165" fontId="0" fillId="0" borderId="1" pivotButton="0" quotePrefix="0" xfId="0"/>
    <xf numFmtId="165" fontId="4" fillId="0" borderId="1" pivotButton="0" quotePrefix="0" xfId="0"/>
    <xf numFmtId="0" fontId="23" fillId="0" borderId="0" pivotButton="0" quotePrefix="0" xfId="0"/>
    <xf numFmtId="165" fontId="4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8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8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/>
    </xf>
    <xf numFmtId="170" fontId="16" fillId="0" borderId="1" applyAlignment="1" pivotButton="0" quotePrefix="0" xfId="0">
      <alignment horizontal="right" vertical="center"/>
    </xf>
    <xf numFmtId="170" fontId="16" fillId="0" borderId="1" applyAlignment="1" pivotButton="0" quotePrefix="0" xfId="0">
      <alignment horizontal="right" vertical="center" wrapText="1"/>
    </xf>
    <xf numFmtId="170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20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170" fontId="16" fillId="0" borderId="2" applyAlignment="1" pivotButton="0" quotePrefix="0" xfId="0">
      <alignment horizontal="center" vertical="center"/>
    </xf>
    <xf numFmtId="170" fontId="16" fillId="0" borderId="6" applyAlignment="1" pivotButton="0" quotePrefix="0" xfId="0">
      <alignment horizontal="center" vertical="center"/>
    </xf>
    <xf numFmtId="170" fontId="18" fillId="0" borderId="2" applyAlignment="1" pivotButton="0" quotePrefix="0" xfId="0">
      <alignment horizontal="center" vertical="center" wrapText="1"/>
    </xf>
    <xf numFmtId="170" fontId="18" fillId="0" borderId="6" applyAlignment="1" pivotButton="0" quotePrefix="0" xfId="0">
      <alignment horizontal="center" vertical="center" wrapText="1"/>
    </xf>
    <xf numFmtId="10" fontId="16" fillId="0" borderId="5" applyAlignment="1" pivotButton="0" quotePrefix="0" xfId="0">
      <alignment horizontal="center" vertical="center"/>
    </xf>
    <xf numFmtId="10" fontId="16" fillId="0" borderId="7" applyAlignment="1" pivotButton="0" quotePrefix="0" xfId="0">
      <alignment horizontal="center" vertical="center"/>
    </xf>
    <xf numFmtId="10" fontId="16" fillId="0" borderId="4" applyAlignment="1" pivotButton="0" quotePrefix="0" xfId="0">
      <alignment horizontal="center" vertical="center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7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4" pivotButton="0" quotePrefix="0" xfId="0"/>
    <xf numFmtId="170" fontId="18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7" zoomScale="55" zoomScaleNormal="55" workbookViewId="0">
      <selection activeCell="C27" sqref="C27"/>
    </sheetView>
  </sheetViews>
  <sheetFormatPr baseColWidth="8" defaultColWidth="9.109375" defaultRowHeight="15.6"/>
  <cols>
    <col width="9.109375" customWidth="1" style="332" min="1" max="2"/>
    <col width="51.6640625" customWidth="1" style="332" min="3" max="3"/>
    <col width="47" customWidth="1" style="332" min="4" max="4"/>
    <col width="32.109375" customWidth="1" style="332" min="5" max="5"/>
    <col width="9.109375" customWidth="1" style="332" min="6" max="6"/>
  </cols>
  <sheetData>
    <row r="3">
      <c r="B3" s="362" t="inlineStr">
        <is>
          <t>Приложение № 1</t>
        </is>
      </c>
    </row>
    <row r="4">
      <c r="B4" s="363" t="inlineStr">
        <is>
          <t>Сравнительная таблица отбора объекта-представителя</t>
        </is>
      </c>
    </row>
    <row r="5" ht="84" customHeight="1" s="333">
      <c r="B5" s="36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3">
      <c r="B6" s="299" t="n"/>
      <c r="C6" s="299" t="n"/>
      <c r="D6" s="299" t="n"/>
    </row>
    <row r="7" ht="64.5" customHeight="1" s="333">
      <c r="B7" s="364" t="inlineStr">
        <is>
          <t>Наименование разрабатываемого показателя УНЦ — Опоры ВЛ 0,4 - 750 кВ. Многогранные опоры</t>
        </is>
      </c>
      <c r="E7" s="300" t="n"/>
    </row>
    <row r="8" ht="31.5" customHeight="1" s="333">
      <c r="B8" s="364" t="inlineStr">
        <is>
          <t>Сопоставимый уровень цен: 3 кв. 2019г</t>
        </is>
      </c>
    </row>
    <row r="9" ht="15.75" customHeight="1" s="333">
      <c r="B9" s="364" t="inlineStr">
        <is>
          <t>Единица измерения  — 1 тн опор</t>
        </is>
      </c>
    </row>
    <row r="10">
      <c r="B10" s="364" t="n"/>
    </row>
    <row r="11">
      <c r="B11" s="367" t="inlineStr">
        <is>
          <t>№ п/п</t>
        </is>
      </c>
      <c r="C11" s="367" t="inlineStr">
        <is>
          <t>Параметр</t>
        </is>
      </c>
      <c r="D11" s="367" t="inlineStr">
        <is>
          <t xml:space="preserve">Объект-представитель </t>
        </is>
      </c>
    </row>
    <row r="12" ht="96.75" customHeight="1" s="333">
      <c r="B12" s="367" t="n">
        <v>1</v>
      </c>
      <c r="C12" s="189" t="inlineStr">
        <is>
          <t>Наименование объекта-представителя</t>
        </is>
      </c>
      <c r="D12" s="367" t="inlineStr">
        <is>
          <t>Комплексная реконструкция ВЛ 220кВ Волга – Заливская с реконструкцией ПС 220 кВ Заливская</t>
        </is>
      </c>
    </row>
    <row r="13">
      <c r="B13" s="367" t="n">
        <v>2</v>
      </c>
      <c r="C13" s="189" t="inlineStr">
        <is>
          <t>Наименование субъекта Российской Федерации</t>
        </is>
      </c>
      <c r="D13" s="367" t="inlineStr">
        <is>
          <t>Волгоградская область</t>
        </is>
      </c>
    </row>
    <row r="14">
      <c r="B14" s="367" t="n">
        <v>3</v>
      </c>
      <c r="C14" s="189" t="inlineStr">
        <is>
          <t>Климатический район и подрайон</t>
        </is>
      </c>
      <c r="D14" s="367" t="inlineStr">
        <is>
          <t>IIIВ</t>
        </is>
      </c>
    </row>
    <row r="15">
      <c r="B15" s="367" t="n">
        <v>4</v>
      </c>
      <c r="C15" s="189" t="inlineStr">
        <is>
          <t>Мощность объекта</t>
        </is>
      </c>
      <c r="D15" s="367" t="n">
        <v>5275.9625</v>
      </c>
    </row>
    <row r="16" ht="62.4" customHeight="1" s="333">
      <c r="B16" s="367" t="n">
        <v>5</v>
      </c>
      <c r="C16" s="19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4" t="inlineStr">
        <is>
          <t>Многогранные опоры ВЛ 220 кВ (МП-220, МУ220)</t>
        </is>
      </c>
    </row>
    <row r="17" ht="62.4" customHeight="1" s="333">
      <c r="B17" s="367" t="n">
        <v>6</v>
      </c>
      <c r="C17" s="19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45">
        <f>SUM(D18:D21)</f>
        <v/>
      </c>
    </row>
    <row r="18">
      <c r="B18" s="301" t="inlineStr">
        <is>
          <t>6.1</t>
        </is>
      </c>
      <c r="C18" s="189" t="inlineStr">
        <is>
          <t>строительно-монтажные работы</t>
        </is>
      </c>
      <c r="D18" s="345">
        <f>'Прил.2 Расч стоим'!F14</f>
        <v/>
      </c>
    </row>
    <row r="19" ht="15.75" customHeight="1" s="333">
      <c r="B19" s="301" t="inlineStr">
        <is>
          <t>6.2</t>
        </is>
      </c>
      <c r="C19" s="189" t="inlineStr">
        <is>
          <t>оборудование и инвентарь</t>
        </is>
      </c>
      <c r="D19" s="345" t="n">
        <v>0</v>
      </c>
    </row>
    <row r="20" ht="16.5" customHeight="1" s="333">
      <c r="B20" s="301" t="inlineStr">
        <is>
          <t>6.3</t>
        </is>
      </c>
      <c r="C20" s="189" t="inlineStr">
        <is>
          <t>пусконаладочные работы</t>
        </is>
      </c>
      <c r="D20" s="345" t="n">
        <v>0</v>
      </c>
    </row>
    <row r="21" ht="35.25" customHeight="1" s="333">
      <c r="B21" s="301" t="inlineStr">
        <is>
          <t>6.4</t>
        </is>
      </c>
      <c r="C21" s="302" t="inlineStr">
        <is>
          <t>прочие и лимитированные затраты</t>
        </is>
      </c>
      <c r="D21" s="345" t="n"/>
    </row>
    <row r="22">
      <c r="B22" s="367" t="n">
        <v>7</v>
      </c>
      <c r="C22" s="302" t="inlineStr">
        <is>
          <t>Сопоставимый уровень цен</t>
        </is>
      </c>
      <c r="D22" s="367" t="inlineStr">
        <is>
          <t>3 кв. 2019г</t>
        </is>
      </c>
    </row>
    <row r="23" ht="78" customHeight="1" s="333">
      <c r="B23" s="367" t="n">
        <v>8</v>
      </c>
      <c r="C23" s="30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45">
        <f>D17</f>
        <v/>
      </c>
    </row>
    <row r="24" ht="31.2" customHeight="1" s="333">
      <c r="B24" s="367" t="n">
        <v>9</v>
      </c>
      <c r="C24" s="190" t="inlineStr">
        <is>
          <t>Приведенная сметная стоимость на единицу мощности, тыс. руб. (строка 8/строку 4)</t>
        </is>
      </c>
      <c r="D24" s="345">
        <f>D23/D15</f>
        <v/>
      </c>
    </row>
    <row r="25">
      <c r="B25" s="367" t="n">
        <v>10</v>
      </c>
      <c r="C25" s="189" t="inlineStr">
        <is>
          <t>Примечание</t>
        </is>
      </c>
      <c r="D25" s="367" t="n"/>
    </row>
    <row r="26">
      <c r="B26" s="304" t="n"/>
      <c r="C26" s="305" t="n"/>
      <c r="D26" s="305" t="n"/>
    </row>
    <row r="27" ht="37.5" customHeight="1" s="333">
      <c r="B27" s="296" t="n"/>
    </row>
    <row r="28">
      <c r="B28" s="332" t="inlineStr">
        <is>
          <t>Составил ______________________    Д.Ю. Нефедова</t>
        </is>
      </c>
    </row>
    <row r="29">
      <c r="B29" s="296" t="inlineStr">
        <is>
          <t xml:space="preserve">                         (подпись, инициалы, фамилия)</t>
        </is>
      </c>
    </row>
    <row r="31">
      <c r="B31" s="332" t="inlineStr">
        <is>
          <t>Проверил ______________________        А.В. Костянецкая</t>
        </is>
      </c>
    </row>
    <row r="32">
      <c r="B32" s="29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332" min="1" max="1"/>
    <col width="9.109375" customWidth="1" style="332" min="2" max="2"/>
    <col width="35.33203125" customWidth="1" style="332" min="3" max="3"/>
    <col width="13.88671875" customWidth="1" style="332" min="4" max="4"/>
    <col width="24.88671875" customWidth="1" style="332" min="5" max="5"/>
    <col width="15.5546875" customWidth="1" style="332" min="6" max="6"/>
    <col width="14.88671875" customWidth="1" style="332" min="7" max="7"/>
    <col width="16.6640625" customWidth="1" style="332" min="8" max="8"/>
    <col width="9.6640625" customWidth="1" style="332" min="9" max="9"/>
    <col width="17.6640625" customWidth="1" style="332" min="10" max="10"/>
    <col width="18" customWidth="1" style="332" min="11" max="11"/>
    <col width="9.109375" customWidth="1" style="332" min="12" max="12"/>
  </cols>
  <sheetData>
    <row r="3">
      <c r="B3" s="362" t="inlineStr">
        <is>
          <t>Приложение № 2</t>
        </is>
      </c>
      <c r="K3" s="296" t="n"/>
    </row>
    <row r="4">
      <c r="B4" s="363" t="inlineStr">
        <is>
          <t>Расчет стоимости основных видов работ для выбора объекта-представителя</t>
        </is>
      </c>
    </row>
    <row r="5">
      <c r="B5" s="297" t="n"/>
      <c r="C5" s="297" t="n"/>
      <c r="D5" s="297" t="n"/>
      <c r="E5" s="297" t="n"/>
      <c r="F5" s="297" t="n"/>
      <c r="G5" s="297" t="n"/>
      <c r="H5" s="297" t="n"/>
      <c r="I5" s="297" t="n"/>
      <c r="J5" s="297" t="n"/>
      <c r="K5" s="297" t="n"/>
    </row>
    <row r="6" ht="29.25" customHeight="1" s="333">
      <c r="B6" s="364">
        <f>'Прил.1 Сравнит табл'!B7:D7</f>
        <v/>
      </c>
    </row>
    <row r="7">
      <c r="B7" s="364">
        <f>'Прил.1 Сравнит табл'!B9:D9</f>
        <v/>
      </c>
    </row>
    <row r="8" ht="18.75" customHeight="1" s="333">
      <c r="B8" s="298" t="n"/>
    </row>
    <row r="9" ht="15.75" customHeight="1" s="333">
      <c r="B9" s="367" t="inlineStr">
        <is>
          <t>№ п/п</t>
        </is>
      </c>
      <c r="C9" s="36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7" t="inlineStr">
        <is>
          <t>Объект-представитель 1</t>
        </is>
      </c>
      <c r="E9" s="458" t="n"/>
      <c r="F9" s="458" t="n"/>
      <c r="G9" s="458" t="n"/>
      <c r="H9" s="458" t="n"/>
      <c r="I9" s="458" t="n"/>
      <c r="J9" s="459" t="n"/>
    </row>
    <row r="10" ht="15.75" customHeight="1" s="333">
      <c r="B10" s="460" t="n"/>
      <c r="C10" s="460" t="n"/>
      <c r="D10" s="367" t="inlineStr">
        <is>
          <t>Номер сметы</t>
        </is>
      </c>
      <c r="E10" s="367" t="inlineStr">
        <is>
          <t>Наименование сметы</t>
        </is>
      </c>
      <c r="F10" s="367" t="inlineStr">
        <is>
          <t>Сметная стоимость в уровне цен 3 кв. 2019 г., тыс. руб.</t>
        </is>
      </c>
      <c r="G10" s="458" t="n"/>
      <c r="H10" s="458" t="n"/>
      <c r="I10" s="458" t="n"/>
      <c r="J10" s="459" t="n"/>
    </row>
    <row r="11" ht="31.5" customHeight="1" s="333">
      <c r="B11" s="461" t="n"/>
      <c r="C11" s="461" t="n"/>
      <c r="D11" s="461" t="n"/>
      <c r="E11" s="461" t="n"/>
      <c r="F11" s="367" t="inlineStr">
        <is>
          <t>Строительные работы</t>
        </is>
      </c>
      <c r="G11" s="367" t="inlineStr">
        <is>
          <t>Монтажные работы</t>
        </is>
      </c>
      <c r="H11" s="367" t="inlineStr">
        <is>
          <t>Оборудование</t>
        </is>
      </c>
      <c r="I11" s="367" t="inlineStr">
        <is>
          <t>Прочее</t>
        </is>
      </c>
      <c r="J11" s="367" t="inlineStr">
        <is>
          <t>Всего</t>
        </is>
      </c>
    </row>
    <row r="12" ht="15" customHeight="1" s="333">
      <c r="B12" s="346" t="n">
        <v>1</v>
      </c>
      <c r="C12" s="347" t="inlineStr">
        <is>
          <t>Монтаж опор</t>
        </is>
      </c>
      <c r="D12" s="348" t="inlineStr">
        <is>
          <t>02-10-02</t>
        </is>
      </c>
      <c r="E12" s="189" t="inlineStr">
        <is>
          <t>Установка опор ВЛ 220 Волга-Заливская</t>
        </is>
      </c>
      <c r="F12" s="227" t="n">
        <v>1404340.9924592</v>
      </c>
      <c r="G12" s="459" t="n"/>
      <c r="H12" s="349" t="n"/>
      <c r="I12" s="349" t="n"/>
      <c r="J12" s="350">
        <f>SUM(F12:I12)</f>
        <v/>
      </c>
    </row>
    <row r="13" ht="15.75" customHeight="1" s="333">
      <c r="B13" s="366" t="inlineStr">
        <is>
          <t>Всего по объекту:</t>
        </is>
      </c>
      <c r="C13" s="458" t="n"/>
      <c r="D13" s="458" t="n"/>
      <c r="E13" s="459" t="n"/>
      <c r="F13" s="351" t="n"/>
      <c r="G13" s="351" t="n"/>
      <c r="H13" s="351" t="n"/>
      <c r="I13" s="351" t="n"/>
      <c r="J13" s="350" t="n"/>
    </row>
    <row r="14" ht="15.75" customHeight="1" s="333">
      <c r="B14" s="366" t="inlineStr">
        <is>
          <t>Всего по объекту в сопоставимом уровне цен 3 кв. 2019г:</t>
        </is>
      </c>
      <c r="C14" s="458" t="n"/>
      <c r="D14" s="458" t="n"/>
      <c r="E14" s="459" t="n"/>
      <c r="F14" s="462">
        <f>F12</f>
        <v/>
      </c>
      <c r="G14" s="459" t="n"/>
      <c r="H14" s="351" t="n"/>
      <c r="I14" s="351" t="n"/>
      <c r="J14" s="350">
        <f>SUM(F14:I14)</f>
        <v/>
      </c>
    </row>
    <row r="15" ht="15" customHeight="1" s="333"/>
    <row r="16" ht="15" customHeight="1" s="333"/>
    <row r="17" ht="15" customHeight="1" s="333"/>
    <row r="18" ht="15" customHeight="1" s="333">
      <c r="C18" s="339" t="inlineStr">
        <is>
          <t>Составил ______________________     Д.Ю. Нефедова</t>
        </is>
      </c>
      <c r="D18" s="340" t="n"/>
      <c r="E18" s="340" t="n"/>
    </row>
    <row r="19" ht="15" customHeight="1" s="333">
      <c r="C19" s="342" t="inlineStr">
        <is>
          <t xml:space="preserve">                         (подпись, инициалы, фамилия)</t>
        </is>
      </c>
      <c r="D19" s="340" t="n"/>
      <c r="E19" s="340" t="n"/>
    </row>
    <row r="20" ht="15" customHeight="1" s="333">
      <c r="C20" s="339" t="n"/>
      <c r="D20" s="340" t="n"/>
      <c r="E20" s="340" t="n"/>
    </row>
    <row r="21" ht="15" customHeight="1" s="333">
      <c r="C21" s="339" t="inlineStr">
        <is>
          <t>Проверил ______________________        А.В. Костянецкая</t>
        </is>
      </c>
      <c r="D21" s="340" t="n"/>
      <c r="E21" s="340" t="n"/>
    </row>
    <row r="22" ht="15" customHeight="1" s="333">
      <c r="C22" s="342" t="inlineStr">
        <is>
          <t xml:space="preserve">                        (подпись, инициалы, фамилия)</t>
        </is>
      </c>
      <c r="D22" s="340" t="n"/>
      <c r="E22" s="340" t="n"/>
    </row>
    <row r="23" ht="15" customHeight="1" s="333"/>
    <row r="24" ht="15" customHeight="1" s="333"/>
    <row r="25" ht="15" customHeight="1" s="333"/>
    <row r="26" ht="15" customHeight="1" s="333"/>
    <row r="27" ht="15" customHeight="1" s="333"/>
    <row r="28" ht="15" customHeight="1" s="333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31"/>
  <sheetViews>
    <sheetView view="pageBreakPreview" topLeftCell="A10" zoomScale="85" workbookViewId="0">
      <selection activeCell="C27" sqref="C27"/>
    </sheetView>
  </sheetViews>
  <sheetFormatPr baseColWidth="8" defaultColWidth="9.109375" defaultRowHeight="15.6"/>
  <cols>
    <col width="9.109375" customWidth="1" style="332" min="1" max="1"/>
    <col width="12.5546875" customWidth="1" style="332" min="2" max="2"/>
    <col width="22.44140625" customWidth="1" style="332" min="3" max="3"/>
    <col width="49.6640625" customWidth="1" style="332" min="4" max="4"/>
    <col width="10.109375" customWidth="1" style="332" min="5" max="5"/>
    <col width="20.6640625" customWidth="1" style="332" min="6" max="6"/>
    <col width="20" customWidth="1" style="332" min="7" max="7"/>
    <col width="16.6640625" customWidth="1" style="332" min="8" max="8"/>
    <col width="9.109375" customWidth="1" style="332" min="9" max="9"/>
    <col width="12.88671875" customWidth="1" style="332" min="10" max="10"/>
    <col width="15" customWidth="1" style="332" min="11" max="11"/>
    <col width="9.109375" customWidth="1" style="332" min="12" max="16"/>
  </cols>
  <sheetData>
    <row r="2">
      <c r="A2" s="362" t="inlineStr">
        <is>
          <t xml:space="preserve">Приложение № 3 </t>
        </is>
      </c>
    </row>
    <row r="3">
      <c r="A3" s="363" t="inlineStr">
        <is>
          <t>Объектная ресурсная ведомость</t>
        </is>
      </c>
    </row>
    <row r="4" ht="18.75" customHeight="1" s="333">
      <c r="A4" s="286" t="n"/>
      <c r="B4" s="286" t="n"/>
      <c r="C4" s="37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4" t="n"/>
    </row>
    <row r="6">
      <c r="A6" s="378" t="inlineStr">
        <is>
          <t>Наименование разрабатываемого показателя УНЦ -  Опоры ВЛ 0,4 - 750 кВ. Многогранные опоры</t>
        </is>
      </c>
    </row>
    <row r="7">
      <c r="A7" s="378" t="n"/>
      <c r="B7" s="378" t="n"/>
      <c r="C7" s="378" t="n"/>
      <c r="D7" s="378" t="n"/>
      <c r="E7" s="378" t="n"/>
      <c r="F7" s="378" t="n"/>
      <c r="G7" s="378" t="n"/>
      <c r="H7" s="378" t="n"/>
    </row>
    <row r="8" ht="38.25" customHeight="1" s="333">
      <c r="A8" s="367" t="inlineStr">
        <is>
          <t>п/п</t>
        </is>
      </c>
      <c r="B8" s="367" t="inlineStr">
        <is>
          <t>№ЛСР</t>
        </is>
      </c>
      <c r="C8" s="367" t="inlineStr">
        <is>
          <t>Код ресурса</t>
        </is>
      </c>
      <c r="D8" s="367" t="inlineStr">
        <is>
          <t>Наименование ресурса</t>
        </is>
      </c>
      <c r="E8" s="367" t="inlineStr">
        <is>
          <t>Ед. изм.</t>
        </is>
      </c>
      <c r="F8" s="367" t="inlineStr">
        <is>
          <t>Кол-во единиц по данным объекта-представителя</t>
        </is>
      </c>
      <c r="G8" s="367" t="inlineStr">
        <is>
          <t>Сметная стоимость в ценах на 01.01.2000 (руб.)</t>
        </is>
      </c>
      <c r="H8" s="459" t="n"/>
    </row>
    <row r="9" ht="40.5" customHeight="1" s="333">
      <c r="A9" s="461" t="n"/>
      <c r="B9" s="461" t="n"/>
      <c r="C9" s="461" t="n"/>
      <c r="D9" s="461" t="n"/>
      <c r="E9" s="461" t="n"/>
      <c r="F9" s="461" t="n"/>
      <c r="G9" s="367" t="inlineStr">
        <is>
          <t>на ед.изм.</t>
        </is>
      </c>
      <c r="H9" s="367" t="inlineStr">
        <is>
          <t>общая</t>
        </is>
      </c>
    </row>
    <row r="10">
      <c r="A10" s="347" t="n">
        <v>1</v>
      </c>
      <c r="B10" s="347" t="n"/>
      <c r="C10" s="347" t="n">
        <v>2</v>
      </c>
      <c r="D10" s="347" t="inlineStr">
        <is>
          <t>З</t>
        </is>
      </c>
      <c r="E10" s="347" t="n">
        <v>4</v>
      </c>
      <c r="F10" s="347" t="n">
        <v>5</v>
      </c>
      <c r="G10" s="347" t="n">
        <v>6</v>
      </c>
      <c r="H10" s="347" t="n">
        <v>7</v>
      </c>
    </row>
    <row r="11" customFormat="1" s="334">
      <c r="A11" s="375" t="inlineStr">
        <is>
          <t>Затраты труда рабочих</t>
        </is>
      </c>
      <c r="B11" s="458" t="n"/>
      <c r="C11" s="458" t="n"/>
      <c r="D11" s="458" t="n"/>
      <c r="E11" s="459" t="n"/>
      <c r="F11" s="193">
        <f>SUM(F12:F12)</f>
        <v/>
      </c>
      <c r="G11" s="194" t="n"/>
      <c r="H11" s="193">
        <f>SUM(H12:H12)</f>
        <v/>
      </c>
    </row>
    <row r="12">
      <c r="A12" s="412" t="n">
        <v>1</v>
      </c>
      <c r="B12" s="196" t="n"/>
      <c r="C12" s="205" t="inlineStr">
        <is>
          <t>1-4-2</t>
        </is>
      </c>
      <c r="D12" s="206" t="inlineStr">
        <is>
          <t>Затраты труда рабочих (ср 4,2)</t>
        </is>
      </c>
      <c r="E12" s="412" t="inlineStr">
        <is>
          <t>чел.-ч</t>
        </is>
      </c>
      <c r="F12" s="208" t="n">
        <v>323612.1</v>
      </c>
      <c r="G12" s="201" t="n">
        <v>9.92</v>
      </c>
      <c r="H12" s="201">
        <f>ROUND(F12*G12,2)</f>
        <v/>
      </c>
      <c r="M12" s="289" t="n"/>
    </row>
    <row r="13" ht="15.75" customHeight="1" s="333">
      <c r="A13" s="375" t="inlineStr">
        <is>
          <t>Затраты труда машинистов</t>
        </is>
      </c>
      <c r="B13" s="458" t="n"/>
      <c r="C13" s="458" t="n"/>
      <c r="D13" s="458" t="n"/>
      <c r="E13" s="459" t="n"/>
      <c r="F13" s="375" t="n"/>
      <c r="G13" s="202" t="n"/>
      <c r="H13" s="203">
        <f>H14</f>
        <v/>
      </c>
    </row>
    <row r="14">
      <c r="A14" s="412" t="n">
        <v>2</v>
      </c>
      <c r="B14" s="376" t="n"/>
      <c r="C14" s="205" t="n">
        <v>2</v>
      </c>
      <c r="D14" s="206" t="inlineStr">
        <is>
          <t>Затраты труда машинистов(справочно)</t>
        </is>
      </c>
      <c r="E14" s="412" t="inlineStr">
        <is>
          <t>чел.-ч</t>
        </is>
      </c>
      <c r="F14" s="208" t="n">
        <v>105533.8</v>
      </c>
      <c r="G14" s="201" t="n"/>
      <c r="H14" s="191" t="n">
        <v>755029.74</v>
      </c>
      <c r="N14" s="290" t="n"/>
    </row>
    <row r="15" customFormat="1" s="334">
      <c r="A15" s="375" t="inlineStr">
        <is>
          <t>Машины и механизмы</t>
        </is>
      </c>
      <c r="B15" s="458" t="n"/>
      <c r="C15" s="458" t="n"/>
      <c r="D15" s="458" t="n"/>
      <c r="E15" s="459" t="n"/>
      <c r="F15" s="375" t="n"/>
      <c r="G15" s="202" t="n"/>
      <c r="H15" s="193">
        <f>SUM(H16:H21)</f>
        <v/>
      </c>
    </row>
    <row r="16" ht="25.5" customHeight="1" s="333">
      <c r="A16" s="412" t="n">
        <v>3</v>
      </c>
      <c r="B16" s="376" t="n"/>
      <c r="C16" s="205" t="inlineStr">
        <is>
          <t>91.15.02-029</t>
        </is>
      </c>
      <c r="D16" s="206" t="inlineStr">
        <is>
          <t>Тракторы на гусеничном ходу с лебедкой 132 кВт (180 л.с.)</t>
        </is>
      </c>
      <c r="E16" s="412" t="inlineStr">
        <is>
          <t>маш.час</t>
        </is>
      </c>
      <c r="F16" s="412" t="n">
        <v>22381.959249162</v>
      </c>
      <c r="G16" s="209" t="n">
        <v>147.43</v>
      </c>
      <c r="H16" s="201">
        <f>ROUND(F16*G16,2)</f>
        <v/>
      </c>
      <c r="I16" s="294" t="n"/>
      <c r="J16" s="294" t="n"/>
      <c r="K16" s="463" t="n"/>
      <c r="L16" s="293" t="n"/>
    </row>
    <row r="17" ht="26.4" customFormat="1" customHeight="1" s="334">
      <c r="A17" s="412" t="n">
        <v>4</v>
      </c>
      <c r="B17" s="376" t="n"/>
      <c r="C17" s="205" t="inlineStr">
        <is>
          <t>91.13.03-111</t>
        </is>
      </c>
      <c r="D17" s="206" t="inlineStr">
        <is>
          <t>Спецавтомобили-вездеходы, грузоподъемность до 8 т</t>
        </is>
      </c>
      <c r="E17" s="412" t="inlineStr">
        <is>
          <t>маш.час</t>
        </is>
      </c>
      <c r="F17" s="412" t="n">
        <v>10184.773583101</v>
      </c>
      <c r="G17" s="209" t="n">
        <v>189.95</v>
      </c>
      <c r="H17" s="201">
        <f>ROUND(F17*G17,2)</f>
        <v/>
      </c>
      <c r="I17" s="294" t="n"/>
      <c r="J17" s="294" t="n"/>
      <c r="K17" s="460" t="n"/>
      <c r="L17" s="294" t="n"/>
    </row>
    <row r="18" ht="38.25" customFormat="1" customHeight="1" s="334">
      <c r="A18" s="412" t="n">
        <v>5</v>
      </c>
      <c r="B18" s="376" t="n"/>
      <c r="C18" s="205" t="inlineStr">
        <is>
          <t>91.05.14-516</t>
        </is>
      </c>
      <c r="D18" s="206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18" s="412" t="inlineStr">
        <is>
          <t>маш.час</t>
        </is>
      </c>
      <c r="F18" s="412" t="n">
        <v>18093.993673405</v>
      </c>
      <c r="G18" s="209" t="n">
        <v>77.64</v>
      </c>
      <c r="H18" s="201">
        <f>ROUND(F18*G18,2)</f>
        <v/>
      </c>
      <c r="I18" s="294" t="n"/>
      <c r="J18" s="294" t="n"/>
      <c r="K18" s="461" t="n"/>
      <c r="L18" s="294" t="n"/>
    </row>
    <row r="19" ht="25.5" customFormat="1" customHeight="1" s="334">
      <c r="A19" s="412" t="n">
        <v>6</v>
      </c>
      <c r="B19" s="376" t="n"/>
      <c r="C19" s="205" t="inlineStr">
        <is>
          <t>91.05.05-015</t>
        </is>
      </c>
      <c r="D19" s="206" t="inlineStr">
        <is>
          <t>Краны на автомобильном ходу, грузоподъемность 16 т</t>
        </is>
      </c>
      <c r="E19" s="412" t="inlineStr">
        <is>
          <t>маш.час</t>
        </is>
      </c>
      <c r="F19" s="412" t="n">
        <v>3055.3640577948</v>
      </c>
      <c r="G19" s="209" t="n">
        <v>115.4</v>
      </c>
      <c r="H19" s="201">
        <f>ROUND(F19*G19,2)</f>
        <v/>
      </c>
      <c r="I19" s="294" t="n"/>
      <c r="J19" s="294" t="n"/>
      <c r="L19" s="294" t="n"/>
    </row>
    <row r="20" ht="25.5" customFormat="1" customHeight="1" s="334">
      <c r="A20" s="412" t="n">
        <v>7</v>
      </c>
      <c r="B20" s="376" t="n"/>
      <c r="C20" s="205" t="inlineStr">
        <is>
          <t>91.06.09-101</t>
        </is>
      </c>
      <c r="D20" s="206" t="inlineStr">
        <is>
          <t>Стрелы монтажные А-образные для подъема опор ВЛ, высота до 22 м</t>
        </is>
      </c>
      <c r="E20" s="412" t="inlineStr">
        <is>
          <t>маш.час</t>
        </is>
      </c>
      <c r="F20" s="412" t="n">
        <v>2861.0056789321</v>
      </c>
      <c r="G20" s="209" t="n">
        <v>6.24</v>
      </c>
      <c r="H20" s="201">
        <f>ROUND(F20*G20,2)</f>
        <v/>
      </c>
      <c r="I20" s="294" t="n"/>
      <c r="J20" s="294" t="n"/>
      <c r="L20" s="294" t="n"/>
    </row>
    <row r="21" ht="26.4" customFormat="1" customHeight="1" s="334">
      <c r="A21" s="412" t="n">
        <v>8</v>
      </c>
      <c r="B21" s="376" t="n"/>
      <c r="C21" s="205" t="inlineStr">
        <is>
          <t>91.06.01-002</t>
        </is>
      </c>
      <c r="D21" s="206" t="inlineStr">
        <is>
          <t>Домкраты гидравлические, грузоподъемность 6,3-25 т</t>
        </is>
      </c>
      <c r="E21" s="412" t="inlineStr">
        <is>
          <t>маш.час</t>
        </is>
      </c>
      <c r="F21" s="412" t="n">
        <v>18084.957594155</v>
      </c>
      <c r="G21" s="209" t="n">
        <v>0.48</v>
      </c>
      <c r="H21" s="201">
        <f>ROUND(F21*G21,2)</f>
        <v/>
      </c>
      <c r="I21" s="294" t="n"/>
      <c r="J21" s="294" t="n"/>
      <c r="L21" s="294" t="n"/>
    </row>
    <row r="22" ht="15" customHeight="1" s="333">
      <c r="A22" s="375" t="inlineStr">
        <is>
          <t>Оборудование</t>
        </is>
      </c>
      <c r="B22" s="458" t="n"/>
      <c r="C22" s="458" t="n"/>
      <c r="D22" s="458" t="n"/>
      <c r="E22" s="459" t="n"/>
      <c r="F22" s="194" t="n"/>
      <c r="G22" s="194" t="n"/>
      <c r="H22" s="193" t="n">
        <v>0</v>
      </c>
    </row>
    <row r="23">
      <c r="A23" s="375" t="inlineStr">
        <is>
          <t>Материалы</t>
        </is>
      </c>
      <c r="B23" s="458" t="n"/>
      <c r="C23" s="458" t="n"/>
      <c r="D23" s="458" t="n"/>
      <c r="E23" s="459" t="n"/>
      <c r="F23" s="375" t="n"/>
      <c r="G23" s="202" t="n"/>
      <c r="H23" s="193">
        <f>SUM(H24:H25)</f>
        <v/>
      </c>
    </row>
    <row r="24" ht="25.5" customHeight="1" s="333">
      <c r="A24" s="210" t="n">
        <v>9</v>
      </c>
      <c r="B24" s="376" t="n"/>
      <c r="C24" s="205" t="inlineStr">
        <is>
          <t>Прайс из СД ОП</t>
        </is>
      </c>
      <c r="D24" s="393" t="inlineStr">
        <is>
          <t>Опоры многогранные оцинкованные, анкерно-угловые 220 кВ</t>
        </is>
      </c>
      <c r="E24" s="384" t="inlineStr">
        <is>
          <t>т</t>
        </is>
      </c>
      <c r="F24" s="269" t="n">
        <v>2103.4859</v>
      </c>
      <c r="G24" s="395" t="n">
        <v>27362.82</v>
      </c>
      <c r="H24" s="201">
        <f>ROUND(F24*G24,2)</f>
        <v/>
      </c>
      <c r="I24" s="295" t="n"/>
      <c r="J24" s="294" t="n"/>
      <c r="K24" s="293" t="n"/>
    </row>
    <row r="25" ht="25.5" customHeight="1" s="333">
      <c r="A25" s="210" t="n">
        <v>10</v>
      </c>
      <c r="B25" s="376" t="n"/>
      <c r="C25" s="205" t="inlineStr">
        <is>
          <t>Прайс из СД ОП</t>
        </is>
      </c>
      <c r="D25" s="393" t="inlineStr">
        <is>
          <t>Опоры многогранные оцинкованные, промежуточные 220 кВ</t>
        </is>
      </c>
      <c r="E25" s="384" t="inlineStr">
        <is>
          <t>т</t>
        </is>
      </c>
      <c r="F25" s="269" t="n">
        <v>3172.4766</v>
      </c>
      <c r="G25" s="395" t="n">
        <v>25685.96</v>
      </c>
      <c r="H25" s="201">
        <f>ROUND(F25*G25,2)</f>
        <v/>
      </c>
    </row>
    <row r="27">
      <c r="B27" s="332" t="inlineStr">
        <is>
          <t>Составил ______________________     Д.Ю. Нефедова</t>
        </is>
      </c>
    </row>
    <row r="28">
      <c r="B28" s="296" t="inlineStr">
        <is>
          <t xml:space="preserve">                         (подпись, инициалы, фамилия)</t>
        </is>
      </c>
    </row>
    <row r="30">
      <c r="B30" s="332" t="inlineStr">
        <is>
          <t>Проверил ______________________        А.В. Костянецкая</t>
        </is>
      </c>
    </row>
    <row r="31">
      <c r="B31" s="296" t="inlineStr">
        <is>
          <t xml:space="preserve">                        (подпись, инициалы, фамилия)</t>
        </is>
      </c>
    </row>
  </sheetData>
  <mergeCells count="17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K16:K18"/>
    <mergeCell ref="A23:E23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4" min="0" max="7" man="1"/>
  </rowBreaks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RowHeight="14.4"/>
  <cols>
    <col width="4.109375" customWidth="1" style="333" min="1" max="1"/>
    <col width="36.33203125" customWidth="1" style="333" min="2" max="2"/>
    <col width="18.88671875" customWidth="1" style="333" min="3" max="3"/>
    <col width="18.33203125" customWidth="1" style="333" min="4" max="4"/>
    <col width="18.88671875" customWidth="1" style="333" min="5" max="5"/>
    <col width="15" customWidth="1" style="333" min="6" max="6"/>
    <col width="14.44140625" customWidth="1" style="333" min="7" max="7"/>
    <col width="9.109375" customWidth="1" style="333" min="8" max="11"/>
    <col width="13.5546875" customWidth="1" style="333" min="12" max="12"/>
    <col width="9.109375" customWidth="1" style="333" min="13" max="13"/>
  </cols>
  <sheetData>
    <row r="1">
      <c r="B1" s="339" t="n"/>
      <c r="C1" s="339" t="n"/>
      <c r="D1" s="339" t="n"/>
      <c r="E1" s="339" t="n"/>
    </row>
    <row r="2">
      <c r="B2" s="339" t="n"/>
      <c r="C2" s="339" t="n"/>
      <c r="D2" s="339" t="n"/>
      <c r="E2" s="407" t="inlineStr">
        <is>
          <t>Приложение № 4</t>
        </is>
      </c>
    </row>
    <row r="3">
      <c r="B3" s="339" t="n"/>
      <c r="C3" s="339" t="n"/>
      <c r="D3" s="339" t="n"/>
      <c r="E3" s="339" t="n"/>
    </row>
    <row r="4">
      <c r="B4" s="339" t="n"/>
      <c r="C4" s="339" t="n"/>
      <c r="D4" s="339" t="n"/>
      <c r="E4" s="339" t="n"/>
    </row>
    <row r="5">
      <c r="B5" s="352" t="inlineStr">
        <is>
          <t>Ресурсная модель</t>
        </is>
      </c>
    </row>
    <row r="6">
      <c r="B6" s="274" t="n"/>
      <c r="C6" s="339" t="n"/>
      <c r="D6" s="339" t="n"/>
      <c r="E6" s="339" t="n"/>
    </row>
    <row r="7" ht="25.5" customHeight="1" s="333">
      <c r="B7" s="361" t="inlineStr">
        <is>
          <t>Наименование разрабатываемого показателя УНЦ — Опоры ВЛ 0,4 - 750 кВ. Многогранные опоры</t>
        </is>
      </c>
    </row>
    <row r="8">
      <c r="B8" s="380" t="inlineStr">
        <is>
          <t>Единица измерения  — 1 тн опор</t>
        </is>
      </c>
    </row>
    <row r="9">
      <c r="B9" s="274" t="n"/>
      <c r="C9" s="339" t="n"/>
      <c r="D9" s="339" t="n"/>
      <c r="E9" s="339" t="n"/>
    </row>
    <row r="10" ht="51" customHeight="1" s="333">
      <c r="B10" s="384" t="inlineStr">
        <is>
          <t>Наименование</t>
        </is>
      </c>
      <c r="C10" s="384" t="inlineStr">
        <is>
          <t>Сметная стоимость в ценах на 01.01.2023
 (руб.)</t>
        </is>
      </c>
      <c r="D10" s="384" t="inlineStr">
        <is>
          <t>Удельный вес, 
(в СМР)</t>
        </is>
      </c>
      <c r="E10" s="384" t="inlineStr">
        <is>
          <t>Удельный вес, % 
(от всего по РМ)</t>
        </is>
      </c>
    </row>
    <row r="11">
      <c r="B11" s="251" t="inlineStr">
        <is>
          <t>Оплата труда рабочих</t>
        </is>
      </c>
      <c r="C11" s="276">
        <f>'Прил.5 Расчет СМР и ОБ'!J15</f>
        <v/>
      </c>
      <c r="D11" s="277">
        <f>C11/$C$24</f>
        <v/>
      </c>
      <c r="E11" s="277">
        <f>C11/$C$40</f>
        <v/>
      </c>
    </row>
    <row r="12">
      <c r="B12" s="251" t="inlineStr">
        <is>
          <t>Эксплуатация машин основных</t>
        </is>
      </c>
      <c r="C12" s="276">
        <f>'Прил.5 Расчет СМР и ОБ'!J23</f>
        <v/>
      </c>
      <c r="D12" s="277">
        <f>C12/$C$24</f>
        <v/>
      </c>
      <c r="E12" s="277">
        <f>C12/$C$40</f>
        <v/>
      </c>
    </row>
    <row r="13">
      <c r="B13" s="251" t="inlineStr">
        <is>
          <t>Эксплуатация машин прочих</t>
        </is>
      </c>
      <c r="C13" s="276">
        <f>'Прил.5 Расчет СМР и ОБ'!J27</f>
        <v/>
      </c>
      <c r="D13" s="277">
        <f>C13/$C$24</f>
        <v/>
      </c>
      <c r="E13" s="277">
        <f>C13/$C$40</f>
        <v/>
      </c>
    </row>
    <row r="14">
      <c r="B14" s="251" t="inlineStr">
        <is>
          <t>ЭКСПЛУАТАЦИЯ МАШИН, ВСЕГО:</t>
        </is>
      </c>
      <c r="C14" s="276">
        <f>C13+C12</f>
        <v/>
      </c>
      <c r="D14" s="277">
        <f>C14/$C$24</f>
        <v/>
      </c>
      <c r="E14" s="277">
        <f>C14/$C$40</f>
        <v/>
      </c>
    </row>
    <row r="15">
      <c r="B15" s="251" t="inlineStr">
        <is>
          <t>в том числе зарплата машинистов</t>
        </is>
      </c>
      <c r="C15" s="276">
        <f>'Прил.5 Расчет СМР и ОБ'!J17</f>
        <v/>
      </c>
      <c r="D15" s="277">
        <f>C15/$C$24</f>
        <v/>
      </c>
      <c r="E15" s="277">
        <f>C15/$C$40</f>
        <v/>
      </c>
    </row>
    <row r="16">
      <c r="B16" s="251" t="inlineStr">
        <is>
          <t>Материалы основные</t>
        </is>
      </c>
      <c r="C16" s="276">
        <f>'Прил.5 Расчет СМР и ОБ'!J39</f>
        <v/>
      </c>
      <c r="D16" s="277">
        <f>C16/$C$24</f>
        <v/>
      </c>
      <c r="E16" s="277">
        <f>C16/$C$40</f>
        <v/>
      </c>
    </row>
    <row r="17">
      <c r="B17" s="251" t="inlineStr">
        <is>
          <t>Материалы прочие</t>
        </is>
      </c>
      <c r="C17" s="276">
        <f>'Прил.5 Расчет СМР и ОБ'!J40</f>
        <v/>
      </c>
      <c r="D17" s="277">
        <f>C17/$C$24</f>
        <v/>
      </c>
      <c r="E17" s="277">
        <f>C17/$C$40</f>
        <v/>
      </c>
      <c r="G17" s="280" t="n"/>
    </row>
    <row r="18">
      <c r="B18" s="251" t="inlineStr">
        <is>
          <t>МАТЕРИАЛЫ, ВСЕГО:</t>
        </is>
      </c>
      <c r="C18" s="276">
        <f>C17+C16</f>
        <v/>
      </c>
      <c r="D18" s="277">
        <f>C18/$C$24</f>
        <v/>
      </c>
      <c r="E18" s="277">
        <f>C18/$C$40</f>
        <v/>
      </c>
    </row>
    <row r="19">
      <c r="B19" s="251" t="inlineStr">
        <is>
          <t>ИТОГО</t>
        </is>
      </c>
      <c r="C19" s="276">
        <f>C18+C14+C11</f>
        <v/>
      </c>
      <c r="D19" s="277" t="n"/>
      <c r="E19" s="251" t="n"/>
    </row>
    <row r="20">
      <c r="B20" s="251" t="inlineStr">
        <is>
          <t>Сметная прибыль, руб.</t>
        </is>
      </c>
      <c r="C20" s="276">
        <f>ROUND(C21*(C11+C15),2)</f>
        <v/>
      </c>
      <c r="D20" s="277">
        <f>C20/$C$24</f>
        <v/>
      </c>
      <c r="E20" s="277">
        <f>C20/$C$40</f>
        <v/>
      </c>
    </row>
    <row r="21">
      <c r="B21" s="251" t="inlineStr">
        <is>
          <t>Сметная прибыль, %</t>
        </is>
      </c>
      <c r="C21" s="279">
        <f>'Прил.5 Расчет СМР и ОБ'!D44</f>
        <v/>
      </c>
      <c r="D21" s="277" t="n"/>
      <c r="E21" s="251" t="n"/>
    </row>
    <row r="22">
      <c r="B22" s="251" t="inlineStr">
        <is>
          <t>Накладные расходы, руб.</t>
        </is>
      </c>
      <c r="C22" s="276">
        <f>ROUND(C23*(C11+C15),2)</f>
        <v/>
      </c>
      <c r="D22" s="277">
        <f>C22/$C$24</f>
        <v/>
      </c>
      <c r="E22" s="277">
        <f>C22/$C$40</f>
        <v/>
      </c>
    </row>
    <row r="23">
      <c r="B23" s="251" t="inlineStr">
        <is>
          <t>Накладные расходы, %</t>
        </is>
      </c>
      <c r="C23" s="279">
        <f>'Прил.5 Расчет СМР и ОБ'!D43</f>
        <v/>
      </c>
      <c r="D23" s="277" t="n"/>
      <c r="E23" s="251" t="n"/>
    </row>
    <row r="24">
      <c r="B24" s="251" t="inlineStr">
        <is>
          <t>ВСЕГО СМР с НР и СП</t>
        </is>
      </c>
      <c r="C24" s="276">
        <f>C19+C20+C22</f>
        <v/>
      </c>
      <c r="D24" s="277">
        <f>C24/$C$24</f>
        <v/>
      </c>
      <c r="E24" s="277">
        <f>C24/$C$40</f>
        <v/>
      </c>
    </row>
    <row r="25" ht="25.5" customHeight="1" s="333">
      <c r="B25" s="251" t="inlineStr">
        <is>
          <t>ВСЕГО стоимость оборудования, в том числе</t>
        </is>
      </c>
      <c r="C25" s="276">
        <f>'Прил.5 Расчет СМР и ОБ'!J33</f>
        <v/>
      </c>
      <c r="D25" s="277" t="n"/>
      <c r="E25" s="277">
        <f>C25/$C$40</f>
        <v/>
      </c>
    </row>
    <row r="26" ht="25.5" customHeight="1" s="333">
      <c r="B26" s="251" t="inlineStr">
        <is>
          <t>стоимость оборудования технологического</t>
        </is>
      </c>
      <c r="C26" s="276">
        <f>'Прил.5 Расчет СМР и ОБ'!J34</f>
        <v/>
      </c>
      <c r="D26" s="277" t="n"/>
      <c r="E26" s="277">
        <f>C26/$C$40</f>
        <v/>
      </c>
    </row>
    <row r="27">
      <c r="B27" s="251" t="inlineStr">
        <is>
          <t>ИТОГО (СМР + ОБОРУДОВАНИЕ)</t>
        </is>
      </c>
      <c r="C27" s="188">
        <f>C24+C25</f>
        <v/>
      </c>
      <c r="D27" s="277" t="n"/>
      <c r="E27" s="277">
        <f>C27/$C$40</f>
        <v/>
      </c>
      <c r="F27" s="280" t="n"/>
    </row>
    <row r="28" ht="33" customHeight="1" s="333">
      <c r="B28" s="251" t="inlineStr">
        <is>
          <t>ПРОЧ. ЗАТР., УЧТЕННЫЕ ПОКАЗАТЕЛЕМ,  в том числе</t>
        </is>
      </c>
      <c r="C28" s="251" t="n"/>
      <c r="D28" s="251" t="n"/>
      <c r="E28" s="251" t="n"/>
      <c r="F28" s="281" t="n"/>
    </row>
    <row r="29" ht="25.5" customHeight="1" s="333">
      <c r="B29" s="251" t="inlineStr">
        <is>
          <t>Временные здания и сооружения - 3,3%</t>
        </is>
      </c>
      <c r="C29" s="188">
        <f>ROUND(C24*3.3%,2)</f>
        <v/>
      </c>
      <c r="D29" s="251" t="n"/>
      <c r="E29" s="277">
        <f>C29/$C$40</f>
        <v/>
      </c>
    </row>
    <row r="30" ht="38.25" customHeight="1" s="333">
      <c r="B30" s="251" t="inlineStr">
        <is>
          <t>Дополнительные затраты при производстве строительно-монтажных работ в зимнее время - 1,00%</t>
        </is>
      </c>
      <c r="C30" s="188">
        <f>ROUND((C24+C29)*1%,2)</f>
        <v/>
      </c>
      <c r="D30" s="251" t="n"/>
      <c r="E30" s="277">
        <f>C30/$C$40</f>
        <v/>
      </c>
      <c r="F30" s="282" t="n"/>
    </row>
    <row r="31">
      <c r="B31" s="251" t="inlineStr">
        <is>
          <t>Пусконаладочные работы</t>
        </is>
      </c>
      <c r="C31" s="188" t="n">
        <v>0</v>
      </c>
      <c r="D31" s="251" t="n"/>
      <c r="E31" s="277">
        <f>C31/$C$40</f>
        <v/>
      </c>
    </row>
    <row r="32" ht="25.5" customHeight="1" s="333">
      <c r="B32" s="251" t="inlineStr">
        <is>
          <t>Затраты по перевозке работников к месту работы и обратно</t>
        </is>
      </c>
      <c r="C32" s="188">
        <f>ROUND(C27*0%,2)</f>
        <v/>
      </c>
      <c r="D32" s="251" t="n"/>
      <c r="E32" s="277">
        <f>C32/$C$40</f>
        <v/>
      </c>
    </row>
    <row r="33" ht="25.5" customHeight="1" s="333">
      <c r="B33" s="251" t="inlineStr">
        <is>
          <t>Затраты, связанные с осуществлением работ вахтовым методом</t>
        </is>
      </c>
      <c r="C33" s="188">
        <f>ROUND(C28*0%,2)</f>
        <v/>
      </c>
      <c r="D33" s="251" t="n"/>
      <c r="E33" s="277">
        <f>C33/$C$40</f>
        <v/>
      </c>
    </row>
    <row r="34" ht="51" customHeight="1" s="333">
      <c r="B34" s="25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8">
        <f>ROUND(C29*0%,2)</f>
        <v/>
      </c>
      <c r="D34" s="251" t="n"/>
      <c r="E34" s="277">
        <f>C34/$C$40</f>
        <v/>
      </c>
      <c r="H34" s="295" t="n"/>
    </row>
    <row r="35" ht="76.5" customHeight="1" s="333">
      <c r="B35" s="25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8">
        <f>ROUND(C30*0%,2)</f>
        <v/>
      </c>
      <c r="D35" s="251" t="n"/>
      <c r="E35" s="277">
        <f>C35/$C$40</f>
        <v/>
      </c>
    </row>
    <row r="36" ht="25.5" customHeight="1" s="333">
      <c r="B36" s="251" t="inlineStr">
        <is>
          <t>Строительный контроль и содержание службы заказчика - 2,14%</t>
        </is>
      </c>
      <c r="C36" s="188">
        <f>ROUND((C27+C32+C33+C34+C35+C29+C31+C30)*2.14%,2)</f>
        <v/>
      </c>
      <c r="D36" s="251" t="n"/>
      <c r="E36" s="277">
        <f>C36/$C$40</f>
        <v/>
      </c>
      <c r="L36" s="281" t="n"/>
    </row>
    <row r="37">
      <c r="B37" s="251" t="inlineStr">
        <is>
          <t>Авторский надзор - 0,2%</t>
        </is>
      </c>
      <c r="C37" s="188">
        <f>ROUND((C27+C32+C33+C34+C35+C29+C31+C30)*0.2%,2)</f>
        <v/>
      </c>
      <c r="D37" s="251" t="n"/>
      <c r="E37" s="277">
        <f>C37/$C$40</f>
        <v/>
      </c>
      <c r="L37" s="281" t="n"/>
    </row>
    <row r="38" ht="38.25" customHeight="1" s="333">
      <c r="B38" s="251" t="inlineStr">
        <is>
          <t>ИТОГО (СМР+ОБОРУДОВАНИЕ+ПРОЧ. ЗАТР., УЧТЕННЫЕ ПОКАЗАТЕЛЕМ)</t>
        </is>
      </c>
      <c r="C38" s="276">
        <f>C27+C32+C33+C34+C35+C29+C31+C30+C36+C37</f>
        <v/>
      </c>
      <c r="D38" s="251" t="n"/>
      <c r="E38" s="277">
        <f>C38/$C$40</f>
        <v/>
      </c>
    </row>
    <row r="39" ht="13.5" customHeight="1" s="333">
      <c r="B39" s="251" t="inlineStr">
        <is>
          <t>Непредвиденные расходы</t>
        </is>
      </c>
      <c r="C39" s="276">
        <f>ROUND(C38*3%,2)</f>
        <v/>
      </c>
      <c r="D39" s="251" t="n"/>
      <c r="E39" s="277">
        <f>C39/$C$38</f>
        <v/>
      </c>
    </row>
    <row r="40">
      <c r="B40" s="251" t="inlineStr">
        <is>
          <t>ВСЕГО:</t>
        </is>
      </c>
      <c r="C40" s="276">
        <f>C39+C38</f>
        <v/>
      </c>
      <c r="D40" s="251" t="n"/>
      <c r="E40" s="277">
        <f>C40/$C$40</f>
        <v/>
      </c>
    </row>
    <row r="41">
      <c r="B41" s="251" t="inlineStr">
        <is>
          <t>ИТОГО ПОКАЗАТЕЛЬ НА ЕД. ИЗМ.</t>
        </is>
      </c>
      <c r="C41" s="276">
        <f>C40/'Прил.5 Расчет СМР и ОБ'!E47</f>
        <v/>
      </c>
      <c r="D41" s="251" t="n"/>
      <c r="E41" s="251" t="n"/>
    </row>
    <row r="42">
      <c r="B42" s="284" t="n"/>
      <c r="C42" s="339" t="n"/>
      <c r="D42" s="339" t="n"/>
      <c r="E42" s="339" t="n"/>
    </row>
    <row r="43">
      <c r="B43" s="284" t="inlineStr">
        <is>
          <t>Составил ____________________________ Д.Ю. Нефедова</t>
        </is>
      </c>
      <c r="C43" s="339" t="n"/>
      <c r="D43" s="339" t="n"/>
      <c r="E43" s="339" t="n"/>
    </row>
    <row r="44">
      <c r="B44" s="284" t="inlineStr">
        <is>
          <t xml:space="preserve">(должность, подпись, инициалы, фамилия) </t>
        </is>
      </c>
      <c r="C44" s="339" t="n"/>
      <c r="D44" s="339" t="n"/>
      <c r="E44" s="339" t="n"/>
    </row>
    <row r="45">
      <c r="B45" s="284" t="n"/>
      <c r="C45" s="339" t="n"/>
      <c r="D45" s="339" t="n"/>
      <c r="E45" s="339" t="n"/>
    </row>
    <row r="46">
      <c r="B46" s="284" t="inlineStr">
        <is>
          <t>Проверил ____________________________ А.В. Костянецкая</t>
        </is>
      </c>
      <c r="C46" s="339" t="n"/>
      <c r="D46" s="339" t="n"/>
      <c r="E46" s="339" t="n"/>
    </row>
    <row r="47">
      <c r="B47" s="380" t="inlineStr">
        <is>
          <t>(должность, подпись, инициалы, фамилия)</t>
        </is>
      </c>
      <c r="D47" s="339" t="n"/>
      <c r="E47" s="339" t="n"/>
    </row>
    <row r="49">
      <c r="B49" s="339" t="n"/>
      <c r="C49" s="339" t="n"/>
      <c r="D49" s="339" t="n"/>
      <c r="E49" s="339" t="n"/>
    </row>
    <row r="50">
      <c r="B50" s="339" t="n"/>
      <c r="C50" s="339" t="n"/>
      <c r="D50" s="339" t="n"/>
      <c r="E50" s="33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Q64"/>
  <sheetViews>
    <sheetView view="pageBreakPreview" topLeftCell="A31" zoomScale="85" workbookViewId="0">
      <selection activeCell="B48" sqref="B48"/>
    </sheetView>
  </sheetViews>
  <sheetFormatPr baseColWidth="8" defaultColWidth="9.109375" defaultRowHeight="14.4" outlineLevelRow="1"/>
  <cols>
    <col width="5.6640625" customWidth="1" style="340" min="1" max="1"/>
    <col width="22.5546875" customWidth="1" style="340" min="2" max="2"/>
    <col width="39.109375" customWidth="1" style="340" min="3" max="3"/>
    <col width="10.6640625" customWidth="1" style="340" min="4" max="4"/>
    <col width="12.6640625" customWidth="1" style="340" min="5" max="5"/>
    <col width="15" customWidth="1" style="340" min="6" max="6"/>
    <col width="13.44140625" customWidth="1" style="340" min="7" max="7"/>
    <col width="12.6640625" customWidth="1" style="340" min="8" max="8"/>
    <col width="13.88671875" customWidth="1" style="340" min="9" max="9"/>
    <col width="17.5546875" customWidth="1" style="340" min="10" max="10"/>
    <col width="19.5546875" customWidth="1" style="340" min="11" max="11"/>
    <col width="9.109375" customWidth="1" style="340" min="12" max="12"/>
    <col hidden="1" width="51.5546875" customWidth="1" style="333" min="13" max="13"/>
    <col hidden="1" width="49.6640625" customWidth="1" style="333" min="14" max="14"/>
    <col hidden="1" width="9.6640625" customWidth="1" style="333" min="15" max="15"/>
    <col width="9.109375" customWidth="1" style="333" min="16" max="16"/>
  </cols>
  <sheetData>
    <row r="1" s="333">
      <c r="A1" s="340" t="n"/>
      <c r="B1" s="340" t="n"/>
      <c r="C1" s="340" t="n"/>
      <c r="D1" s="340" t="n"/>
      <c r="E1" s="340" t="n"/>
      <c r="F1" s="340" t="n"/>
      <c r="G1" s="340" t="n"/>
      <c r="H1" s="340" t="n"/>
      <c r="I1" s="340" t="n"/>
      <c r="J1" s="340" t="n"/>
      <c r="K1" s="340" t="n"/>
      <c r="L1" s="340" t="n"/>
      <c r="M1" s="340" t="n"/>
      <c r="N1" s="340" t="n"/>
    </row>
    <row r="2" ht="15.75" customHeight="1" s="333">
      <c r="A2" s="340" t="n"/>
      <c r="B2" s="340" t="n"/>
      <c r="C2" s="340" t="n"/>
      <c r="D2" s="340" t="n"/>
      <c r="E2" s="340" t="n"/>
      <c r="F2" s="340" t="n"/>
      <c r="G2" s="340" t="n"/>
      <c r="H2" s="381" t="inlineStr">
        <is>
          <t>Приложение №5</t>
        </is>
      </c>
      <c r="K2" s="340" t="n"/>
      <c r="L2" s="340" t="n"/>
      <c r="M2" s="340" t="n"/>
      <c r="N2" s="340" t="n"/>
    </row>
    <row r="3" s="333">
      <c r="A3" s="340" t="n"/>
      <c r="B3" s="340" t="n"/>
      <c r="C3" s="340" t="n"/>
      <c r="D3" s="340" t="n"/>
      <c r="E3" s="340" t="n"/>
      <c r="F3" s="340" t="n"/>
      <c r="G3" s="340" t="n"/>
      <c r="H3" s="340" t="n"/>
      <c r="I3" s="340" t="n"/>
      <c r="J3" s="340" t="n"/>
      <c r="K3" s="340" t="n"/>
      <c r="L3" s="340" t="n"/>
      <c r="M3" s="340" t="n"/>
      <c r="N3" s="340" t="n"/>
    </row>
    <row r="4" ht="12.75" customFormat="1" customHeight="1" s="339">
      <c r="A4" s="352" t="inlineStr">
        <is>
          <t>Расчет стоимости СМР и оборудования</t>
        </is>
      </c>
    </row>
    <row r="5" ht="12.75" customFormat="1" customHeight="1" s="339">
      <c r="A5" s="352" t="n"/>
      <c r="B5" s="352" t="n"/>
      <c r="C5" s="415" t="n"/>
      <c r="D5" s="352" t="n"/>
      <c r="E5" s="352" t="n"/>
      <c r="F5" s="352" t="n"/>
      <c r="G5" s="352" t="n"/>
      <c r="H5" s="352" t="n"/>
      <c r="I5" s="352" t="n"/>
      <c r="J5" s="352" t="n"/>
    </row>
    <row r="6" ht="12.75" customFormat="1" customHeight="1" s="339">
      <c r="A6" s="183" t="inlineStr">
        <is>
          <t>Наименование разрабатываемого показателя УНЦ</t>
        </is>
      </c>
      <c r="B6" s="182" t="n"/>
      <c r="C6" s="182" t="n"/>
      <c r="D6" s="387" t="inlineStr">
        <is>
          <t>Опоры ВЛ 0,4 - 750 кВ. Многогранные опоры</t>
        </is>
      </c>
    </row>
    <row r="7" ht="12.75" customFormat="1" customHeight="1" s="339">
      <c r="A7" s="355" t="inlineStr">
        <is>
          <t>Единица измерения  — 1 тн опор</t>
        </is>
      </c>
      <c r="I7" s="361" t="n"/>
      <c r="J7" s="361" t="n"/>
    </row>
    <row r="8" ht="13.5" customFormat="1" customHeight="1" s="339">
      <c r="A8" s="355" t="n"/>
    </row>
    <row r="9" ht="13.2" customFormat="1" customHeight="1" s="339"/>
    <row r="10" ht="27" customHeight="1" s="333">
      <c r="A10" s="384" t="inlineStr">
        <is>
          <t>№ пп.</t>
        </is>
      </c>
      <c r="B10" s="384" t="inlineStr">
        <is>
          <t>Код ресурса</t>
        </is>
      </c>
      <c r="C10" s="384" t="inlineStr">
        <is>
          <t>Наименование</t>
        </is>
      </c>
      <c r="D10" s="384" t="inlineStr">
        <is>
          <t>Ед. изм.</t>
        </is>
      </c>
      <c r="E10" s="384" t="inlineStr">
        <is>
          <t>Кол-во единиц по проектным данным</t>
        </is>
      </c>
      <c r="F10" s="384" t="inlineStr">
        <is>
          <t>Сметная стоимость в ценах на 01.01.2000 (руб.)</t>
        </is>
      </c>
      <c r="G10" s="459" t="n"/>
      <c r="H10" s="384" t="inlineStr">
        <is>
          <t>Удельный вес, %</t>
        </is>
      </c>
      <c r="I10" s="384" t="inlineStr">
        <is>
          <t>Сметная стоимость в ценах на 01.01.2023 (руб.)</t>
        </is>
      </c>
      <c r="J10" s="459" t="n"/>
      <c r="K10" s="340" t="n"/>
      <c r="L10" s="340" t="n"/>
      <c r="M10" s="340" t="n"/>
      <c r="N10" s="340" t="n"/>
    </row>
    <row r="11" ht="28.5" customHeight="1" s="333">
      <c r="A11" s="461" t="n"/>
      <c r="B11" s="461" t="n"/>
      <c r="C11" s="461" t="n"/>
      <c r="D11" s="461" t="n"/>
      <c r="E11" s="461" t="n"/>
      <c r="F11" s="384" t="inlineStr">
        <is>
          <t>на ед. изм.</t>
        </is>
      </c>
      <c r="G11" s="384" t="inlineStr">
        <is>
          <t>общая</t>
        </is>
      </c>
      <c r="H11" s="461" t="n"/>
      <c r="I11" s="384" t="inlineStr">
        <is>
          <t>на ед. изм.</t>
        </is>
      </c>
      <c r="J11" s="384" t="inlineStr">
        <is>
          <t>общая</t>
        </is>
      </c>
      <c r="K11" s="340" t="n"/>
      <c r="L11" s="340" t="n"/>
      <c r="M11" s="306" t="inlineStr">
        <is>
          <t>Наименование</t>
        </is>
      </c>
      <c r="N11" s="306" t="inlineStr">
        <is>
          <t>Сметная стоимость в ценах на 01.01.2023
 (руб.)</t>
        </is>
      </c>
    </row>
    <row r="12" s="333">
      <c r="A12" s="384" t="n">
        <v>1</v>
      </c>
      <c r="B12" s="384" t="n">
        <v>2</v>
      </c>
      <c r="C12" s="384" t="n">
        <v>3</v>
      </c>
      <c r="D12" s="384" t="n">
        <v>4</v>
      </c>
      <c r="E12" s="384" t="n">
        <v>5</v>
      </c>
      <c r="F12" s="384" t="n">
        <v>6</v>
      </c>
      <c r="G12" s="384" t="n">
        <v>7</v>
      </c>
      <c r="H12" s="384" t="n">
        <v>8</v>
      </c>
      <c r="I12" s="385" t="n">
        <v>9</v>
      </c>
      <c r="J12" s="385" t="n">
        <v>10</v>
      </c>
      <c r="K12" s="340" t="n"/>
      <c r="L12" s="340" t="n"/>
      <c r="M12" s="306" t="inlineStr">
        <is>
          <t>Оплата труда рабочих</t>
        </is>
      </c>
      <c r="N12" s="310" t="n">
        <v>105169915.11</v>
      </c>
      <c r="O12">
        <f>J14=N12</f>
        <v/>
      </c>
    </row>
    <row r="13">
      <c r="A13" s="384" t="n"/>
      <c r="B13" s="392" t="inlineStr">
        <is>
          <t>Затраты труда рабочих-строителей</t>
        </is>
      </c>
      <c r="C13" s="458" t="n"/>
      <c r="D13" s="458" t="n"/>
      <c r="E13" s="458" t="n"/>
      <c r="F13" s="458" t="n"/>
      <c r="G13" s="458" t="n"/>
      <c r="H13" s="459" t="n"/>
      <c r="I13" s="306" t="n"/>
      <c r="J13" s="306" t="n"/>
      <c r="M13" s="308" t="inlineStr">
        <is>
          <t>Эксплуатация машин основных</t>
        </is>
      </c>
      <c r="N13" s="309" t="n">
        <v>126816766.93</v>
      </c>
      <c r="O13">
        <f>J23=N13</f>
        <v/>
      </c>
    </row>
    <row r="14" ht="25.5" customHeight="1" s="333">
      <c r="A14" s="384" t="n">
        <v>1</v>
      </c>
      <c r="B14" s="327" t="inlineStr">
        <is>
          <t>1-4-2</t>
        </is>
      </c>
      <c r="C14" s="397" t="inlineStr">
        <is>
          <t>Затраты труда рабочих-строителей среднего разряда (4,2)</t>
        </is>
      </c>
      <c r="D14" s="398" t="inlineStr">
        <is>
          <t>чел.-ч.</t>
        </is>
      </c>
      <c r="E14" s="323" t="n">
        <v>323612.1</v>
      </c>
      <c r="F14" s="324" t="n">
        <v>9.92</v>
      </c>
      <c r="G14" s="324">
        <f>ROUND(E14*F14,2)</f>
        <v/>
      </c>
      <c r="H14" s="331">
        <f>G14/G15</f>
        <v/>
      </c>
      <c r="I14" s="263">
        <f>ФОТр.тек.!E13</f>
        <v/>
      </c>
      <c r="J14" s="263">
        <f>ROUND(I14*E14,2)</f>
        <v/>
      </c>
      <c r="M14" s="308" t="inlineStr">
        <is>
          <t>Эксплуатация машин прочих</t>
        </is>
      </c>
      <c r="N14" s="309" t="n">
        <v>7241682.47</v>
      </c>
      <c r="O14">
        <f>J27=N14</f>
        <v/>
      </c>
    </row>
    <row r="15" ht="25.5" customFormat="1" customHeight="1" s="340">
      <c r="A15" s="384" t="n"/>
      <c r="B15" s="398" t="n"/>
      <c r="C15" s="402" t="inlineStr">
        <is>
          <t>Итого по разделу "Затраты труда рабочих-строителей"</t>
        </is>
      </c>
      <c r="D15" s="398" t="inlineStr">
        <is>
          <t>чел.-ч.</t>
        </is>
      </c>
      <c r="E15" s="323">
        <f>SUM(E14:E14)</f>
        <v/>
      </c>
      <c r="F15" s="324" t="n"/>
      <c r="G15" s="324">
        <f>SUM(G14:G14)</f>
        <v/>
      </c>
      <c r="H15" s="401" t="n">
        <v>1</v>
      </c>
      <c r="I15" s="306" t="n"/>
      <c r="J15" s="263">
        <f>SUM(J14:J14)</f>
        <v/>
      </c>
      <c r="M15" s="306" t="inlineStr">
        <is>
          <t>ЭКСПЛУАТАЦИЯ МАШИН, ВСЕГО:</t>
        </is>
      </c>
      <c r="N15" s="310" t="n">
        <v>134058449.4</v>
      </c>
      <c r="O15">
        <f>J28=N15</f>
        <v/>
      </c>
    </row>
    <row r="16" customFormat="1" s="340">
      <c r="A16" s="384" t="n"/>
      <c r="B16" s="397" t="inlineStr">
        <is>
          <t>Затраты труда машинистов</t>
        </is>
      </c>
      <c r="C16" s="458" t="n"/>
      <c r="D16" s="458" t="n"/>
      <c r="E16" s="458" t="n"/>
      <c r="F16" s="458" t="n"/>
      <c r="G16" s="458" t="n"/>
      <c r="H16" s="459" t="n"/>
      <c r="I16" s="306" t="n"/>
      <c r="J16" s="306" t="n"/>
      <c r="M16" s="306" t="inlineStr">
        <is>
          <t>в том числе зарплата машинистов</t>
        </is>
      </c>
      <c r="N16" s="310" t="n">
        <v>35358281.07</v>
      </c>
      <c r="O16">
        <f>J17=N16</f>
        <v/>
      </c>
    </row>
    <row r="17" customFormat="1" s="340">
      <c r="A17" s="384" t="n">
        <v>2</v>
      </c>
      <c r="B17" s="398" t="n">
        <v>2</v>
      </c>
      <c r="C17" s="397" t="inlineStr">
        <is>
          <t>Затраты труда машинистов</t>
        </is>
      </c>
      <c r="D17" s="398" t="inlineStr">
        <is>
          <t>чел.-ч.</t>
        </is>
      </c>
      <c r="E17" s="323" t="n">
        <v>105533.8</v>
      </c>
      <c r="F17" s="324" t="n">
        <v>8.800922949422899</v>
      </c>
      <c r="G17" s="324">
        <f>ROUND(E17*F17,2)</f>
        <v/>
      </c>
      <c r="H17" s="401" t="n">
        <v>1</v>
      </c>
      <c r="I17" s="263">
        <f>ROUND(F17*'Прил. 10'!D11,2)</f>
        <v/>
      </c>
      <c r="J17" s="263">
        <f>ROUND(I17*E17,2)</f>
        <v/>
      </c>
      <c r="M17" s="306" t="inlineStr">
        <is>
          <t>Материалы основные</t>
        </is>
      </c>
      <c r="N17" s="310" t="n">
        <v>129306639.33</v>
      </c>
      <c r="O17">
        <f>J39=N17</f>
        <v/>
      </c>
    </row>
    <row r="18" customFormat="1" s="340">
      <c r="A18" s="384" t="n"/>
      <c r="B18" s="402" t="inlineStr">
        <is>
          <t>Машины и механизмы</t>
        </is>
      </c>
      <c r="C18" s="458" t="n"/>
      <c r="D18" s="458" t="n"/>
      <c r="E18" s="458" t="n"/>
      <c r="F18" s="458" t="n"/>
      <c r="G18" s="458" t="n"/>
      <c r="H18" s="459" t="n"/>
      <c r="I18" s="306" t="n"/>
      <c r="J18" s="306" t="n"/>
      <c r="M18" s="306" t="inlineStr">
        <is>
          <t>Материалы прочие</t>
        </is>
      </c>
      <c r="N18" s="310" t="n">
        <v>0</v>
      </c>
      <c r="O18">
        <f>J40=N18</f>
        <v/>
      </c>
    </row>
    <row r="19" customFormat="1" s="340">
      <c r="A19" s="384" t="n"/>
      <c r="B19" s="397" t="inlineStr">
        <is>
          <t>Основные машины и механизмы</t>
        </is>
      </c>
      <c r="C19" s="458" t="n"/>
      <c r="D19" s="458" t="n"/>
      <c r="E19" s="458" t="n"/>
      <c r="F19" s="458" t="n"/>
      <c r="G19" s="458" t="n"/>
      <c r="H19" s="459" t="n"/>
      <c r="I19" s="306" t="n"/>
      <c r="J19" s="306" t="n"/>
      <c r="M19" s="306" t="inlineStr">
        <is>
          <t>МАТЕРИАЛЫ, ВСЕГО:</t>
        </is>
      </c>
      <c r="N19" s="310" t="n">
        <v>129306639.33</v>
      </c>
      <c r="O19">
        <f>N19=J41</f>
        <v/>
      </c>
    </row>
    <row r="20" ht="25.5" customFormat="1" customHeight="1" s="340">
      <c r="A20" s="384" t="n">
        <v>3</v>
      </c>
      <c r="B20" s="327" t="inlineStr">
        <is>
          <t>91.15.02-029</t>
        </is>
      </c>
      <c r="C20" s="397" t="inlineStr">
        <is>
          <t>Тракторы на гусеничном ходу с лебедкой 132 кВт (180 л.с.)</t>
        </is>
      </c>
      <c r="D20" s="398" t="inlineStr">
        <is>
          <t>маш.час</t>
        </is>
      </c>
      <c r="E20" s="323" t="n">
        <v>22381.959249162</v>
      </c>
      <c r="F20" s="400" t="n">
        <v>147.43</v>
      </c>
      <c r="G20" s="324">
        <f>ROUND(E20*F20,2)</f>
        <v/>
      </c>
      <c r="H20" s="331">
        <f>G20/$G$28</f>
        <v/>
      </c>
      <c r="I20" s="263">
        <f>ROUND(F20*'Прил. 10'!$D$12,2)</f>
        <v/>
      </c>
      <c r="J20" s="263">
        <f>ROUND(I20*E20,2)</f>
        <v/>
      </c>
      <c r="M20" s="306" t="inlineStr">
        <is>
          <t>ИТОГО</t>
        </is>
      </c>
      <c r="N20" s="310" t="n">
        <v>368535003.84</v>
      </c>
      <c r="O20">
        <f>J42=N20</f>
        <v/>
      </c>
    </row>
    <row r="21" ht="25.5" customFormat="1" customHeight="1" s="340">
      <c r="A21" s="384" t="n">
        <v>4</v>
      </c>
      <c r="B21" s="327" t="inlineStr">
        <is>
          <t>91.13.03-111</t>
        </is>
      </c>
      <c r="C21" s="397" t="inlineStr">
        <is>
          <t>Спецавтомобили-вездеходы, грузоподъемность до 8 т</t>
        </is>
      </c>
      <c r="D21" s="398" t="inlineStr">
        <is>
          <t>маш.час</t>
        </is>
      </c>
      <c r="E21" s="323" t="n">
        <v>10184.773583101</v>
      </c>
      <c r="F21" s="400" t="n">
        <v>189.95</v>
      </c>
      <c r="G21" s="324">
        <f>ROUND(E21*F21,2)</f>
        <v/>
      </c>
      <c r="H21" s="331">
        <f>G21/$G$28</f>
        <v/>
      </c>
      <c r="I21" s="263">
        <f>ROUND(F21*'Прил. 10'!$D$12,2)</f>
        <v/>
      </c>
      <c r="J21" s="263">
        <f>ROUND(I21*E21,2)</f>
        <v/>
      </c>
      <c r="M21" s="306" t="inlineStr">
        <is>
          <t>Сметная прибыль, руб.</t>
        </is>
      </c>
      <c r="N21" s="310" t="n">
        <v>84316917.70999999</v>
      </c>
      <c r="O21">
        <f>J44=N21</f>
        <v/>
      </c>
    </row>
    <row r="22" ht="51" customFormat="1" customHeight="1" s="340">
      <c r="A22" s="384" t="n">
        <v>5</v>
      </c>
      <c r="B22" s="217" t="inlineStr">
        <is>
          <t>91.05.14-516</t>
        </is>
      </c>
      <c r="C22" s="393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22" s="384" t="inlineStr">
        <is>
          <t>маш.час</t>
        </is>
      </c>
      <c r="E22" s="216" t="n">
        <v>18093.993673405</v>
      </c>
      <c r="F22" s="395" t="n">
        <v>77.64</v>
      </c>
      <c r="G22" s="263">
        <f>ROUND(E22*F22,2)</f>
        <v/>
      </c>
      <c r="H22" s="224">
        <f>G22/$G$28</f>
        <v/>
      </c>
      <c r="I22" s="263">
        <f>ROUND(F22*'Прил. 10'!$D$12,2)</f>
        <v/>
      </c>
      <c r="J22" s="263">
        <f>ROUND(I22*E22,2)</f>
        <v/>
      </c>
      <c r="M22" s="306" t="inlineStr">
        <is>
          <t>Сметная прибыль, %</t>
        </is>
      </c>
      <c r="N22" s="310" t="n">
        <v>0.6</v>
      </c>
      <c r="O22">
        <f>D44=N22</f>
        <v/>
      </c>
    </row>
    <row r="23" customFormat="1" s="340">
      <c r="A23" s="384" t="n"/>
      <c r="B23" s="384" t="n"/>
      <c r="C23" s="393" t="inlineStr">
        <is>
          <t>Итого основные машины и механизмы</t>
        </is>
      </c>
      <c r="D23" s="384" t="n"/>
      <c r="E23" s="216" t="n"/>
      <c r="F23" s="263" t="n"/>
      <c r="G23" s="267">
        <f>SUM(G20:G22)</f>
        <v/>
      </c>
      <c r="H23" s="396">
        <f>G23/G28</f>
        <v/>
      </c>
      <c r="I23" s="267" t="n"/>
      <c r="J23" s="263">
        <f>SUM(J20:J22)</f>
        <v/>
      </c>
      <c r="M23" s="306" t="inlineStr">
        <is>
          <t>Накладные расходы, руб.</t>
        </is>
      </c>
      <c r="N23" s="310" t="n">
        <v>144744042.07</v>
      </c>
      <c r="O23">
        <f>J43=N23</f>
        <v/>
      </c>
    </row>
    <row r="24" outlineLevel="1" ht="25.5" customFormat="1" customHeight="1" s="340">
      <c r="A24" s="384" t="n">
        <v>6</v>
      </c>
      <c r="B24" s="217" t="inlineStr">
        <is>
          <t>91.05.05-015</t>
        </is>
      </c>
      <c r="C24" s="393" t="inlineStr">
        <is>
          <t>Краны на автомобильном ходу, грузоподъемность 16 т</t>
        </is>
      </c>
      <c r="D24" s="384" t="inlineStr">
        <is>
          <t>маш.час</t>
        </is>
      </c>
      <c r="E24" s="216" t="n">
        <v>3055.3640577948</v>
      </c>
      <c r="F24" s="395" t="n">
        <v>115.4</v>
      </c>
      <c r="G24" s="263">
        <f>ROUND(E24*F24,2)</f>
        <v/>
      </c>
      <c r="H24" s="224">
        <f>G24/$G$28</f>
        <v/>
      </c>
      <c r="I24" s="263">
        <f>ROUND(F24*'Прил. 10'!$D$12,2)</f>
        <v/>
      </c>
      <c r="J24" s="263">
        <f>ROUND(I24*E24,2)</f>
        <v/>
      </c>
      <c r="M24" s="306" t="inlineStr">
        <is>
          <t>Накладные расходы, %</t>
        </is>
      </c>
      <c r="N24" s="310" t="n">
        <v>1.03</v>
      </c>
      <c r="O24">
        <f>D43=N24</f>
        <v/>
      </c>
    </row>
    <row r="25" outlineLevel="1" ht="25.5" customFormat="1" customHeight="1" s="340">
      <c r="A25" s="384" t="n">
        <v>7</v>
      </c>
      <c r="B25" s="217" t="inlineStr">
        <is>
          <t>91.06.09-101</t>
        </is>
      </c>
      <c r="C25" s="393" t="inlineStr">
        <is>
          <t>Стрелы монтажные А-образные для подъема опор ВЛ, высота до 22 м</t>
        </is>
      </c>
      <c r="D25" s="384" t="inlineStr">
        <is>
          <t>маш.час</t>
        </is>
      </c>
      <c r="E25" s="216" t="n">
        <v>2861.0056789321</v>
      </c>
      <c r="F25" s="395" t="n">
        <v>6.24</v>
      </c>
      <c r="G25" s="263">
        <f>ROUND(E25*F25,2)</f>
        <v/>
      </c>
      <c r="H25" s="224">
        <f>G25/$G$28</f>
        <v/>
      </c>
      <c r="I25" s="263">
        <f>ROUND(F25*'Прил. 10'!$D$12,2)</f>
        <v/>
      </c>
      <c r="J25" s="263">
        <f>ROUND(I25*E25,2)</f>
        <v/>
      </c>
      <c r="M25" s="306" t="inlineStr">
        <is>
          <t>ВСЕГО СМР с НР и СП</t>
        </is>
      </c>
      <c r="N25" s="310" t="n">
        <v>597595963.62</v>
      </c>
      <c r="O25">
        <f>J45=N25</f>
        <v/>
      </c>
    </row>
    <row r="26" outlineLevel="1" ht="25.5" customFormat="1" customHeight="1" s="340">
      <c r="A26" s="384" t="n">
        <v>8</v>
      </c>
      <c r="B26" s="217" t="inlineStr">
        <is>
          <t>91.06.01-002</t>
        </is>
      </c>
      <c r="C26" s="393" t="inlineStr">
        <is>
          <t>Домкраты гидравлические, грузоподъемность 6,3-25 т</t>
        </is>
      </c>
      <c r="D26" s="384" t="inlineStr">
        <is>
          <t>маш.час</t>
        </is>
      </c>
      <c r="E26" s="216" t="n">
        <v>18084.957594155</v>
      </c>
      <c r="F26" s="395" t="n">
        <v>0.48</v>
      </c>
      <c r="G26" s="263">
        <f>ROUND(E26*F26,2)</f>
        <v/>
      </c>
      <c r="H26" s="224">
        <f>G26/$G$28</f>
        <v/>
      </c>
      <c r="I26" s="263">
        <f>ROUND(F26*'Прил. 10'!$D$12,2)</f>
        <v/>
      </c>
      <c r="J26" s="263">
        <f>ROUND(I26*E26,2)</f>
        <v/>
      </c>
      <c r="M26" s="306" t="inlineStr">
        <is>
          <t>ВСЕГО стоимость оборудования, в том числе</t>
        </is>
      </c>
      <c r="N26" s="310" t="n">
        <v>0</v>
      </c>
      <c r="O26">
        <f>J33=N26</f>
        <v/>
      </c>
    </row>
    <row r="27" customFormat="1" s="340">
      <c r="A27" s="384" t="n"/>
      <c r="B27" s="384" t="n"/>
      <c r="C27" s="393" t="inlineStr">
        <is>
          <t>Итого прочие машины и механизмы</t>
        </is>
      </c>
      <c r="D27" s="384" t="n"/>
      <c r="E27" s="394" t="n"/>
      <c r="F27" s="263" t="n"/>
      <c r="G27" s="267">
        <f>SUM(G24:G26)</f>
        <v/>
      </c>
      <c r="H27" s="224">
        <f>G27/G28</f>
        <v/>
      </c>
      <c r="I27" s="263" t="n"/>
      <c r="J27" s="263">
        <f>SUM(J24:J26)</f>
        <v/>
      </c>
      <c r="M27" s="306" t="inlineStr">
        <is>
          <t>стоимость оборудования технологического</t>
        </is>
      </c>
      <c r="N27" s="310" t="n">
        <v>0</v>
      </c>
      <c r="O27">
        <f>N27=J34</f>
        <v/>
      </c>
    </row>
    <row r="28" ht="25.5" customFormat="1" customHeight="1" s="340">
      <c r="A28" s="384" t="n"/>
      <c r="B28" s="384" t="n"/>
      <c r="C28" s="392" t="inlineStr">
        <is>
          <t>Итого по разделу «Машины и механизмы»</t>
        </is>
      </c>
      <c r="D28" s="384" t="n"/>
      <c r="E28" s="394" t="n"/>
      <c r="F28" s="263" t="n"/>
      <c r="G28" s="263">
        <f>G27+G23</f>
        <v/>
      </c>
      <c r="H28" s="225">
        <f>H27+H23</f>
        <v/>
      </c>
      <c r="I28" s="264" t="n"/>
      <c r="J28" s="265">
        <f>J27+J23</f>
        <v/>
      </c>
      <c r="M28" s="306" t="inlineStr">
        <is>
          <t>ИТОГО (СМР + ОБОРУДОВАНИЕ)</t>
        </is>
      </c>
      <c r="N28" s="310" t="n">
        <v>597595963.62</v>
      </c>
      <c r="O28">
        <f>J46=N28</f>
        <v/>
      </c>
    </row>
    <row r="29" ht="14.25" customFormat="1" customHeight="1" s="340">
      <c r="A29" s="384" t="n"/>
      <c r="B29" s="392" t="inlineStr">
        <is>
          <t>Оборудование</t>
        </is>
      </c>
      <c r="C29" s="458" t="n"/>
      <c r="D29" s="458" t="n"/>
      <c r="E29" s="458" t="n"/>
      <c r="F29" s="458" t="n"/>
      <c r="G29" s="458" t="n"/>
      <c r="H29" s="459" t="n"/>
      <c r="I29" s="306" t="n"/>
      <c r="J29" s="306" t="n"/>
    </row>
    <row r="30">
      <c r="A30" s="384" t="n"/>
      <c r="B30" s="393" t="inlineStr">
        <is>
          <t>Основное оборудование</t>
        </is>
      </c>
      <c r="C30" s="458" t="n"/>
      <c r="D30" s="458" t="n"/>
      <c r="E30" s="458" t="n"/>
      <c r="F30" s="458" t="n"/>
      <c r="G30" s="458" t="n"/>
      <c r="H30" s="459" t="n"/>
      <c r="I30" s="306" t="n"/>
      <c r="J30" s="306" t="n"/>
      <c r="M30" s="340" t="n"/>
      <c r="N30" s="340" t="n"/>
      <c r="O30" s="340" t="n"/>
      <c r="P30" s="340" t="n"/>
      <c r="Q30" s="340" t="n"/>
    </row>
    <row r="31">
      <c r="A31" s="384" t="n"/>
      <c r="B31" s="384" t="n"/>
      <c r="C31" s="393" t="inlineStr">
        <is>
          <t>Итого основное оборудование</t>
        </is>
      </c>
      <c r="D31" s="384" t="n"/>
      <c r="E31" s="269" t="n"/>
      <c r="F31" s="395" t="n"/>
      <c r="G31" s="263" t="n">
        <v>0</v>
      </c>
      <c r="H31" s="224" t="n">
        <v>0</v>
      </c>
      <c r="I31" s="267" t="n"/>
      <c r="J31" s="263" t="n">
        <v>0</v>
      </c>
      <c r="M31" s="340" t="n"/>
      <c r="N31" s="340" t="n"/>
      <c r="O31" s="340" t="n"/>
      <c r="P31" s="340" t="n"/>
      <c r="Q31" s="340" t="n"/>
    </row>
    <row r="32">
      <c r="A32" s="384" t="n"/>
      <c r="B32" s="384" t="n"/>
      <c r="C32" s="393" t="inlineStr">
        <is>
          <t>Итого прочее оборудование</t>
        </is>
      </c>
      <c r="D32" s="384" t="n"/>
      <c r="E32" s="216" t="n"/>
      <c r="F32" s="395" t="n"/>
      <c r="G32" s="263" t="n">
        <v>0</v>
      </c>
      <c r="H32" s="224" t="n">
        <v>0</v>
      </c>
      <c r="I32" s="267" t="n"/>
      <c r="J32" s="263" t="n">
        <v>0</v>
      </c>
      <c r="M32" s="340" t="n"/>
      <c r="N32" s="340" t="n"/>
      <c r="O32" s="340" t="n"/>
      <c r="P32" s="340" t="n"/>
      <c r="Q32" s="340" t="n"/>
    </row>
    <row r="33">
      <c r="A33" s="384" t="n"/>
      <c r="B33" s="384" t="n"/>
      <c r="C33" s="392" t="inlineStr">
        <is>
          <t>Итого по разделу «Оборудование»</t>
        </is>
      </c>
      <c r="D33" s="384" t="n"/>
      <c r="E33" s="394" t="n"/>
      <c r="F33" s="395" t="n"/>
      <c r="G33" s="263" t="n">
        <v>0</v>
      </c>
      <c r="H33" s="224" t="n">
        <v>0</v>
      </c>
      <c r="I33" s="267" t="n"/>
      <c r="J33" s="263">
        <f>J32+J31</f>
        <v/>
      </c>
      <c r="M33" s="340" t="n"/>
      <c r="N33" s="340" t="n"/>
      <c r="O33" s="340" t="n"/>
      <c r="P33" s="340" t="n"/>
      <c r="Q33" s="340" t="n"/>
    </row>
    <row r="34" ht="25.5" customHeight="1" s="333">
      <c r="A34" s="384" t="n"/>
      <c r="B34" s="384" t="n"/>
      <c r="C34" s="393" t="inlineStr">
        <is>
          <t>в том числе технологическое оборудование</t>
        </is>
      </c>
      <c r="D34" s="384" t="n"/>
      <c r="E34" s="269" t="n"/>
      <c r="F34" s="395" t="n"/>
      <c r="G34" s="263">
        <f>'Прил.6 Расчет ОБ'!G12</f>
        <v/>
      </c>
      <c r="H34" s="396" t="n"/>
      <c r="I34" s="267" t="n"/>
      <c r="J34" s="263">
        <f>J33</f>
        <v/>
      </c>
      <c r="M34" s="340" t="n"/>
      <c r="N34" s="340" t="n"/>
      <c r="O34" s="340" t="n"/>
      <c r="P34" s="340" t="n"/>
      <c r="Q34" s="340" t="n"/>
    </row>
    <row r="35" ht="14.25" customFormat="1" customHeight="1" s="340">
      <c r="A35" s="384" t="n"/>
      <c r="B35" s="392" t="inlineStr">
        <is>
          <t>Материалы</t>
        </is>
      </c>
      <c r="C35" s="458" t="n"/>
      <c r="D35" s="458" t="n"/>
      <c r="E35" s="458" t="n"/>
      <c r="F35" s="458" t="n"/>
      <c r="G35" s="458" t="n"/>
      <c r="H35" s="459" t="n"/>
      <c r="I35" s="306" t="n"/>
      <c r="J35" s="306" t="n"/>
    </row>
    <row r="36" ht="13.8" customFormat="1" customHeight="1" s="340">
      <c r="A36" s="385" t="n"/>
      <c r="B36" s="388" t="inlineStr">
        <is>
          <t>Основные материалы</t>
        </is>
      </c>
      <c r="C36" s="464" t="n"/>
      <c r="D36" s="464" t="n"/>
      <c r="E36" s="464" t="n"/>
      <c r="F36" s="464" t="n"/>
      <c r="G36" s="464" t="n"/>
      <c r="H36" s="465" t="n"/>
      <c r="I36" s="271" t="n"/>
      <c r="J36" s="271" t="n"/>
      <c r="L36" s="340" t="n"/>
    </row>
    <row r="37" ht="25.5" customFormat="1" customHeight="1" s="340">
      <c r="A37" s="384" t="n">
        <v>9</v>
      </c>
      <c r="B37" s="398" t="inlineStr">
        <is>
          <t>БЦ.98.25</t>
        </is>
      </c>
      <c r="C37" s="393" t="inlineStr">
        <is>
          <t>Опоры многогранные оцинкованные, анкерно-угловые 220 кВ</t>
        </is>
      </c>
      <c r="D37" s="384" t="inlineStr">
        <is>
          <t>т</t>
        </is>
      </c>
      <c r="E37" s="269" t="n">
        <v>2103.4859</v>
      </c>
      <c r="F37" s="395">
        <f>ROUND(I37/'Прил. 10'!$D$13,2)</f>
        <v/>
      </c>
      <c r="G37" s="263">
        <f>ROUND(E37*F37,2)</f>
        <v/>
      </c>
      <c r="H37" s="224">
        <f>G37/$G$41</f>
        <v/>
      </c>
      <c r="I37" s="263" t="n">
        <v>269250.11</v>
      </c>
      <c r="J37" s="263">
        <f>ROUND(I37*E37,2)</f>
        <v/>
      </c>
      <c r="L37" s="340" t="n"/>
    </row>
    <row r="38" ht="25.5" customFormat="1" customHeight="1" s="340">
      <c r="A38" s="384" t="n">
        <v>10</v>
      </c>
      <c r="B38" s="398" t="inlineStr">
        <is>
          <t>БЦ.98.26</t>
        </is>
      </c>
      <c r="C38" s="393" t="inlineStr">
        <is>
          <t>Опоры многогранные оцинкованные, промежуточные 220 кВ</t>
        </is>
      </c>
      <c r="D38" s="384" t="inlineStr">
        <is>
          <t>т</t>
        </is>
      </c>
      <c r="E38" s="269" t="n">
        <v>3172.4766</v>
      </c>
      <c r="F38" s="395">
        <f>ROUND(I38/'Прил. 10'!$D$13,2)</f>
        <v/>
      </c>
      <c r="G38" s="263">
        <f>ROUND(E38*F38,2)</f>
        <v/>
      </c>
      <c r="H38" s="224">
        <f>G38/$G$41</f>
        <v/>
      </c>
      <c r="I38" s="263" t="n">
        <v>252749.8</v>
      </c>
      <c r="J38" s="263">
        <f>ROUND(I38*E38,2)</f>
        <v/>
      </c>
      <c r="L38" s="340" t="n"/>
    </row>
    <row r="39" ht="13.8" customFormat="1" customHeight="1" s="340">
      <c r="A39" s="386" t="n"/>
      <c r="B39" s="186" t="n"/>
      <c r="C39" s="230" t="inlineStr">
        <is>
          <t>Итого основные материалы</t>
        </is>
      </c>
      <c r="D39" s="386" t="n"/>
      <c r="E39" s="232" t="n"/>
      <c r="F39" s="265" t="n"/>
      <c r="G39" s="265">
        <f>SUM(G37:G38)</f>
        <v/>
      </c>
      <c r="H39" s="224">
        <f>G39/$G$41</f>
        <v/>
      </c>
      <c r="I39" s="263" t="n"/>
      <c r="J39" s="265">
        <f>SUM(J37:J38)</f>
        <v/>
      </c>
      <c r="K39" s="340" t="n"/>
      <c r="L39" s="340" t="n"/>
    </row>
    <row r="40" ht="13.8" customFormat="1" customHeight="1" s="340">
      <c r="A40" s="384" t="n"/>
      <c r="B40" s="384" t="n"/>
      <c r="C40" s="393" t="inlineStr">
        <is>
          <t>Итого прочие материалы</t>
        </is>
      </c>
      <c r="D40" s="384" t="n"/>
      <c r="E40" s="269" t="n"/>
      <c r="F40" s="395" t="n"/>
      <c r="G40" s="263" t="n">
        <v>12514087.179</v>
      </c>
      <c r="H40" s="224">
        <f>G40/$G$41</f>
        <v/>
      </c>
      <c r="I40" s="263" t="n"/>
      <c r="J40" s="263" t="n">
        <v>123138598.3965</v>
      </c>
      <c r="K40" s="340" t="n"/>
      <c r="L40" s="340" t="n"/>
    </row>
    <row r="41" ht="13.8" customFormat="1" customHeight="1" s="340">
      <c r="A41" s="384" t="n"/>
      <c r="B41" s="384" t="n"/>
      <c r="C41" s="392" t="inlineStr">
        <is>
          <t>Итого по разделу «Материалы»</t>
        </is>
      </c>
      <c r="D41" s="384" t="n"/>
      <c r="E41" s="394" t="n"/>
      <c r="F41" s="395" t="n"/>
      <c r="G41" s="263">
        <f>G39+G40</f>
        <v/>
      </c>
      <c r="H41" s="396">
        <f>G41/$G$41</f>
        <v/>
      </c>
      <c r="I41" s="263" t="n"/>
      <c r="J41" s="263">
        <f>J39+J40</f>
        <v/>
      </c>
      <c r="L41" s="340" t="n"/>
    </row>
    <row r="42" ht="14.25" customFormat="1" customHeight="1" s="340">
      <c r="A42" s="384" t="n"/>
      <c r="B42" s="384" t="n"/>
      <c r="C42" s="393" t="inlineStr">
        <is>
          <t>ИТОГО ПО РМ</t>
        </is>
      </c>
      <c r="D42" s="384" t="n"/>
      <c r="E42" s="394" t="n"/>
      <c r="F42" s="395" t="n"/>
      <c r="G42" s="324">
        <f>G15+G28+G41</f>
        <v/>
      </c>
      <c r="H42" s="396" t="n"/>
      <c r="I42" s="263" t="n"/>
      <c r="J42" s="263">
        <f>J15+J28+J41</f>
        <v/>
      </c>
    </row>
    <row r="43" ht="14.25" customFormat="1" customHeight="1" s="340">
      <c r="A43" s="384" t="n"/>
      <c r="B43" s="384" t="n"/>
      <c r="C43" s="393" t="inlineStr">
        <is>
          <t>Накладные расходы</t>
        </is>
      </c>
      <c r="D43" s="235" t="n">
        <v>1.43</v>
      </c>
      <c r="E43" s="394" t="n"/>
      <c r="F43" s="395" t="n"/>
      <c r="G43" s="324">
        <f>D43*($G$15+$G$17)</f>
        <v/>
      </c>
      <c r="H43" s="396" t="n"/>
      <c r="I43" s="263" t="n"/>
      <c r="J43" s="263">
        <f>ROUND(D43*(J15+J17),2)</f>
        <v/>
      </c>
    </row>
    <row r="44" ht="14.25" customFormat="1" customHeight="1" s="340">
      <c r="A44" s="384" t="n"/>
      <c r="B44" s="384" t="n"/>
      <c r="C44" s="393" t="inlineStr">
        <is>
          <t>Сметная прибыль</t>
        </is>
      </c>
      <c r="D44" s="235" t="n">
        <v>1.1</v>
      </c>
      <c r="E44" s="394" t="n"/>
      <c r="F44" s="395" t="n"/>
      <c r="G44" s="324">
        <f>D44*($G$15+$G$17)</f>
        <v/>
      </c>
      <c r="H44" s="396" t="n"/>
      <c r="I44" s="263" t="n"/>
      <c r="J44" s="263">
        <f>ROUND(D44*(J15+J17),2)</f>
        <v/>
      </c>
      <c r="K44" s="311" t="n"/>
    </row>
    <row r="45" ht="14.25" customFormat="1" customHeight="1" s="340">
      <c r="A45" s="384" t="n"/>
      <c r="B45" s="384" t="n"/>
      <c r="C45" s="393" t="inlineStr">
        <is>
          <t>Итого СМР (с НР и СП)</t>
        </is>
      </c>
      <c r="D45" s="384" t="n"/>
      <c r="E45" s="394" t="n"/>
      <c r="F45" s="395" t="n"/>
      <c r="G45" s="324">
        <f>G15+G28+G41+G43+G44</f>
        <v/>
      </c>
      <c r="H45" s="396" t="n"/>
      <c r="I45" s="263" t="n"/>
      <c r="J45" s="263">
        <f>J15+J28+J41+J43+J44</f>
        <v/>
      </c>
      <c r="K45" s="311" t="n"/>
    </row>
    <row r="46" ht="14.25" customFormat="1" customHeight="1" s="340">
      <c r="A46" s="384" t="n"/>
      <c r="B46" s="384" t="n"/>
      <c r="C46" s="393" t="inlineStr">
        <is>
          <t>ВСЕГО СМР + ОБОРУДОВАНИЕ</t>
        </is>
      </c>
      <c r="D46" s="384" t="n"/>
      <c r="E46" s="394" t="n"/>
      <c r="F46" s="395" t="n"/>
      <c r="G46" s="263">
        <f>G45+G33</f>
        <v/>
      </c>
      <c r="H46" s="396" t="n"/>
      <c r="I46" s="263" t="n"/>
      <c r="J46" s="263">
        <f>J45+J33</f>
        <v/>
      </c>
      <c r="K46" s="311" t="n"/>
      <c r="M46" s="311" t="n"/>
    </row>
    <row r="47" ht="34.5" customFormat="1" customHeight="1" s="340">
      <c r="A47" s="384" t="n"/>
      <c r="B47" s="384" t="n"/>
      <c r="C47" s="393" t="inlineStr">
        <is>
          <t>ИТОГО ПОКАЗАТЕЛЬ НА ЕД. ИЗМ.</t>
        </is>
      </c>
      <c r="D47" s="384" t="inlineStr">
        <is>
          <t>1 тн опор</t>
        </is>
      </c>
      <c r="E47" s="211" t="n">
        <v>5275.9625</v>
      </c>
      <c r="F47" s="395" t="n"/>
      <c r="G47" s="263">
        <f>G46/E47</f>
        <v/>
      </c>
      <c r="H47" s="396" t="n"/>
      <c r="I47" s="263" t="n"/>
      <c r="J47" s="263">
        <f>J46/E47</f>
        <v/>
      </c>
    </row>
    <row r="48">
      <c r="M48" s="340" t="n"/>
      <c r="N48" s="340" t="n"/>
      <c r="O48" s="340" t="n"/>
      <c r="P48" s="340" t="n"/>
      <c r="Q48" s="340" t="n"/>
    </row>
    <row r="49" ht="14.25" customFormat="1" customHeight="1" s="340">
      <c r="A49" s="339" t="inlineStr">
        <is>
          <t>Составил ______________________    Д.Ю. Нефедова</t>
        </is>
      </c>
    </row>
    <row r="50" ht="14.25" customFormat="1" customHeight="1" s="340">
      <c r="A50" s="342" t="inlineStr">
        <is>
          <t xml:space="preserve">                         (подпись, инициалы, фамилия)</t>
        </is>
      </c>
    </row>
    <row r="51" ht="14.25" customFormat="1" customHeight="1" s="340">
      <c r="A51" s="339" t="n"/>
    </row>
    <row r="52" ht="14.25" customFormat="1" customHeight="1" s="340">
      <c r="A52" s="339" t="inlineStr">
        <is>
          <t>Проверил ______________________        А.В. Костянецкая</t>
        </is>
      </c>
    </row>
    <row r="53" ht="14.25" customFormat="1" customHeight="1" s="340">
      <c r="A53" s="342" t="inlineStr">
        <is>
          <t xml:space="preserve">                        (подпись, инициалы, фамилия)</t>
        </is>
      </c>
    </row>
    <row r="54">
      <c r="M54" s="340" t="n"/>
      <c r="N54" s="340" t="n"/>
      <c r="O54" s="340" t="n"/>
      <c r="P54" s="340" t="n"/>
      <c r="Q54" s="340" t="n"/>
    </row>
    <row r="55">
      <c r="M55" s="340" t="n"/>
      <c r="N55" s="340" t="n"/>
      <c r="O55" s="340" t="n"/>
      <c r="P55" s="340" t="n"/>
      <c r="Q55" s="340" t="n"/>
    </row>
    <row r="56">
      <c r="M56" s="340" t="n"/>
      <c r="N56" s="340" t="n"/>
      <c r="O56" s="340" t="n"/>
      <c r="P56" s="340" t="n"/>
      <c r="Q56" s="340" t="n"/>
    </row>
    <row r="57">
      <c r="K57" s="312" t="n"/>
      <c r="M57" s="340" t="n"/>
      <c r="N57" s="340" t="n"/>
      <c r="O57" s="340" t="n"/>
      <c r="P57" s="340" t="n"/>
      <c r="Q57" s="340" t="n"/>
    </row>
    <row r="58">
      <c r="M58" s="340" t="n"/>
      <c r="N58" s="340" t="n"/>
      <c r="O58" s="340" t="n"/>
      <c r="P58" s="340" t="n"/>
      <c r="Q58" s="340" t="n"/>
    </row>
    <row r="60">
      <c r="M60" s="340" t="n"/>
      <c r="N60" s="340" t="n"/>
      <c r="O60" s="340" t="n"/>
      <c r="P60" s="340" t="n"/>
      <c r="Q60" s="340" t="n"/>
    </row>
    <row r="61">
      <c r="M61" s="340" t="n"/>
      <c r="N61" s="340" t="n"/>
      <c r="O61" s="340" t="n"/>
      <c r="P61" s="340" t="n"/>
      <c r="Q61" s="340" t="n"/>
    </row>
    <row r="62">
      <c r="M62" s="340" t="n"/>
      <c r="N62" s="340" t="n"/>
      <c r="O62" s="340" t="n"/>
      <c r="P62" s="340" t="n"/>
      <c r="Q62" s="340" t="n"/>
    </row>
    <row r="63">
      <c r="M63" s="340" t="n"/>
      <c r="N63" s="340" t="n"/>
      <c r="O63" s="340" t="n"/>
      <c r="P63" s="340" t="n"/>
      <c r="Q63" s="340" t="n"/>
    </row>
    <row r="64">
      <c r="M64" s="340" t="n"/>
      <c r="N64" s="340" t="n"/>
      <c r="O64" s="340" t="n"/>
      <c r="P64" s="340" t="n"/>
      <c r="Q64" s="340" t="n"/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333" min="1" max="1"/>
    <col width="17.5546875" customWidth="1" style="333" min="2" max="2"/>
    <col width="39.109375" customWidth="1" style="333" min="3" max="3"/>
    <col width="10.6640625" customWidth="1" style="333" min="4" max="4"/>
    <col width="13.88671875" customWidth="1" style="333" min="5" max="5"/>
    <col width="13.33203125" customWidth="1" style="333" min="6" max="6"/>
    <col width="14.109375" customWidth="1" style="333" min="7" max="7"/>
  </cols>
  <sheetData>
    <row r="1">
      <c r="A1" s="407" t="inlineStr">
        <is>
          <t>Приложение №6</t>
        </is>
      </c>
    </row>
    <row r="2" ht="21.75" customHeight="1" s="333">
      <c r="A2" s="407" t="n"/>
      <c r="B2" s="407" t="n"/>
      <c r="C2" s="407" t="n"/>
      <c r="D2" s="407" t="n"/>
      <c r="E2" s="407" t="n"/>
      <c r="F2" s="407" t="n"/>
      <c r="G2" s="407" t="n"/>
    </row>
    <row r="3">
      <c r="A3" s="352" t="inlineStr">
        <is>
          <t>Расчет стоимости оборудования</t>
        </is>
      </c>
    </row>
    <row r="4" ht="25.5" customHeight="1" s="333">
      <c r="A4" s="355" t="inlineStr">
        <is>
          <t>Наименование разрабатываемого показателя УНЦ — Опоры ВЛ 0,4 - 750 кВ. Многогранные опоры</t>
        </is>
      </c>
    </row>
    <row r="5">
      <c r="A5" s="339" t="n"/>
      <c r="B5" s="339" t="n"/>
      <c r="C5" s="339" t="n"/>
      <c r="D5" s="339" t="n"/>
      <c r="E5" s="339" t="n"/>
      <c r="F5" s="339" t="n"/>
      <c r="G5" s="339" t="n"/>
    </row>
    <row r="6" ht="30" customHeight="1" s="333">
      <c r="A6" s="412" t="inlineStr">
        <is>
          <t>№ пп.</t>
        </is>
      </c>
      <c r="B6" s="412" t="inlineStr">
        <is>
          <t>Код ресурса</t>
        </is>
      </c>
      <c r="C6" s="412" t="inlineStr">
        <is>
          <t>Наименование</t>
        </is>
      </c>
      <c r="D6" s="412" t="inlineStr">
        <is>
          <t>Ед. изм.</t>
        </is>
      </c>
      <c r="E6" s="384" t="inlineStr">
        <is>
          <t>Кол-во единиц по проектным данным</t>
        </is>
      </c>
      <c r="F6" s="412" t="inlineStr">
        <is>
          <t>Сметная стоимость в ценах на 01.01.2000 (руб.)</t>
        </is>
      </c>
      <c r="G6" s="459" t="n"/>
    </row>
    <row r="7">
      <c r="A7" s="461" t="n"/>
      <c r="B7" s="461" t="n"/>
      <c r="C7" s="461" t="n"/>
      <c r="D7" s="461" t="n"/>
      <c r="E7" s="461" t="n"/>
      <c r="F7" s="384" t="inlineStr">
        <is>
          <t>на ед. изм.</t>
        </is>
      </c>
      <c r="G7" s="384" t="inlineStr">
        <is>
          <t>общая</t>
        </is>
      </c>
    </row>
    <row r="8">
      <c r="A8" s="384" t="n">
        <v>1</v>
      </c>
      <c r="B8" s="384" t="n">
        <v>2</v>
      </c>
      <c r="C8" s="384" t="n">
        <v>3</v>
      </c>
      <c r="D8" s="384" t="n">
        <v>4</v>
      </c>
      <c r="E8" s="384" t="n">
        <v>5</v>
      </c>
      <c r="F8" s="384" t="n">
        <v>6</v>
      </c>
      <c r="G8" s="384" t="n">
        <v>7</v>
      </c>
    </row>
    <row r="9" ht="15" customHeight="1" s="333">
      <c r="A9" s="251" t="n"/>
      <c r="B9" s="393" t="inlineStr">
        <is>
          <t>ИНЖЕНЕРНОЕ ОБОРУДОВАНИЕ</t>
        </is>
      </c>
      <c r="C9" s="458" t="n"/>
      <c r="D9" s="458" t="n"/>
      <c r="E9" s="458" t="n"/>
      <c r="F9" s="458" t="n"/>
      <c r="G9" s="459" t="n"/>
    </row>
    <row r="10" ht="27" customHeight="1" s="333">
      <c r="A10" s="384" t="n"/>
      <c r="B10" s="392" t="n"/>
      <c r="C10" s="393" t="inlineStr">
        <is>
          <t>ИТОГО ИНЖЕНЕРНОЕ ОБОРУДОВАНИЕ</t>
        </is>
      </c>
      <c r="D10" s="392" t="n"/>
      <c r="E10" s="253" t="n"/>
      <c r="F10" s="395" t="n"/>
      <c r="G10" s="395" t="n">
        <v>0</v>
      </c>
    </row>
    <row r="11">
      <c r="A11" s="384" t="n"/>
      <c r="B11" s="393" t="inlineStr">
        <is>
          <t>ТЕХНОЛОГИЧЕСКОЕ ОБОРУДОВАНИЕ</t>
        </is>
      </c>
      <c r="C11" s="458" t="n"/>
      <c r="D11" s="458" t="n"/>
      <c r="E11" s="458" t="n"/>
      <c r="F11" s="458" t="n"/>
      <c r="G11" s="459" t="n"/>
    </row>
    <row r="12" ht="25.5" customHeight="1" s="333">
      <c r="A12" s="384" t="n"/>
      <c r="B12" s="393" t="n"/>
      <c r="C12" s="393" t="inlineStr">
        <is>
          <t>ИТОГО ТЕХНОЛОГИЧЕСКОЕ ОБОРУДОВАНИЕ</t>
        </is>
      </c>
      <c r="D12" s="393" t="n"/>
      <c r="E12" s="411" t="n"/>
      <c r="F12" s="395" t="n"/>
      <c r="G12" s="263" t="n">
        <v>0</v>
      </c>
    </row>
    <row r="13" ht="19.5" customHeight="1" s="333">
      <c r="A13" s="384" t="n"/>
      <c r="B13" s="393" t="n"/>
      <c r="C13" s="393" t="inlineStr">
        <is>
          <t>Всего по разделу «Оборудование»</t>
        </is>
      </c>
      <c r="D13" s="393" t="n"/>
      <c r="E13" s="411" t="n"/>
      <c r="F13" s="395" t="n"/>
      <c r="G13" s="263">
        <f>G10+G12</f>
        <v/>
      </c>
    </row>
    <row r="14">
      <c r="A14" s="341" t="n"/>
      <c r="B14" s="258" t="n"/>
      <c r="C14" s="341" t="n"/>
      <c r="D14" s="341" t="n"/>
      <c r="E14" s="341" t="n"/>
      <c r="F14" s="341" t="n"/>
      <c r="G14" s="341" t="n"/>
    </row>
    <row r="15">
      <c r="A15" s="339" t="inlineStr">
        <is>
          <t>Составил ______________________    Д.Ю. Нефедова</t>
        </is>
      </c>
      <c r="B15" s="340" t="n"/>
      <c r="C15" s="340" t="n"/>
      <c r="D15" s="341" t="n"/>
      <c r="E15" s="341" t="n"/>
      <c r="F15" s="341" t="n"/>
      <c r="G15" s="341" t="n"/>
    </row>
    <row r="16">
      <c r="A16" s="342" t="inlineStr">
        <is>
          <t xml:space="preserve">                         (подпись, инициалы, фамилия)</t>
        </is>
      </c>
      <c r="B16" s="340" t="n"/>
      <c r="C16" s="340" t="n"/>
      <c r="D16" s="341" t="n"/>
      <c r="E16" s="341" t="n"/>
      <c r="F16" s="341" t="n"/>
      <c r="G16" s="341" t="n"/>
    </row>
    <row r="17">
      <c r="A17" s="339" t="n"/>
      <c r="B17" s="340" t="n"/>
      <c r="C17" s="340" t="n"/>
      <c r="D17" s="341" t="n"/>
      <c r="E17" s="341" t="n"/>
      <c r="F17" s="341" t="n"/>
      <c r="G17" s="341" t="n"/>
    </row>
    <row r="18">
      <c r="A18" s="339" t="inlineStr">
        <is>
          <t>Проверил ______________________        А.В. Костянецкая</t>
        </is>
      </c>
      <c r="B18" s="340" t="n"/>
      <c r="C18" s="340" t="n"/>
      <c r="D18" s="341" t="n"/>
      <c r="E18" s="341" t="n"/>
      <c r="F18" s="341" t="n"/>
      <c r="G18" s="341" t="n"/>
    </row>
    <row r="19">
      <c r="A19" s="342" t="inlineStr">
        <is>
          <t xml:space="preserve">                        (подпись, инициалы, фамилия)</t>
        </is>
      </c>
      <c r="B19" s="340" t="n"/>
      <c r="C19" s="340" t="n"/>
      <c r="D19" s="341" t="n"/>
      <c r="E19" s="341" t="n"/>
      <c r="F19" s="341" t="n"/>
      <c r="G19" s="34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5" sqref="B15"/>
    </sheetView>
  </sheetViews>
  <sheetFormatPr baseColWidth="8" defaultRowHeight="14.4"/>
  <cols>
    <col width="12.6640625" customWidth="1" style="333" min="1" max="1"/>
    <col width="22.44140625" customWidth="1" style="333" min="2" max="2"/>
    <col width="37.109375" customWidth="1" style="333" min="3" max="3"/>
    <col width="49" customWidth="1" style="333" min="4" max="4"/>
    <col width="9.109375" customWidth="1" style="333" min="5" max="5"/>
  </cols>
  <sheetData>
    <row r="1" ht="15.75" customHeight="1" s="333">
      <c r="A1" s="332" t="n"/>
      <c r="B1" s="332" t="n"/>
      <c r="C1" s="332" t="n"/>
      <c r="D1" s="332" t="inlineStr">
        <is>
          <t>Приложение №7</t>
        </is>
      </c>
    </row>
    <row r="2" ht="15.75" customHeight="1" s="333">
      <c r="A2" s="332" t="n"/>
      <c r="B2" s="332" t="n"/>
      <c r="C2" s="332" t="n"/>
      <c r="D2" s="332" t="n"/>
    </row>
    <row r="3" ht="15.75" customHeight="1" s="333">
      <c r="A3" s="332" t="n"/>
      <c r="B3" s="334" t="inlineStr">
        <is>
          <t>Расчет показателя УНЦ</t>
        </is>
      </c>
      <c r="C3" s="332" t="n"/>
      <c r="D3" s="332" t="n"/>
    </row>
    <row r="4" ht="15.75" customHeight="1" s="333">
      <c r="A4" s="332" t="n"/>
      <c r="B4" s="332" t="n"/>
      <c r="C4" s="332" t="n"/>
      <c r="D4" s="332" t="n"/>
    </row>
    <row r="5" ht="15.75" customHeight="1" s="333">
      <c r="A5" s="413" t="inlineStr">
        <is>
          <t xml:space="preserve">Наименование разрабатываемого показателя УНЦ - </t>
        </is>
      </c>
      <c r="D5" s="413">
        <f>'Прил.5 Расчет СМР и ОБ'!D6:J6</f>
        <v/>
      </c>
    </row>
    <row r="6" ht="15.75" customHeight="1" s="333">
      <c r="A6" s="332" t="inlineStr">
        <is>
          <t>Единица измерения  — 1 тн опор</t>
        </is>
      </c>
      <c r="B6" s="332" t="n"/>
      <c r="C6" s="332" t="n"/>
      <c r="D6" s="332" t="n"/>
    </row>
    <row r="7" ht="15.75" customHeight="1" s="333">
      <c r="A7" s="332" t="n"/>
      <c r="B7" s="332" t="n"/>
      <c r="C7" s="332" t="n"/>
      <c r="D7" s="332" t="n"/>
    </row>
    <row r="8">
      <c r="A8" s="367" t="inlineStr">
        <is>
          <t>Код показателя</t>
        </is>
      </c>
      <c r="B8" s="367" t="inlineStr">
        <is>
          <t>Наименование показателя</t>
        </is>
      </c>
      <c r="C8" s="367" t="inlineStr">
        <is>
          <t>Наименование РМ, входящих в состав показателя</t>
        </is>
      </c>
      <c r="D8" s="367" t="inlineStr">
        <is>
          <t>Норматив цены на 01.01.2023, тыс.руб.</t>
        </is>
      </c>
    </row>
    <row r="9">
      <c r="A9" s="461" t="n"/>
      <c r="B9" s="461" t="n"/>
      <c r="C9" s="461" t="n"/>
      <c r="D9" s="461" t="n"/>
    </row>
    <row r="10" ht="15.75" customHeight="1" s="333">
      <c r="A10" s="367" t="n">
        <v>1</v>
      </c>
      <c r="B10" s="367" t="n">
        <v>2</v>
      </c>
      <c r="C10" s="367" t="n">
        <v>3</v>
      </c>
      <c r="D10" s="367" t="n">
        <v>4</v>
      </c>
    </row>
    <row r="11" ht="31.5" customHeight="1" s="333">
      <c r="A11" s="367" t="inlineStr">
        <is>
          <t>Л4-03-2</t>
        </is>
      </c>
      <c r="B11" s="367" t="inlineStr">
        <is>
          <t xml:space="preserve">УНЦ опор ВЛ 0,4 - 750 кВ </t>
        </is>
      </c>
      <c r="C11" s="337">
        <f>D5</f>
        <v/>
      </c>
      <c r="D11" s="338">
        <f>'Прил.4 РМ'!C41/1000</f>
        <v/>
      </c>
    </row>
    <row r="13">
      <c r="A13" s="339" t="inlineStr">
        <is>
          <t>Составил ______________________    Д.Ю. Нефедова</t>
        </is>
      </c>
      <c r="B13" s="340" t="n"/>
      <c r="C13" s="340" t="n"/>
      <c r="D13" s="341" t="n"/>
    </row>
    <row r="14">
      <c r="A14" s="342" t="inlineStr">
        <is>
          <t xml:space="preserve">                         (подпись, инициалы, фамилия)</t>
        </is>
      </c>
      <c r="B14" s="340" t="n"/>
      <c r="C14" s="340" t="n"/>
      <c r="D14" s="341" t="n"/>
    </row>
    <row r="15">
      <c r="A15" s="339" t="n"/>
      <c r="B15" s="340" t="n"/>
      <c r="C15" s="340" t="n"/>
      <c r="D15" s="341" t="n"/>
    </row>
    <row r="16">
      <c r="A16" s="339" t="inlineStr">
        <is>
          <t>Проверил ______________________        А.В. Костянецкая</t>
        </is>
      </c>
      <c r="B16" s="340" t="n"/>
      <c r="C16" s="340" t="n"/>
      <c r="D16" s="341" t="n"/>
    </row>
    <row r="17" ht="20.25" customHeight="1" s="333">
      <c r="A17" s="342" t="inlineStr">
        <is>
          <t xml:space="preserve">                        (подпись, инициалы, фамилия)</t>
        </is>
      </c>
      <c r="B17" s="340" t="n"/>
      <c r="C17" s="340" t="n"/>
      <c r="D17" s="34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F30"/>
  <sheetViews>
    <sheetView view="pageBreakPreview" zoomScale="60" zoomScaleNormal="85" workbookViewId="0">
      <selection activeCell="B25" sqref="B25"/>
    </sheetView>
  </sheetViews>
  <sheetFormatPr baseColWidth="8" defaultRowHeight="14.4"/>
  <cols>
    <col width="9.109375" customWidth="1" style="333" min="1" max="1"/>
    <col width="40.6640625" customWidth="1" style="333" min="2" max="2"/>
    <col width="37" customWidth="1" style="333" min="3" max="3"/>
    <col width="32" customWidth="1" style="333" min="4" max="4"/>
    <col width="9.109375" customWidth="1" style="333" min="5" max="5"/>
  </cols>
  <sheetData>
    <row r="4" ht="15.75" customHeight="1" s="333">
      <c r="B4" s="362" t="inlineStr">
        <is>
          <t>Приложение № 10</t>
        </is>
      </c>
    </row>
    <row r="5" ht="18.75" customHeight="1" s="333">
      <c r="B5" s="245" t="n"/>
    </row>
    <row r="6" ht="15.75" customHeight="1" s="333">
      <c r="B6" s="363" t="inlineStr">
        <is>
          <t>Используемые индексы изменений сметной стоимости и нормы сопутствующих затрат</t>
        </is>
      </c>
    </row>
    <row r="7">
      <c r="B7" s="414" t="n"/>
    </row>
    <row r="8">
      <c r="B8" s="414" t="n"/>
      <c r="C8" s="414" t="n"/>
      <c r="D8" s="414" t="n"/>
      <c r="E8" s="414" t="n"/>
    </row>
    <row r="9" ht="47.25" customHeight="1" s="333">
      <c r="B9" s="367" t="inlineStr">
        <is>
          <t>Наименование индекса / норм сопутствующих затрат</t>
        </is>
      </c>
      <c r="C9" s="367" t="inlineStr">
        <is>
          <t>Дата применения и обоснование индекса / норм сопутствующих затрат</t>
        </is>
      </c>
      <c r="D9" s="367" t="inlineStr">
        <is>
          <t>Размер индекса / норма сопутствующих затрат</t>
        </is>
      </c>
    </row>
    <row r="10" ht="15.75" customHeight="1" s="333">
      <c r="B10" s="367" t="n">
        <v>1</v>
      </c>
      <c r="C10" s="367" t="n">
        <v>2</v>
      </c>
      <c r="D10" s="367" t="n">
        <v>3</v>
      </c>
    </row>
    <row r="11" ht="45" customHeight="1" s="333">
      <c r="B11" s="367" t="inlineStr">
        <is>
          <t xml:space="preserve">Индекс изменения сметной стоимости на 1 квартал 2023 года. ОЗП </t>
        </is>
      </c>
      <c r="C11" s="367" t="inlineStr">
        <is>
          <t>Письмо Минстроя России от 01.04.2023г. №17772-ИФ/09 прил.9</t>
        </is>
      </c>
      <c r="D11" s="367" t="n">
        <v>46.83</v>
      </c>
    </row>
    <row r="12" ht="31.5" customHeight="1" s="333">
      <c r="B12" s="367" t="inlineStr">
        <is>
          <t>Индекс изменения сметной стоимости на 1 квартал 2023 года. ЭМ</t>
        </is>
      </c>
      <c r="C12" s="367" t="inlineStr">
        <is>
          <t>Письмо Минстроя России от 01.04.2023г. №17772-ИФ/09 прил.9</t>
        </is>
      </c>
      <c r="D12" s="367" t="n">
        <v>11.96</v>
      </c>
    </row>
    <row r="13" ht="31.5" customHeight="1" s="333">
      <c r="B13" s="367" t="inlineStr">
        <is>
          <t>Индекс изменения сметной стоимости на 1 квартал 2023 года. МАТ</t>
        </is>
      </c>
      <c r="C13" s="367" t="inlineStr">
        <is>
          <t>Письмо Минстроя России от 01.04.2023г. №17772-ИФ/09 прил.9</t>
        </is>
      </c>
      <c r="D13" s="367" t="n">
        <v>9.84</v>
      </c>
    </row>
    <row r="14" ht="30.75" customHeight="1" s="333">
      <c r="B14" s="367" t="inlineStr">
        <is>
          <t>Индекс изменения сметной стоимости на 1 квартал 2023 года. ОБ</t>
        </is>
      </c>
      <c r="C14" s="190" t="inlineStr">
        <is>
          <t>Письмо Минстроя России от 23.02.2023г. №9791-ИФ/09 прил.6</t>
        </is>
      </c>
      <c r="D14" s="367" t="n">
        <v>6.26</v>
      </c>
    </row>
    <row r="15" ht="89.25" customHeight="1" s="333">
      <c r="B15" s="367" t="inlineStr">
        <is>
          <t>Временные здания и сооружения</t>
        </is>
      </c>
      <c r="C15" s="367" t="inlineStr">
        <is>
          <t xml:space="preserve">п.39.1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213" t="n">
        <v>0.033</v>
      </c>
    </row>
    <row r="16" ht="78.75" customHeight="1" s="333">
      <c r="B16" s="367" t="inlineStr">
        <is>
          <t>Дополнительные затраты при производстве строительно-монтажных работ в зимнее время</t>
        </is>
      </c>
      <c r="C16" s="367" t="inlineStr">
        <is>
          <t xml:space="preserve">п.51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213">
        <f>1%</f>
        <v/>
      </c>
      <c r="F16" s="247" t="n"/>
    </row>
    <row r="17" ht="31.5" customHeight="1" s="333">
      <c r="B17" s="367" t="inlineStr">
        <is>
          <t>Строительный контроль</t>
        </is>
      </c>
      <c r="C17" s="367" t="inlineStr">
        <is>
          <t>Постановление Правительства РФ от 21.06.10 г. № 468</t>
        </is>
      </c>
      <c r="D17" s="213" t="n">
        <v>0.0214</v>
      </c>
    </row>
    <row r="18" ht="31.5" customHeight="1" s="333">
      <c r="B18" s="367" t="inlineStr">
        <is>
          <t>Авторский надзор - 0,2%</t>
        </is>
      </c>
      <c r="C18" s="367" t="inlineStr">
        <is>
          <t>Приказ от 4.08.2020 № 421/пр п.173</t>
        </is>
      </c>
      <c r="D18" s="213" t="n">
        <v>0.002</v>
      </c>
    </row>
    <row r="19" ht="24" customHeight="1" s="333">
      <c r="B19" s="367" t="inlineStr">
        <is>
          <t>Непредвиденные расходы</t>
        </is>
      </c>
      <c r="C19" s="367" t="inlineStr">
        <is>
          <t>Приказ от 4.08.2020 № 421/пр п.179</t>
        </is>
      </c>
      <c r="D19" s="213" t="n">
        <v>0.03</v>
      </c>
    </row>
    <row r="20" ht="18.75" customHeight="1" s="333">
      <c r="B20" s="298" t="n"/>
    </row>
    <row r="21" ht="18.75" customHeight="1" s="333">
      <c r="B21" s="298" t="n"/>
    </row>
    <row r="22" ht="18.75" customHeight="1" s="333">
      <c r="B22" s="298" t="n"/>
    </row>
    <row r="23" ht="18.75" customHeight="1" s="333">
      <c r="B23" s="298" t="n"/>
    </row>
    <row r="26">
      <c r="B26" s="339" t="inlineStr">
        <is>
          <t>Составил ______________________        Д.Ю. Нефедова</t>
        </is>
      </c>
      <c r="C26" s="340" t="n"/>
    </row>
    <row r="27">
      <c r="B27" s="342" t="inlineStr">
        <is>
          <t xml:space="preserve">                         (подпись, инициалы, фамилия)</t>
        </is>
      </c>
      <c r="C27" s="340" t="n"/>
    </row>
    <row r="28">
      <c r="B28" s="339" t="n"/>
      <c r="C28" s="340" t="n"/>
    </row>
    <row r="29">
      <c r="B29" s="339" t="inlineStr">
        <is>
          <t>Проверил ______________________        А.В. Костянецкая</t>
        </is>
      </c>
      <c r="C29" s="340" t="n"/>
    </row>
    <row r="30">
      <c r="B30" s="342" t="inlineStr">
        <is>
          <t xml:space="preserve">                        (подпись, инициалы, фамилия)</t>
        </is>
      </c>
      <c r="C30" s="34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13"/>
  <sheetViews>
    <sheetView view="pageBreakPreview" workbookViewId="0">
      <selection activeCell="A13" sqref="A13:E13"/>
    </sheetView>
  </sheetViews>
  <sheetFormatPr baseColWidth="8" defaultRowHeight="14.4"/>
  <cols>
    <col width="9.109375" customWidth="1" style="333" min="1" max="1"/>
    <col width="44.88671875" customWidth="1" style="333" min="2" max="2"/>
    <col width="13" customWidth="1" style="333" min="3" max="3"/>
    <col width="22.88671875" customWidth="1" style="333" min="4" max="4"/>
    <col width="21.5546875" customWidth="1" style="333" min="5" max="5"/>
    <col width="43.88671875" customWidth="1" style="333" min="6" max="6"/>
    <col width="9.109375" customWidth="1" style="333" min="7" max="7"/>
  </cols>
  <sheetData>
    <row r="2" ht="17.25" customHeight="1" s="333">
      <c r="A2" s="36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33">
      <c r="A4" s="162" t="inlineStr">
        <is>
          <t>Составлен в уровне цен на 01.01.2023 г.</t>
        </is>
      </c>
      <c r="B4" s="332" t="n"/>
      <c r="C4" s="332" t="n"/>
      <c r="D4" s="332" t="n"/>
      <c r="E4" s="332" t="n"/>
      <c r="F4" s="332" t="n"/>
      <c r="G4" s="332" t="n"/>
    </row>
    <row r="5" ht="15.75" customHeight="1" s="333">
      <c r="A5" s="164" t="inlineStr">
        <is>
          <t>№ пп.</t>
        </is>
      </c>
      <c r="B5" s="164" t="inlineStr">
        <is>
          <t>Наименование элемента</t>
        </is>
      </c>
      <c r="C5" s="164" t="inlineStr">
        <is>
          <t>Обозначение</t>
        </is>
      </c>
      <c r="D5" s="164" t="inlineStr">
        <is>
          <t>Формула</t>
        </is>
      </c>
      <c r="E5" s="164" t="inlineStr">
        <is>
          <t>Величина элемента</t>
        </is>
      </c>
      <c r="F5" s="164" t="inlineStr">
        <is>
          <t>Наименования обосновывающих документов</t>
        </is>
      </c>
      <c r="G5" s="332" t="n"/>
    </row>
    <row r="6" ht="15.75" customHeight="1" s="333">
      <c r="A6" s="164" t="n">
        <v>1</v>
      </c>
      <c r="B6" s="164" t="n">
        <v>2</v>
      </c>
      <c r="C6" s="164" t="n">
        <v>3</v>
      </c>
      <c r="D6" s="164" t="n">
        <v>4</v>
      </c>
      <c r="E6" s="164" t="n">
        <v>5</v>
      </c>
      <c r="F6" s="164" t="n">
        <v>6</v>
      </c>
      <c r="G6" s="332" t="n"/>
    </row>
    <row r="7" ht="110.25" customHeight="1" s="333">
      <c r="A7" s="165" t="inlineStr">
        <is>
          <t>1.1</t>
        </is>
      </c>
      <c r="B7" s="16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7" t="inlineStr">
        <is>
          <t>С1ср</t>
        </is>
      </c>
      <c r="D7" s="367" t="inlineStr">
        <is>
          <t>-</t>
        </is>
      </c>
      <c r="E7" s="338" t="n">
        <v>47872.94</v>
      </c>
      <c r="F7" s="16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2" t="n"/>
    </row>
    <row r="8" ht="31.5" customHeight="1" s="333">
      <c r="A8" s="165" t="inlineStr">
        <is>
          <t>1.2</t>
        </is>
      </c>
      <c r="B8" s="169" t="inlineStr">
        <is>
          <t>Среднегодовое нормативное число часов работы одного рабочего в месяц, часы (ч.)</t>
        </is>
      </c>
      <c r="C8" s="367" t="inlineStr">
        <is>
          <t>tср</t>
        </is>
      </c>
      <c r="D8" s="367" t="inlineStr">
        <is>
          <t>1973ч/12мес.</t>
        </is>
      </c>
      <c r="E8" s="338">
        <f>1973/12</f>
        <v/>
      </c>
      <c r="F8" s="169" t="inlineStr">
        <is>
          <t>Производственный календарь 2023 год
(40-часов.неделя)</t>
        </is>
      </c>
      <c r="G8" s="171" t="n"/>
    </row>
    <row r="9" ht="15.75" customHeight="1" s="333">
      <c r="A9" s="165" t="inlineStr">
        <is>
          <t>1.3</t>
        </is>
      </c>
      <c r="B9" s="169" t="inlineStr">
        <is>
          <t>Коэффициент увеличения</t>
        </is>
      </c>
      <c r="C9" s="367" t="inlineStr">
        <is>
          <t>Кув</t>
        </is>
      </c>
      <c r="D9" s="367" t="inlineStr">
        <is>
          <t>-</t>
        </is>
      </c>
      <c r="E9" s="338" t="n">
        <v>1</v>
      </c>
      <c r="F9" s="169" t="n"/>
      <c r="G9" s="171" t="n"/>
    </row>
    <row r="10" ht="15.75" customHeight="1" s="333">
      <c r="A10" s="165" t="inlineStr">
        <is>
          <t>1.4</t>
        </is>
      </c>
      <c r="B10" s="169" t="inlineStr">
        <is>
          <t>Средний разряд работ</t>
        </is>
      </c>
      <c r="C10" s="367" t="n"/>
      <c r="D10" s="367" t="n"/>
      <c r="E10" s="226" t="n">
        <v>4.2</v>
      </c>
      <c r="F10" s="169" t="inlineStr">
        <is>
          <t>РТМ</t>
        </is>
      </c>
      <c r="G10" s="171" t="n"/>
    </row>
    <row r="11" ht="78.75" customHeight="1" s="333">
      <c r="A11" s="165" t="inlineStr">
        <is>
          <t>1.5</t>
        </is>
      </c>
      <c r="B11" s="169" t="inlineStr">
        <is>
          <t>Тарифный коэффициент среднего разряда работ</t>
        </is>
      </c>
      <c r="C11" s="367" t="inlineStr">
        <is>
          <t>КТ</t>
        </is>
      </c>
      <c r="D11" s="367" t="inlineStr">
        <is>
          <t>-</t>
        </is>
      </c>
      <c r="E11" s="227" t="n">
        <v>1.38</v>
      </c>
      <c r="F11" s="16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2" t="n"/>
    </row>
    <row r="12" ht="78.75" customHeight="1" s="333">
      <c r="A12" s="165" t="inlineStr">
        <is>
          <t>1.6</t>
        </is>
      </c>
      <c r="B12" s="189" t="inlineStr">
        <is>
          <t>Коэффициент инфляции, определяемый поквартально</t>
        </is>
      </c>
      <c r="C12" s="367" t="inlineStr">
        <is>
          <t>Кинф</t>
        </is>
      </c>
      <c r="D12" s="367" t="inlineStr">
        <is>
          <t>-</t>
        </is>
      </c>
      <c r="E12" s="173" t="n">
        <v>1.139</v>
      </c>
      <c r="F12" s="17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7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3">
      <c r="A13" s="165" t="inlineStr">
        <is>
          <t>1.7</t>
        </is>
      </c>
      <c r="B13" s="175" t="inlineStr">
        <is>
          <t>Размер средств на оплату труда рабочих-строителей в текущем уровне цен (ФОТр.тек.), руб/чел.-ч</t>
        </is>
      </c>
      <c r="C13" s="367" t="inlineStr">
        <is>
          <t>ФОТр.тек.</t>
        </is>
      </c>
      <c r="D13" s="367" t="inlineStr">
        <is>
          <t>(С1ср/tср*КТ*Т*Кув)*Кинф</t>
        </is>
      </c>
      <c r="E13" s="176">
        <f>((E7*E9/E8)*E11)*E12</f>
        <v/>
      </c>
      <c r="F13" s="16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2025-01-24T12:10:14Z</dcterms:modified>
  <cp:lastModifiedBy>user1</cp:lastModifiedBy>
</cp:coreProperties>
</file>