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89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_xlnm.Print_Titles" localSheetId="2">'Прил.3'!$9:$11</definedName>
    <definedName name="_xlnm.Print_Area" localSheetId="2">'Прил.3'!$A$1:$H$34</definedName>
    <definedName name="_xlnm.Print_Titles" localSheetId="4">'Прил.5 Расчет СМР и ОБ'!$10:$12</definedName>
    <definedName name="_xlnm.Print_Area" localSheetId="8">'ФОТр.тек.'!$A$1:$F$13</definedName>
  </definedNames>
  <calcPr calcId="152511" fullCalcOnLoad="1"/>
</workbook>
</file>

<file path=xl/styles.xml><?xml version="1.0" encoding="utf-8"?>
<styleSheet xmlns="http://schemas.openxmlformats.org/spreadsheetml/2006/main">
  <numFmts count="8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#,##0.0000"/>
    <numFmt numFmtId="170" formatCode="0.0"/>
    <numFmt numFmtId="171" formatCode="#,##0.00\ _₽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Arial"/>
      <b val="1"/>
      <color rgb="FF000000"/>
      <sz val="12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9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10" fontId="20" fillId="0" borderId="1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17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 vertical="top" wrapText="1"/>
    </xf>
    <xf numFmtId="49" fontId="1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2" fillId="0" borderId="1" applyAlignment="1" pivotButton="0" quotePrefix="0" xfId="0">
      <alignment horizontal="center" vertical="center" wrapText="1"/>
    </xf>
    <xf numFmtId="2" fontId="22" fillId="0" borderId="1" applyAlignment="1" pivotButton="0" quotePrefix="0" xfId="0">
      <alignment horizontal="right" vertical="center" wrapText="1"/>
    </xf>
    <xf numFmtId="171" fontId="2" fillId="0" borderId="1" applyAlignment="1" pivotButton="0" quotePrefix="0" xfId="0">
      <alignment horizontal="right" vertical="center" wrapText="1"/>
    </xf>
    <xf numFmtId="171" fontId="22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top" wrapText="1"/>
    </xf>
    <xf numFmtId="2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169" fontId="1" fillId="0" borderId="4" applyAlignment="1" pivotButton="0" quotePrefix="0" xfId="0">
      <alignment horizontal="center" vertical="center" wrapText="1"/>
    </xf>
    <xf numFmtId="10" fontId="1" fillId="0" borderId="4" applyAlignment="1" pivotButton="0" quotePrefix="0" xfId="0">
      <alignment horizontal="right" vertic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2" fontId="2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17" fillId="4" borderId="1" applyAlignment="1" pivotButton="0" quotePrefix="0" xfId="0">
      <alignment horizontal="center" vertical="center" wrapText="1"/>
    </xf>
    <xf numFmtId="49" fontId="17" fillId="4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165" fontId="17" fillId="4" borderId="1" applyAlignment="1" pivotButton="0" quotePrefix="0" xfId="0">
      <alignment vertical="center" wrapText="1"/>
    </xf>
    <xf numFmtId="2" fontId="17" fillId="4" borderId="1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0" fontId="20" fillId="0" borderId="1" applyAlignment="1" pivotButton="0" quotePrefix="0" xfId="0">
      <alignment horizontal="center" vertical="center" wrapText="1"/>
    </xf>
    <xf numFmtId="4" fontId="20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49" fontId="1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9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0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7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5" pivotButton="0" quotePrefix="0" xfId="0"/>
    <xf numFmtId="49" fontId="2" fillId="0" borderId="4" applyAlignment="1" pivotButton="0" quotePrefix="0" xfId="0">
      <alignment horizontal="left" vertical="center" wrapText="1"/>
    </xf>
    <xf numFmtId="0" fontId="0" fillId="0" borderId="12" pivotButton="0" quotePrefix="0" xfId="0"/>
    <xf numFmtId="0" fontId="0" fillId="0" borderId="13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19" zoomScaleNormal="70" workbookViewId="0">
      <selection activeCell="C25" sqref="C25"/>
    </sheetView>
  </sheetViews>
  <sheetFormatPr baseColWidth="8" defaultRowHeight="15"/>
  <cols>
    <col width="36.85546875" customWidth="1" min="3" max="3"/>
    <col width="43.85546875" customWidth="1" min="4" max="4"/>
  </cols>
  <sheetData>
    <row r="3" ht="15.75" customHeight="1">
      <c r="B3" s="232" t="inlineStr">
        <is>
          <t>Приложение № 1</t>
        </is>
      </c>
    </row>
    <row r="4" ht="18.75" customHeight="1">
      <c r="B4" s="233" t="inlineStr">
        <is>
          <t>Сравнительная таблица отбора объекта-представителя</t>
        </is>
      </c>
    </row>
    <row r="5" ht="84" customHeight="1">
      <c r="B5" s="234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116" t="n"/>
      <c r="C6" s="116" t="n"/>
      <c r="D6" s="116" t="n"/>
    </row>
    <row r="7" ht="42" customHeight="1">
      <c r="B7" s="231" t="inlineStr">
        <is>
          <t>Наименование разрабатываемого показателя УНЦ — УНЦ компактированного провода ВЛ 0,4-750 кВ сталеалюминиевого типа (до 240мм2) (3 провода)</t>
        </is>
      </c>
    </row>
    <row r="8" ht="31.5" customHeight="1">
      <c r="B8" s="231" t="inlineStr">
        <is>
          <t>Сопоставимый уровень цен: 4 кв. 2013 г.</t>
        </is>
      </c>
    </row>
    <row r="9" ht="15.75" customHeight="1">
      <c r="B9" s="231" t="inlineStr">
        <is>
          <t>Единица измерения  — 1 км</t>
        </is>
      </c>
    </row>
    <row r="10" ht="18.75" customHeight="1">
      <c r="B10" s="117" t="n"/>
    </row>
    <row r="11" ht="15.75" customHeight="1">
      <c r="B11" s="238" t="inlineStr">
        <is>
          <t>№ п/п</t>
        </is>
      </c>
      <c r="C11" s="238" t="inlineStr">
        <is>
          <t>Параметр</t>
        </is>
      </c>
      <c r="D11" s="238" t="inlineStr">
        <is>
          <t>Объект-представитель</t>
        </is>
      </c>
    </row>
    <row r="12" ht="41.25" customHeight="1">
      <c r="B12" s="238" t="n">
        <v>1</v>
      </c>
      <c r="C12" s="119" t="inlineStr">
        <is>
          <t>Наименование объекта-представителя</t>
        </is>
      </c>
      <c r="D12" s="222" t="inlineStr">
        <is>
          <t>Строительство ВЛ 110 кВ от ПС 330 кВ «Прикумск» до места присоединения ВЛ 110 кВ, питающей ГПП-2, к ВЛ 110 кВ Л-212 (213)</t>
        </is>
      </c>
    </row>
    <row r="13" ht="31.5" customHeight="1">
      <c r="B13" s="238" t="n">
        <v>2</v>
      </c>
      <c r="C13" s="119" t="inlineStr">
        <is>
          <t>Наименование субъекта Российской Федерации</t>
        </is>
      </c>
      <c r="D13" s="222" t="inlineStr">
        <is>
          <t>Ставропольский край</t>
        </is>
      </c>
    </row>
    <row r="14" ht="15.75" customHeight="1">
      <c r="B14" s="238" t="n">
        <v>3</v>
      </c>
      <c r="C14" s="119" t="inlineStr">
        <is>
          <t>Климатический район и подрайон</t>
        </is>
      </c>
      <c r="D14" s="222" t="inlineStr">
        <is>
          <t>IIIБ</t>
        </is>
      </c>
    </row>
    <row r="15" ht="15.75" customHeight="1">
      <c r="B15" s="238" t="n">
        <v>4</v>
      </c>
      <c r="C15" s="119" t="inlineStr">
        <is>
          <t>Мощность объекта</t>
        </is>
      </c>
      <c r="D15" s="222" t="n">
        <v>1</v>
      </c>
    </row>
    <row r="16" ht="107.25" customHeight="1">
      <c r="B16" s="238" t="n">
        <v>5</v>
      </c>
      <c r="C16" s="12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8" t="inlineStr">
        <is>
          <t>АС 95/16</t>
        </is>
      </c>
    </row>
    <row r="17" ht="95.25" customHeight="1">
      <c r="B17" s="238" t="n">
        <v>6</v>
      </c>
      <c r="C17" s="12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23">
        <f>SUM(D18:D21)</f>
        <v/>
      </c>
    </row>
    <row r="18" ht="15.75" customHeight="1">
      <c r="B18" s="121" t="inlineStr">
        <is>
          <t>6.1</t>
        </is>
      </c>
      <c r="C18" s="119" t="inlineStr">
        <is>
          <t>строительно-монтажные работы</t>
        </is>
      </c>
      <c r="D18" s="223">
        <f>56822.81484+648.79335</f>
        <v/>
      </c>
    </row>
    <row r="19" ht="15.75" customHeight="1">
      <c r="B19" s="121" t="inlineStr">
        <is>
          <t>6.2</t>
        </is>
      </c>
      <c r="C19" s="119" t="inlineStr">
        <is>
          <t>оборудование и инвентарь</t>
        </is>
      </c>
      <c r="D19" s="223" t="n"/>
    </row>
    <row r="20" ht="15.75" customHeight="1">
      <c r="B20" s="121" t="inlineStr">
        <is>
          <t>6.3</t>
        </is>
      </c>
      <c r="C20" s="119" t="inlineStr">
        <is>
          <t>пусконаладочные работы</t>
        </is>
      </c>
      <c r="D20" s="223" t="n"/>
    </row>
    <row r="21" ht="31.5" customHeight="1">
      <c r="B21" s="121" t="inlineStr">
        <is>
          <t>6.4</t>
        </is>
      </c>
      <c r="C21" s="119" t="inlineStr">
        <is>
          <t>прочие и лимитированные затраты</t>
        </is>
      </c>
      <c r="D21" s="223">
        <f>D18*3.3%+(D18+D18*3.3%)*0.3%</f>
        <v/>
      </c>
    </row>
    <row r="22" ht="15.75" customHeight="1">
      <c r="B22" s="238" t="n">
        <v>7</v>
      </c>
      <c r="C22" s="119" t="inlineStr">
        <is>
          <t>Сопоставимый уровень цен</t>
        </is>
      </c>
      <c r="D22" s="222" t="inlineStr">
        <is>
          <t>4 кв. 2013 г.</t>
        </is>
      </c>
    </row>
    <row r="23" ht="110.25" customHeight="1">
      <c r="B23" s="238" t="n">
        <v>8</v>
      </c>
      <c r="C23" s="12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23">
        <f>D17/6.33*6.82</f>
        <v/>
      </c>
    </row>
    <row r="24" ht="61.5" customHeight="1">
      <c r="B24" s="238" t="n">
        <v>9</v>
      </c>
      <c r="C24" s="120" t="inlineStr">
        <is>
          <t>Приведенная сметная стоимость на единицу мощности, тыс. руб. (строка 8/строку 4)</t>
        </is>
      </c>
      <c r="D24" s="223">
        <f>D23/D15</f>
        <v/>
      </c>
    </row>
    <row r="25" ht="37.5" customHeight="1">
      <c r="B25" s="122" t="n"/>
      <c r="C25" s="123" t="n"/>
      <c r="D25" s="123" t="n"/>
    </row>
    <row r="26">
      <c r="B26" s="196" t="inlineStr">
        <is>
          <t>Составил ______________________        Д.Ю. Нефедова</t>
        </is>
      </c>
      <c r="C26" s="205" t="n"/>
    </row>
    <row r="27">
      <c r="B27" s="206" t="inlineStr">
        <is>
          <t xml:space="preserve">                         (подпись, инициалы, фамилия)</t>
        </is>
      </c>
      <c r="C27" s="205" t="n"/>
    </row>
    <row r="28">
      <c r="B28" s="196" t="n"/>
      <c r="C28" s="205" t="n"/>
    </row>
    <row r="29">
      <c r="B29" s="196" t="inlineStr">
        <is>
          <t>Проверил ______________________        А.В. Костянецкая</t>
        </is>
      </c>
      <c r="C29" s="205" t="n"/>
    </row>
    <row r="30">
      <c r="B30" s="206" t="inlineStr">
        <is>
          <t xml:space="preserve">                        (подпись, инициалы, фамилия)</t>
        </is>
      </c>
      <c r="C30" s="205" t="n"/>
    </row>
    <row r="31" ht="15.75" customHeight="1">
      <c r="B31" s="123" t="n"/>
      <c r="C31" s="123" t="n"/>
      <c r="D31" s="12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="85" zoomScaleNormal="70" workbookViewId="0">
      <selection activeCell="C18" sqref="C18"/>
    </sheetView>
  </sheetViews>
  <sheetFormatPr baseColWidth="8" defaultRowHeight="15"/>
  <cols>
    <col width="5.5703125" customWidth="1" min="1" max="1"/>
    <col width="35.28515625" customWidth="1" min="3" max="3"/>
    <col width="13.85546875" customWidth="1" min="4" max="4"/>
    <col width="17.42578125" customWidth="1" min="5" max="5"/>
    <col width="12.7109375" customWidth="1" min="6" max="6"/>
    <col width="14.85546875" customWidth="1" min="7" max="7"/>
    <col width="16.7109375" customWidth="1" min="8" max="8"/>
    <col width="13" customWidth="1" min="9" max="10"/>
  </cols>
  <sheetData>
    <row r="3" ht="15.75" customHeight="1">
      <c r="B3" s="232" t="inlineStr">
        <is>
          <t>Приложение № 2</t>
        </is>
      </c>
    </row>
    <row r="4" ht="15.75" customHeight="1">
      <c r="B4" s="237" t="inlineStr">
        <is>
          <t>Расчет стоимости основных видов работ для выбора объекта-представителя</t>
        </is>
      </c>
    </row>
    <row r="5" ht="15.75" customHeight="1">
      <c r="B5" s="124" t="n"/>
      <c r="C5" s="124" t="n"/>
      <c r="D5" s="124" t="n"/>
      <c r="E5" s="124" t="n"/>
      <c r="F5" s="124" t="n"/>
      <c r="G5" s="124" t="n"/>
      <c r="H5" s="124" t="n"/>
      <c r="I5" s="124" t="n"/>
      <c r="J5" s="124" t="n"/>
    </row>
    <row r="6" ht="31.5" customHeight="1">
      <c r="B6" s="231" t="inlineStr">
        <is>
          <t>Наименование разрабатываемого показателя УНЦ — УНЦ компактированного провода ВЛ 0,4-750 кВ сталеалюминиевого типа (до 240мм2) (3 провода)</t>
        </is>
      </c>
    </row>
    <row r="7" ht="15.75" customHeight="1">
      <c r="B7" s="231" t="inlineStr">
        <is>
          <t>Единица измерения  — 1 км</t>
        </is>
      </c>
    </row>
    <row r="8" ht="18.75" customHeight="1">
      <c r="B8" s="117" t="n"/>
    </row>
    <row r="9" ht="15.75" customHeight="1">
      <c r="B9" s="238" t="inlineStr">
        <is>
          <t>№ п/п</t>
        </is>
      </c>
      <c r="C9" s="23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8" t="inlineStr">
        <is>
          <t>Объект-представитель 1</t>
        </is>
      </c>
      <c r="E9" s="323" t="n"/>
      <c r="F9" s="323" t="n"/>
      <c r="G9" s="323" t="n"/>
      <c r="H9" s="323" t="n"/>
      <c r="I9" s="323" t="n"/>
      <c r="J9" s="324" t="n"/>
    </row>
    <row r="10" ht="15.75" customHeight="1">
      <c r="B10" s="325" t="n"/>
      <c r="C10" s="325" t="n"/>
      <c r="D10" s="238" t="inlineStr">
        <is>
          <t>Номер сметы</t>
        </is>
      </c>
      <c r="E10" s="238" t="inlineStr">
        <is>
          <t>Наименование сметы</t>
        </is>
      </c>
      <c r="F10" s="238" t="inlineStr">
        <is>
          <t>Сметная стоимость в уровне цен 4 кв. 2013г., тыс. руб.</t>
        </is>
      </c>
      <c r="G10" s="323" t="n"/>
      <c r="H10" s="323" t="n"/>
      <c r="I10" s="323" t="n"/>
      <c r="J10" s="324" t="n"/>
    </row>
    <row r="11" ht="31.5" customHeight="1">
      <c r="B11" s="326" t="n"/>
      <c r="C11" s="326" t="n"/>
      <c r="D11" s="326" t="n"/>
      <c r="E11" s="326" t="n"/>
      <c r="F11" s="238" t="inlineStr">
        <is>
          <t>Строительные работы</t>
        </is>
      </c>
      <c r="G11" s="238" t="inlineStr">
        <is>
          <t>Монтажные работы</t>
        </is>
      </c>
      <c r="H11" s="238" t="inlineStr">
        <is>
          <t>Оборудование</t>
        </is>
      </c>
      <c r="I11" s="238" t="inlineStr">
        <is>
          <t>Прочее</t>
        </is>
      </c>
      <c r="J11" s="238" t="inlineStr">
        <is>
          <t>Всего</t>
        </is>
      </c>
    </row>
    <row r="12" ht="47.25" customHeight="1">
      <c r="B12" s="215" t="n">
        <v>1</v>
      </c>
      <c r="C12" s="215" t="inlineStr">
        <is>
          <t>АС 95/16</t>
        </is>
      </c>
      <c r="D12" s="216" t="inlineStr">
        <is>
          <t xml:space="preserve">02-00-07 </t>
        </is>
      </c>
      <c r="E12" s="217" t="inlineStr">
        <is>
          <t>Строительство ВЛ 110 кВ, прот. 9,39 км</t>
        </is>
      </c>
      <c r="F12" s="218">
        <f>8976748/1000*6.33</f>
        <v/>
      </c>
      <c r="G12" s="218">
        <f>102495/1000*6.33</f>
        <v/>
      </c>
      <c r="H12" s="218" t="n"/>
      <c r="I12" s="219" t="n"/>
      <c r="J12" s="219">
        <f>SUM(F12:I12)</f>
        <v/>
      </c>
    </row>
    <row r="13" ht="15.75" customHeight="1">
      <c r="B13" s="235" t="inlineStr">
        <is>
          <t>Всего по объекту:</t>
        </is>
      </c>
      <c r="C13" s="327" t="n"/>
      <c r="D13" s="327" t="n"/>
      <c r="E13" s="328" t="n"/>
      <c r="F13" s="220">
        <f>F12</f>
        <v/>
      </c>
      <c r="G13" s="220">
        <f>G12</f>
        <v/>
      </c>
      <c r="H13" s="220">
        <f>H12</f>
        <v/>
      </c>
      <c r="I13" s="220">
        <f>I12</f>
        <v/>
      </c>
      <c r="J13" s="220">
        <f>SUM(F13:I13)</f>
        <v/>
      </c>
    </row>
    <row r="14" ht="28.5" customHeight="1">
      <c r="B14" s="236" t="inlineStr">
        <is>
          <t>Всего по объекту в сопоставимом уровне цен 4 кв. 2013г:</t>
        </is>
      </c>
      <c r="C14" s="323" t="n"/>
      <c r="D14" s="323" t="n"/>
      <c r="E14" s="324" t="n"/>
      <c r="F14" s="221">
        <f>F13</f>
        <v/>
      </c>
      <c r="G14" s="221">
        <f>G13</f>
        <v/>
      </c>
      <c r="H14" s="221">
        <f>H13</f>
        <v/>
      </c>
      <c r="I14" s="221">
        <f>I13</f>
        <v/>
      </c>
      <c r="J14" s="221">
        <f>SUM(F14:I14)</f>
        <v/>
      </c>
    </row>
    <row r="15" ht="18.75" customHeight="1">
      <c r="B15" s="117" t="n"/>
    </row>
    <row r="18">
      <c r="C18" s="196" t="inlineStr">
        <is>
          <t>Составил ______________________    Д.Ю. Нефедова</t>
        </is>
      </c>
      <c r="D18" s="205" t="n"/>
    </row>
    <row r="19">
      <c r="C19" s="206" t="inlineStr">
        <is>
          <t xml:space="preserve">                         (подпись, инициалы, фамилия)</t>
        </is>
      </c>
      <c r="D19" s="205" t="n"/>
    </row>
    <row r="20">
      <c r="C20" s="196" t="n"/>
      <c r="D20" s="205" t="n"/>
    </row>
    <row r="21">
      <c r="C21" s="196" t="inlineStr">
        <is>
          <t>Проверил ______________________        А.В. Костянецкая</t>
        </is>
      </c>
      <c r="D21" s="205" t="n"/>
    </row>
    <row r="22">
      <c r="C22" s="206" t="inlineStr">
        <is>
          <t xml:space="preserve">                        (подпись, инициалы, фамилия)</t>
        </is>
      </c>
      <c r="D22" s="205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4"/>
  <sheetViews>
    <sheetView view="pageBreakPreview" topLeftCell="A16" workbookViewId="0">
      <selection activeCell="D30" sqref="D30"/>
    </sheetView>
  </sheetViews>
  <sheetFormatPr baseColWidth="8" defaultRowHeight="15"/>
  <cols>
    <col width="8.5703125" customWidth="1" min="1" max="1"/>
    <col width="12.85546875" customWidth="1" min="2" max="2"/>
    <col width="16.85546875" customWidth="1" min="3" max="3"/>
    <col width="49.85546875" customWidth="1" min="4" max="4"/>
    <col width="12.28515625" customWidth="1" min="5" max="5"/>
    <col width="19.85546875" customWidth="1" min="6" max="6"/>
    <col width="17.85546875" customWidth="1" min="7" max="7"/>
    <col width="19.42578125" customWidth="1" style="173" min="8" max="8"/>
    <col width="10.140625" customWidth="1" min="9" max="9"/>
  </cols>
  <sheetData>
    <row r="2" ht="15.75" customHeight="1">
      <c r="A2" s="232" t="inlineStr">
        <is>
          <t xml:space="preserve">Приложение № 3 </t>
        </is>
      </c>
      <c r="I2" s="122" t="n"/>
    </row>
    <row r="3" ht="18.75" customHeight="1">
      <c r="A3" s="233" t="inlineStr">
        <is>
          <t>Объектная ресурсная ведомость</t>
        </is>
      </c>
    </row>
    <row r="4" ht="25.5" customHeight="1">
      <c r="B4" s="172" t="n"/>
      <c r="C4" s="247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5" ht="15.75" customHeight="1">
      <c r="C5" s="209" t="n"/>
      <c r="D5" s="209" t="n"/>
      <c r="E5" s="209" t="n"/>
      <c r="F5" s="209" t="n"/>
      <c r="G5" s="209" t="n"/>
      <c r="H5" s="210" t="n"/>
    </row>
    <row r="6" ht="15" customHeight="1">
      <c r="A6" s="245" t="inlineStr">
        <is>
          <t>Наименование разрабатываемого показателя УНЦ — УНЦ компактированного провода ВЛ 0,4-750 кВ сталеалюминиевого типа (до 240мм2) (3 провода)</t>
        </is>
      </c>
      <c r="G6" s="211" t="n"/>
      <c r="H6" s="212" t="n"/>
    </row>
    <row r="7" ht="14.25" customHeight="1">
      <c r="G7" s="211" t="n"/>
      <c r="H7" s="212" t="n"/>
    </row>
    <row r="8" ht="15.75" customHeight="1">
      <c r="C8" s="213" t="n"/>
      <c r="D8" s="158" t="n"/>
      <c r="E8" s="159" t="n"/>
      <c r="F8" s="160" t="n"/>
      <c r="G8" s="161" t="n"/>
      <c r="H8" s="214" t="n"/>
    </row>
    <row r="9" ht="38.25" customHeight="1">
      <c r="A9" s="238" t="inlineStr">
        <is>
          <t>п/п</t>
        </is>
      </c>
      <c r="B9" s="238" t="inlineStr">
        <is>
          <t>№ЛСР</t>
        </is>
      </c>
      <c r="C9" s="238" t="inlineStr">
        <is>
          <t>Код ресурса</t>
        </is>
      </c>
      <c r="D9" s="238" t="inlineStr">
        <is>
          <t>Наименование ресурса</t>
        </is>
      </c>
      <c r="E9" s="238" t="inlineStr">
        <is>
          <t>Ед. изм.</t>
        </is>
      </c>
      <c r="F9" s="238" t="inlineStr">
        <is>
          <t>Кол-во единиц по данным объекта-представителя</t>
        </is>
      </c>
      <c r="G9" s="238" t="inlineStr">
        <is>
          <t>Сметная стоимость в ценах на 01.01.2000 (руб.)</t>
        </is>
      </c>
      <c r="H9" s="324" t="n"/>
    </row>
    <row r="10" ht="40.5" customHeight="1">
      <c r="A10" s="326" t="n"/>
      <c r="B10" s="326" t="n"/>
      <c r="C10" s="326" t="n"/>
      <c r="D10" s="326" t="n"/>
      <c r="E10" s="326" t="n"/>
      <c r="F10" s="326" t="n"/>
      <c r="G10" s="238" t="inlineStr">
        <is>
          <t>на ед.изм.</t>
        </is>
      </c>
      <c r="H10" s="238" t="inlineStr">
        <is>
          <t>общая</t>
        </is>
      </c>
    </row>
    <row r="11" ht="15.75" customHeight="1">
      <c r="A11" s="238" t="n">
        <v>1</v>
      </c>
      <c r="B11" s="162" t="n"/>
      <c r="C11" s="238" t="n">
        <v>2</v>
      </c>
      <c r="D11" s="238" t="inlineStr">
        <is>
          <t>З</t>
        </is>
      </c>
      <c r="E11" s="238" t="n">
        <v>4</v>
      </c>
      <c r="F11" s="238" t="n">
        <v>5</v>
      </c>
      <c r="G11" s="162" t="n">
        <v>6</v>
      </c>
      <c r="H11" s="162" t="n">
        <v>7</v>
      </c>
    </row>
    <row r="12" ht="15" customHeight="1">
      <c r="A12" s="243" t="inlineStr">
        <is>
          <t>Затраты труда рабочих</t>
        </is>
      </c>
      <c r="B12" s="323" t="n"/>
      <c r="C12" s="323" t="n"/>
      <c r="D12" s="324" t="n"/>
      <c r="E12" s="163" t="n"/>
      <c r="F12" s="179">
        <f>SUM(F13:F13)</f>
        <v/>
      </c>
      <c r="G12" s="163" t="n"/>
      <c r="H12" s="180">
        <f>SUM(H13:H13)</f>
        <v/>
      </c>
    </row>
    <row r="13">
      <c r="A13" s="176" t="inlineStr">
        <is>
          <t>1</t>
        </is>
      </c>
      <c r="B13" s="176" t="n"/>
      <c r="C13" s="168" t="inlineStr">
        <is>
          <t>1-4-0</t>
        </is>
      </c>
      <c r="D13" s="185" t="inlineStr">
        <is>
          <t>Затраты труда рабочих (ср 4)</t>
        </is>
      </c>
      <c r="E13" s="7" t="inlineStr">
        <is>
          <t>чел.час</t>
        </is>
      </c>
      <c r="F13" s="183" t="n">
        <v>173.7297</v>
      </c>
      <c r="G13" s="164" t="n">
        <v>9.619999999999999</v>
      </c>
      <c r="H13" s="32">
        <f>ROUND(F13*G13,2)</f>
        <v/>
      </c>
      <c r="J13" s="166" t="n"/>
      <c r="K13" s="165" t="n"/>
      <c r="L13" s="165" t="n"/>
    </row>
    <row r="14">
      <c r="A14" s="329" t="inlineStr">
        <is>
          <t>Затраты труда машинистов</t>
        </is>
      </c>
      <c r="B14" s="327" t="n"/>
      <c r="C14" s="327" t="n"/>
      <c r="D14" s="328" t="n"/>
      <c r="E14" s="278" t="n"/>
      <c r="F14" s="168" t="n"/>
      <c r="G14" s="164" t="n"/>
      <c r="H14" s="181">
        <f>H15</f>
        <v/>
      </c>
      <c r="L14" s="165" t="n"/>
    </row>
    <row r="15">
      <c r="A15" s="176">
        <f>A13+1</f>
        <v/>
      </c>
      <c r="B15" s="178" t="n"/>
      <c r="C15" s="176" t="n">
        <v>2</v>
      </c>
      <c r="D15" s="259" t="inlineStr">
        <is>
          <t>Затраты труда машинистов</t>
        </is>
      </c>
      <c r="E15" s="260" t="inlineStr">
        <is>
          <t>чел.час</t>
        </is>
      </c>
      <c r="F15" s="186" t="n">
        <v>60.56</v>
      </c>
      <c r="G15" s="277" t="n"/>
      <c r="H15" s="187" t="n">
        <v>790.95</v>
      </c>
    </row>
    <row r="16" ht="15" customHeight="1">
      <c r="A16" s="243" t="inlineStr">
        <is>
          <t>Машины и механизмы</t>
        </is>
      </c>
      <c r="B16" s="323" t="n"/>
      <c r="C16" s="323" t="n"/>
      <c r="D16" s="324" t="n"/>
      <c r="E16" s="163" t="n"/>
      <c r="F16" s="163" t="n"/>
      <c r="G16" s="163" t="n"/>
      <c r="H16" s="182">
        <f>SUM(H17:H22)</f>
        <v/>
      </c>
      <c r="K16" s="165" t="n"/>
    </row>
    <row r="17">
      <c r="A17" s="260">
        <f>A15+1</f>
        <v/>
      </c>
      <c r="B17" s="176" t="n"/>
      <c r="C17" s="176" t="inlineStr">
        <is>
          <t>91.06.06-014</t>
        </is>
      </c>
      <c r="D17" s="259" t="inlineStr">
        <is>
          <t>Автогидроподъемники высотой подъема: 28 м</t>
        </is>
      </c>
      <c r="E17" s="260" t="inlineStr">
        <is>
          <t>маш.час</t>
        </is>
      </c>
      <c r="F17" s="260" t="n">
        <v>21.81</v>
      </c>
      <c r="G17" s="262" t="n">
        <v>243.49</v>
      </c>
      <c r="H17" s="32">
        <f>ROUND(F17*G17,2)</f>
        <v/>
      </c>
      <c r="I17" s="169">
        <f>H17/$H$16</f>
        <v/>
      </c>
    </row>
    <row r="18" ht="25.5" customHeight="1">
      <c r="A18" s="260">
        <f>A17+1</f>
        <v/>
      </c>
      <c r="B18" s="176" t="n"/>
      <c r="C18" s="176" t="inlineStr">
        <is>
          <t>91.13.03-111</t>
        </is>
      </c>
      <c r="D18" s="259" t="inlineStr">
        <is>
          <t>Спецавтомашины, грузоподъемность до 8 т, вездеходы</t>
        </is>
      </c>
      <c r="E18" s="260" t="inlineStr">
        <is>
          <t>маш.час</t>
        </is>
      </c>
      <c r="F18" s="260" t="n">
        <v>24.74</v>
      </c>
      <c r="G18" s="262" t="n">
        <v>189.95</v>
      </c>
      <c r="H18" s="32">
        <f>ROUND(F18*G18,2)</f>
        <v/>
      </c>
      <c r="I18" s="169">
        <f>H18/$H$16</f>
        <v/>
      </c>
    </row>
    <row r="19" ht="25.5" customHeight="1">
      <c r="A19" s="260">
        <f>A18+1</f>
        <v/>
      </c>
      <c r="B19" s="176" t="n"/>
      <c r="C19" s="176" t="inlineStr">
        <is>
          <t>91.15.02-029</t>
        </is>
      </c>
      <c r="D19" s="259" t="inlineStr">
        <is>
          <t>Тракторы на гусеничном ходу с лебедкой 132 кВт (180 л.с.)</t>
        </is>
      </c>
      <c r="E19" s="260" t="inlineStr">
        <is>
          <t>маш.час</t>
        </is>
      </c>
      <c r="F19" s="260" t="n">
        <v>9.9</v>
      </c>
      <c r="G19" s="262" t="n">
        <v>147.43</v>
      </c>
      <c r="H19" s="32">
        <f>ROUND(F19*G19,2)</f>
        <v/>
      </c>
      <c r="I19" s="169">
        <f>H19/$H$16</f>
        <v/>
      </c>
    </row>
    <row r="20">
      <c r="A20" s="260">
        <f>A19+1</f>
        <v/>
      </c>
      <c r="B20" s="176" t="n"/>
      <c r="C20" s="176" t="inlineStr">
        <is>
          <t>91.14.02-002</t>
        </is>
      </c>
      <c r="D20" s="259" t="inlineStr">
        <is>
          <t>Автомобили бортовые, грузоподъемность: до 8 т</t>
        </is>
      </c>
      <c r="E20" s="260" t="inlineStr">
        <is>
          <t>маш.час</t>
        </is>
      </c>
      <c r="F20" s="260" t="n">
        <v>4.11</v>
      </c>
      <c r="G20" s="262" t="n">
        <v>85.84</v>
      </c>
      <c r="H20" s="32">
        <f>ROUND(F20*G20,2)</f>
        <v/>
      </c>
      <c r="I20" s="169">
        <f>H20/$H$16</f>
        <v/>
      </c>
    </row>
    <row r="21">
      <c r="A21" s="260">
        <f>A20+1</f>
        <v/>
      </c>
      <c r="B21" s="176" t="n"/>
      <c r="C21" s="176" t="inlineStr">
        <is>
          <t>91.11.02-061</t>
        </is>
      </c>
      <c r="D21" s="259" t="inlineStr">
        <is>
          <t>Тележки раскаточные на гусеничном ходу</t>
        </is>
      </c>
      <c r="E21" s="260" t="inlineStr">
        <is>
          <t>маш.час</t>
        </is>
      </c>
      <c r="F21" s="260" t="n">
        <v>2.05</v>
      </c>
      <c r="G21" s="262" t="n">
        <v>17.14</v>
      </c>
      <c r="H21" s="32">
        <f>ROUND(F21*G21,2)</f>
        <v/>
      </c>
      <c r="I21" s="169" t="n"/>
    </row>
    <row r="22">
      <c r="A22" s="260">
        <f>A21+1</f>
        <v/>
      </c>
      <c r="B22" s="176" t="n"/>
      <c r="C22" s="176" t="inlineStr">
        <is>
          <t>91.21.16-012</t>
        </is>
      </c>
      <c r="D22" s="259" t="inlineStr">
        <is>
          <t>Пресс: гидравлический с электроприводом</t>
        </is>
      </c>
      <c r="E22" s="260" t="inlineStr">
        <is>
          <t>маш.час</t>
        </is>
      </c>
      <c r="F22" s="260" t="n">
        <v>4.22</v>
      </c>
      <c r="G22" s="262" t="n">
        <v>1.11</v>
      </c>
      <c r="H22" s="32">
        <f>ROUND(F22*G22,2)</f>
        <v/>
      </c>
      <c r="I22" s="169" t="n"/>
    </row>
    <row r="23" ht="15" customHeight="1">
      <c r="A23" s="244" t="inlineStr">
        <is>
          <t>Оборудование</t>
        </is>
      </c>
      <c r="B23" s="323" t="n"/>
      <c r="C23" s="323" t="n"/>
      <c r="D23" s="324" t="n"/>
      <c r="E23" s="170" t="n"/>
      <c r="F23" s="171" t="n"/>
      <c r="G23" s="164" t="n"/>
      <c r="H23" s="184" t="n"/>
      <c r="I23" s="169" t="n"/>
    </row>
    <row r="24" ht="15" customHeight="1">
      <c r="A24" s="243" t="inlineStr">
        <is>
          <t>Материалы</t>
        </is>
      </c>
      <c r="B24" s="323" t="n"/>
      <c r="C24" s="323" t="n"/>
      <c r="D24" s="324" t="n"/>
      <c r="E24" s="177" t="n"/>
      <c r="F24" s="177" t="n"/>
      <c r="G24" s="163" t="n"/>
      <c r="H24" s="182">
        <f>SUM(H25:H25)</f>
        <v/>
      </c>
    </row>
    <row r="25">
      <c r="A25" s="260" t="n">
        <v>9</v>
      </c>
      <c r="B25" s="176" t="n"/>
      <c r="C25" s="176" t="inlineStr">
        <is>
          <t>Прайс из СД ОП</t>
        </is>
      </c>
      <c r="D25" s="259" t="inlineStr">
        <is>
          <t>Провод ВЛ АСПк-A1F/A20SA 120/19 мм2</t>
        </is>
      </c>
      <c r="E25" s="260" t="inlineStr">
        <is>
          <t>км</t>
        </is>
      </c>
      <c r="F25" s="260" t="n">
        <v>3.09</v>
      </c>
      <c r="G25" s="262" t="n">
        <v>48847.9</v>
      </c>
      <c r="H25" s="32">
        <f>ROUND(F25*G25,2)</f>
        <v/>
      </c>
      <c r="I25" s="169" t="n"/>
    </row>
    <row r="26">
      <c r="C26" s="160" t="n"/>
      <c r="D26" s="158" t="n"/>
      <c r="E26" s="159" t="n"/>
      <c r="F26" s="159" t="n"/>
      <c r="G26" s="161" t="n"/>
      <c r="H26" s="175" t="n"/>
    </row>
    <row r="27" ht="25.5" customHeight="1">
      <c r="B27" s="172" t="inlineStr">
        <is>
          <t xml:space="preserve">Примечание: </t>
        </is>
      </c>
      <c r="C27" s="248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30" ht="14.25" customFormat="1" customHeight="1" s="205">
      <c r="A30" s="196" t="inlineStr">
        <is>
          <t>Составил ______________________    Д.Ю. Нефедова</t>
        </is>
      </c>
    </row>
    <row r="31" ht="14.25" customFormat="1" customHeight="1" s="205">
      <c r="A31" s="206" t="inlineStr">
        <is>
          <t xml:space="preserve">                         (подпись, инициалы, фамилия)</t>
        </is>
      </c>
    </row>
    <row r="32" ht="14.25" customFormat="1" customHeight="1" s="205">
      <c r="A32" s="196" t="n"/>
    </row>
    <row r="33" ht="14.25" customFormat="1" customHeight="1" s="205">
      <c r="A33" s="196" t="inlineStr">
        <is>
          <t>Проверил ______________________        А.В. Костянецкая</t>
        </is>
      </c>
    </row>
    <row r="34" ht="14.25" customFormat="1" customHeight="1" s="205">
      <c r="A34" s="206" t="inlineStr">
        <is>
          <t xml:space="preserve">                        (подпись, инициалы, фамилия)</t>
        </is>
      </c>
    </row>
  </sheetData>
  <mergeCells count="17">
    <mergeCell ref="C9:C10"/>
    <mergeCell ref="B9:B10"/>
    <mergeCell ref="A23:D23"/>
    <mergeCell ref="D9:D10"/>
    <mergeCell ref="E9:E10"/>
    <mergeCell ref="A6:F7"/>
    <mergeCell ref="F9:F10"/>
    <mergeCell ref="A9:A10"/>
    <mergeCell ref="C27:H27"/>
    <mergeCell ref="A12:D12"/>
    <mergeCell ref="A2:H2"/>
    <mergeCell ref="A3:I3"/>
    <mergeCell ref="A16:D16"/>
    <mergeCell ref="A24:D24"/>
    <mergeCell ref="C4:H4"/>
    <mergeCell ref="G9:H9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6" workbookViewId="0">
      <selection activeCell="B46" sqref="B46"/>
    </sheetView>
  </sheetViews>
  <sheetFormatPr baseColWidth="8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9.140625" customWidth="1" min="6" max="6"/>
    <col width="12.85546875" customWidth="1" min="7" max="7"/>
    <col width="9.140625" customWidth="1" min="8" max="11"/>
    <col width="13.5703125" customWidth="1" min="12" max="12"/>
    <col width="9.140625" customWidth="1" min="13" max="13"/>
  </cols>
  <sheetData>
    <row r="1">
      <c r="B1" s="196" t="n"/>
      <c r="C1" s="196" t="n"/>
      <c r="D1" s="196" t="n"/>
      <c r="E1" s="196" t="n"/>
    </row>
    <row r="2">
      <c r="B2" s="196" t="n"/>
      <c r="C2" s="196" t="n"/>
      <c r="D2" s="196" t="n"/>
      <c r="E2" s="273" t="inlineStr">
        <is>
          <t>Приложение № 4</t>
        </is>
      </c>
    </row>
    <row r="3">
      <c r="B3" s="196" t="n"/>
      <c r="C3" s="196" t="n"/>
      <c r="D3" s="196" t="n"/>
      <c r="E3" s="196" t="n"/>
    </row>
    <row r="4">
      <c r="B4" s="196" t="n"/>
      <c r="C4" s="196" t="n"/>
      <c r="D4" s="196" t="n"/>
      <c r="E4" s="196" t="n"/>
    </row>
    <row r="5">
      <c r="B5" s="224" t="inlineStr">
        <is>
          <t>Ресурсная модель</t>
        </is>
      </c>
    </row>
    <row r="6">
      <c r="B6" s="140" t="n"/>
      <c r="C6" s="196" t="n"/>
      <c r="D6" s="196" t="n"/>
      <c r="E6" s="196" t="n"/>
    </row>
    <row r="7" ht="25.5" customHeight="1">
      <c r="B7" s="251" t="inlineStr">
        <is>
          <t>Наименование разрабатываемого показателя УНЦ — УНЦ компактированного провода ВЛ 0,4-750 кВ сталеалюминиевого типа (до 240мм2) (3 провода)</t>
        </is>
      </c>
    </row>
    <row r="8">
      <c r="B8" s="252" t="inlineStr">
        <is>
          <t>Единица измерения  — 1 км</t>
        </is>
      </c>
    </row>
    <row r="9">
      <c r="B9" s="140" t="n"/>
      <c r="C9" s="196" t="n"/>
      <c r="D9" s="196" t="n"/>
      <c r="E9" s="196" t="n"/>
    </row>
    <row r="10" ht="51" customHeight="1">
      <c r="B10" s="260" t="inlineStr">
        <is>
          <t>Наименование</t>
        </is>
      </c>
      <c r="C10" s="260" t="inlineStr">
        <is>
          <t>Сметная стоимость в ценах на 01.01.2023
 (руб.)</t>
        </is>
      </c>
      <c r="D10" s="260" t="inlineStr">
        <is>
          <t>Удельный вес, 
(в СМР)</t>
        </is>
      </c>
      <c r="E10" s="260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201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201">
        <f>'Прил.5 Расчет СМР и ОБ'!J23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201">
        <f>'Прил.5 Расчет СМР и ОБ'!J27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201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201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201">
        <f>'Прил.5 Расчет СМР и ОБ'!J38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201">
        <f>'Прил.5 Расчет СМР и ОБ'!J39</f>
        <v/>
      </c>
      <c r="D17" s="27">
        <f>C17/$C$24</f>
        <v/>
      </c>
      <c r="E17" s="27">
        <f>C17/$C$40</f>
        <v/>
      </c>
      <c r="G17" s="142" t="n"/>
    </row>
    <row r="18">
      <c r="B18" s="25" t="inlineStr">
        <is>
          <t>МАТЕРИАЛЫ, ВСЕГО:</t>
        </is>
      </c>
      <c r="C18" s="201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201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201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ОБ'!D43</f>
        <v/>
      </c>
      <c r="D21" s="27" t="n"/>
      <c r="E21" s="25" t="n"/>
    </row>
    <row r="22">
      <c r="B22" s="25" t="inlineStr">
        <is>
          <t>Накладные расходы, руб.</t>
        </is>
      </c>
      <c r="C22" s="201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ОБ'!D42</f>
        <v/>
      </c>
      <c r="D23" s="27" t="n"/>
      <c r="E23" s="25" t="n"/>
    </row>
    <row r="24">
      <c r="B24" s="25" t="inlineStr">
        <is>
          <t>ВСЕГО СМР с НР и СП</t>
        </is>
      </c>
      <c r="C24" s="201">
        <f>C19+C20+C22</f>
        <v/>
      </c>
      <c r="D24" s="27">
        <f>C24/$C$24</f>
        <v/>
      </c>
      <c r="E24" s="27">
        <f>C24/$C$40</f>
        <v/>
      </c>
    </row>
    <row r="25" ht="25.5" customHeight="1">
      <c r="B25" s="25" t="inlineStr">
        <is>
          <t>ВСЕГО стоимость оборудования, в том числе</t>
        </is>
      </c>
      <c r="C25" s="201">
        <f>'Прил.5 Расчет СМР и ОБ'!J33</f>
        <v/>
      </c>
      <c r="D25" s="27" t="n"/>
      <c r="E25" s="27">
        <f>C25/$C$40</f>
        <v/>
      </c>
    </row>
    <row r="26" ht="25.5" customHeight="1">
      <c r="B26" s="25" t="inlineStr">
        <is>
          <t>стоимость оборудования технологического</t>
        </is>
      </c>
      <c r="C26" s="201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>
      <c r="B29" s="25" t="inlineStr">
        <is>
          <t>Временные здания и сооружения - 3,3%</t>
        </is>
      </c>
      <c r="C29" s="26">
        <f>ROUND(C24*3.3%,2)</f>
        <v/>
      </c>
      <c r="D29" s="25" t="n"/>
      <c r="E29" s="27" t="n">
        <v>0.033</v>
      </c>
    </row>
    <row r="30" ht="38.25" customHeight="1">
      <c r="B30" s="25" t="inlineStr">
        <is>
          <t>Дополнительные затраты при производстве строительно-монтажных работ в зимнее время - 1,0%</t>
        </is>
      </c>
      <c r="C30" s="26">
        <f>ROUND((C24+C29)*1%,2)</f>
        <v/>
      </c>
      <c r="D30" s="25" t="n"/>
      <c r="E30" s="27" t="n">
        <v>0.01</v>
      </c>
    </row>
    <row r="31" ht="25.5" customHeight="1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>
      <c r="B32" s="25" t="inlineStr">
        <is>
          <t>Затраты по перевозке работников к месту работы и обратно</t>
        </is>
      </c>
      <c r="C32" s="26" t="n">
        <v>0</v>
      </c>
      <c r="D32" s="25" t="n"/>
      <c r="E32" s="27">
        <f>C32/$C$40</f>
        <v/>
      </c>
    </row>
    <row r="33" ht="25.5" customHeight="1">
      <c r="B33" s="25" t="inlineStr">
        <is>
          <t>Затраты, связанные с осуществлением работ вахтовым методом</t>
        </is>
      </c>
      <c r="C33" s="26" t="n">
        <v>0</v>
      </c>
      <c r="D33" s="25" t="n"/>
      <c r="E33" s="27">
        <f>C33/$C$40</f>
        <v/>
      </c>
    </row>
    <row r="34" ht="51" customHeight="1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 t="n">
        <v>0</v>
      </c>
      <c r="D34" s="25" t="n"/>
      <c r="E34" s="27">
        <f>C34/$C$40</f>
        <v/>
      </c>
    </row>
    <row r="35" ht="76.5" customHeight="1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 t="n">
        <v>0</v>
      </c>
      <c r="D35" s="25" t="n"/>
      <c r="E35" s="27">
        <f>C35/$C$40</f>
        <v/>
      </c>
    </row>
    <row r="36" ht="25.5" customHeight="1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L36" s="143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43" t="n"/>
    </row>
    <row r="38" ht="38.25" customHeight="1">
      <c r="B38" s="25" t="inlineStr">
        <is>
          <t>ИТОГО (СМР+ОБОРУДОВАНИЕ+ПРОЧ. ЗАТР., УЧТЕННЫЕ ПОКАЗАТЕЛЕМ)</t>
        </is>
      </c>
      <c r="C38" s="201">
        <f>C27+C32+C33+C34+C35+C29+C31+C30+C36+C37</f>
        <v/>
      </c>
      <c r="D38" s="25" t="n"/>
      <c r="E38" s="27">
        <f>C38/$C$40</f>
        <v/>
      </c>
    </row>
    <row r="39" ht="13.5" customHeight="1">
      <c r="B39" s="25" t="inlineStr">
        <is>
          <t>Непредвиденные расходы</t>
        </is>
      </c>
      <c r="C39" s="201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201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201">
        <f>C40/'Прил.5 Расчет СМР и ОБ'!E46</f>
        <v/>
      </c>
      <c r="D41" s="25" t="n"/>
      <c r="E41" s="25" t="n"/>
    </row>
    <row r="42">
      <c r="B42" s="202" t="n"/>
      <c r="C42" s="196" t="n"/>
      <c r="D42" s="196" t="n"/>
      <c r="E42" s="196" t="n"/>
    </row>
    <row r="43">
      <c r="B43" s="202" t="inlineStr">
        <is>
          <t>Составил ____________________________ Д.Ю. Нефедова</t>
        </is>
      </c>
      <c r="C43" s="196" t="n"/>
      <c r="D43" s="196" t="n"/>
      <c r="E43" s="196" t="n"/>
    </row>
    <row r="44">
      <c r="B44" s="202" t="inlineStr">
        <is>
          <t xml:space="preserve">(должность, подпись, инициалы, фамилия) </t>
        </is>
      </c>
      <c r="C44" s="196" t="n"/>
      <c r="D44" s="196" t="n"/>
      <c r="E44" s="196" t="n"/>
    </row>
    <row r="45">
      <c r="B45" s="202" t="n"/>
      <c r="C45" s="196" t="n"/>
      <c r="D45" s="196" t="n"/>
      <c r="E45" s="196" t="n"/>
    </row>
    <row r="46">
      <c r="B46" s="202" t="inlineStr">
        <is>
          <t>Проверил ____________________________ А.В. Костянецкая</t>
        </is>
      </c>
      <c r="C46" s="196" t="n"/>
      <c r="D46" s="196" t="n"/>
      <c r="E46" s="196" t="n"/>
    </row>
    <row r="47">
      <c r="B47" s="252" t="inlineStr">
        <is>
          <t>(должность, подпись, инициалы, фамилия)</t>
        </is>
      </c>
      <c r="D47" s="196" t="n"/>
      <c r="E47" s="196" t="n"/>
    </row>
    <row r="49">
      <c r="B49" s="196" t="n"/>
      <c r="C49" s="196" t="n"/>
      <c r="D49" s="196" t="n"/>
      <c r="E49" s="196" t="n"/>
    </row>
    <row r="50">
      <c r="B50" s="196" t="n"/>
      <c r="C50" s="196" t="n"/>
      <c r="D50" s="196" t="n"/>
      <c r="E50" s="196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7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2"/>
  <sheetViews>
    <sheetView view="pageBreakPreview" topLeftCell="A31" workbookViewId="0">
      <selection activeCell="B50" sqref="B50"/>
    </sheetView>
  </sheetViews>
  <sheetFormatPr baseColWidth="8" defaultColWidth="9.140625" defaultRowHeight="15" outlineLevelRow="1"/>
  <cols>
    <col width="5.7109375" customWidth="1" style="205" min="1" max="1"/>
    <col width="22.5703125" customWidth="1" style="205" min="2" max="2"/>
    <col width="39.140625" customWidth="1" style="205" min="3" max="3"/>
    <col width="10.7109375" customWidth="1" style="205" min="4" max="4"/>
    <col width="12.7109375" customWidth="1" style="205" min="5" max="5"/>
    <col width="14.5703125" customWidth="1" style="205" min="6" max="6"/>
    <col width="13.42578125" customWidth="1" style="205" min="7" max="7"/>
    <col width="12.7109375" customWidth="1" style="205" min="8" max="8"/>
    <col width="13.85546875" customWidth="1" style="205" min="9" max="9"/>
    <col width="17.5703125" customWidth="1" style="205" min="10" max="10"/>
    <col width="10.85546875" customWidth="1" style="205" min="11" max="11"/>
    <col width="9.140625" customWidth="1" style="205" min="12" max="12"/>
  </cols>
  <sheetData>
    <row r="1">
      <c r="M1" s="205" t="n"/>
      <c r="N1" s="205" t="n"/>
    </row>
    <row r="2" ht="15.75" customHeight="1">
      <c r="H2" s="268" t="inlineStr">
        <is>
          <t>Приложение №5</t>
        </is>
      </c>
      <c r="M2" s="205" t="n"/>
      <c r="N2" s="205" t="n"/>
    </row>
    <row r="3">
      <c r="M3" s="205" t="n"/>
      <c r="N3" s="205" t="n"/>
    </row>
    <row r="4" ht="12.75" customFormat="1" customHeight="1" s="196">
      <c r="A4" s="224" t="inlineStr">
        <is>
          <t>Расчет стоимости СМР и оборудования</t>
        </is>
      </c>
    </row>
    <row r="5" ht="12.75" customFormat="1" customHeight="1" s="196">
      <c r="A5" s="224" t="n"/>
      <c r="B5" s="224" t="n"/>
      <c r="C5" s="280" t="n"/>
      <c r="D5" s="224" t="n"/>
      <c r="E5" s="224" t="n"/>
      <c r="F5" s="224" t="n"/>
      <c r="G5" s="224" t="n"/>
      <c r="H5" s="224" t="n"/>
      <c r="I5" s="224" t="n"/>
      <c r="J5" s="224" t="n"/>
    </row>
    <row r="6" ht="12.75" customFormat="1" customHeight="1" s="196">
      <c r="A6" s="189" t="inlineStr">
        <is>
          <t>Наименование разрабатываемого показателя УНЦ</t>
        </is>
      </c>
      <c r="B6" s="188" t="n"/>
      <c r="C6" s="188" t="n"/>
      <c r="D6" s="272" t="inlineStr">
        <is>
          <t>УНЦ компактированного провода ВЛ 0,4-750 кВ сталеалюминиевого типа (до 240мм2) (3 провода)</t>
        </is>
      </c>
    </row>
    <row r="7" ht="12.75" customFormat="1" customHeight="1" s="196">
      <c r="A7" s="227" t="inlineStr">
        <is>
          <t>Единица измерения  — 1 км</t>
        </is>
      </c>
      <c r="I7" s="251" t="n"/>
      <c r="J7" s="251" t="n"/>
    </row>
    <row r="8" ht="13.5" customFormat="1" customHeight="1" s="196">
      <c r="A8" s="227" t="n"/>
    </row>
    <row r="9" ht="13.15" customFormat="1" customHeight="1" s="196"/>
    <row r="10" ht="27" customHeight="1">
      <c r="A10" s="260" t="inlineStr">
        <is>
          <t>№ пп.</t>
        </is>
      </c>
      <c r="B10" s="260" t="inlineStr">
        <is>
          <t>Код ресурса</t>
        </is>
      </c>
      <c r="C10" s="260" t="inlineStr">
        <is>
          <t>Наименование</t>
        </is>
      </c>
      <c r="D10" s="260" t="inlineStr">
        <is>
          <t>Ед. изм.</t>
        </is>
      </c>
      <c r="E10" s="260" t="inlineStr">
        <is>
          <t>Кол-во единиц по проектным данным</t>
        </is>
      </c>
      <c r="F10" s="260" t="inlineStr">
        <is>
          <t>Сметная стоимость в ценах на 01.01.2000 (руб.)</t>
        </is>
      </c>
      <c r="G10" s="324" t="n"/>
      <c r="H10" s="260" t="inlineStr">
        <is>
          <t>Удельный вес, %</t>
        </is>
      </c>
      <c r="I10" s="260" t="inlineStr">
        <is>
          <t>Сметная стоимость в ценах на 01.01.2023 (руб.)</t>
        </is>
      </c>
      <c r="J10" s="324" t="n"/>
      <c r="M10" s="205" t="n"/>
      <c r="N10" s="205" t="n"/>
    </row>
    <row r="11" ht="28.5" customHeight="1">
      <c r="A11" s="326" t="n"/>
      <c r="B11" s="326" t="n"/>
      <c r="C11" s="326" t="n"/>
      <c r="D11" s="326" t="n"/>
      <c r="E11" s="326" t="n"/>
      <c r="F11" s="260" t="inlineStr">
        <is>
          <t>на ед. изм.</t>
        </is>
      </c>
      <c r="G11" s="260" t="inlineStr">
        <is>
          <t>общая</t>
        </is>
      </c>
      <c r="H11" s="326" t="n"/>
      <c r="I11" s="260" t="inlineStr">
        <is>
          <t>на ед. изм.</t>
        </is>
      </c>
      <c r="J11" s="260" t="inlineStr">
        <is>
          <t>общая</t>
        </is>
      </c>
      <c r="M11" s="205" t="n"/>
      <c r="N11" s="205" t="n"/>
    </row>
    <row r="12">
      <c r="A12" s="260" t="n">
        <v>1</v>
      </c>
      <c r="B12" s="260" t="n">
        <v>2</v>
      </c>
      <c r="C12" s="260" t="n">
        <v>3</v>
      </c>
      <c r="D12" s="260" t="n">
        <v>4</v>
      </c>
      <c r="E12" s="260" t="n">
        <v>5</v>
      </c>
      <c r="F12" s="260" t="n">
        <v>6</v>
      </c>
      <c r="G12" s="260" t="n">
        <v>7</v>
      </c>
      <c r="H12" s="260" t="n">
        <v>8</v>
      </c>
      <c r="I12" s="254" t="n">
        <v>9</v>
      </c>
      <c r="J12" s="254" t="n">
        <v>10</v>
      </c>
      <c r="M12" s="205" t="n"/>
      <c r="N12" s="205" t="n"/>
    </row>
    <row r="13">
      <c r="A13" s="260" t="n"/>
      <c r="B13" s="258" t="inlineStr">
        <is>
          <t>Затраты труда рабочих-строителей</t>
        </is>
      </c>
      <c r="C13" s="323" t="n"/>
      <c r="D13" s="323" t="n"/>
      <c r="E13" s="323" t="n"/>
      <c r="F13" s="323" t="n"/>
      <c r="G13" s="323" t="n"/>
      <c r="H13" s="324" t="n"/>
      <c r="I13" s="149" t="n"/>
      <c r="J13" s="149" t="n"/>
    </row>
    <row r="14" ht="25.5" customHeight="1">
      <c r="A14" s="260" t="n">
        <v>1</v>
      </c>
      <c r="B14" s="176" t="inlineStr">
        <is>
          <t>1-4-0</t>
        </is>
      </c>
      <c r="C14" s="259" t="inlineStr">
        <is>
          <t>Затраты труда рабочих-строителей среднего разряда (4,0)</t>
        </is>
      </c>
      <c r="D14" s="260" t="inlineStr">
        <is>
          <t>чел.-ч.</t>
        </is>
      </c>
      <c r="E14" s="150" t="n">
        <v>173.72972972973</v>
      </c>
      <c r="F14" s="32" t="n">
        <v>9.619999999999999</v>
      </c>
      <c r="G14" s="32">
        <f>Прил.3!H13</f>
        <v/>
      </c>
      <c r="H14" s="152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205">
      <c r="A15" s="260" t="n"/>
      <c r="B15" s="260" t="n"/>
      <c r="C15" s="258" t="inlineStr">
        <is>
          <t>Итого по разделу "Затраты труда рабочих-строителей"</t>
        </is>
      </c>
      <c r="D15" s="260" t="inlineStr">
        <is>
          <t>чел.-ч.</t>
        </is>
      </c>
      <c r="E15" s="150">
        <f>SUM(E14:E14)</f>
        <v/>
      </c>
      <c r="F15" s="32" t="n"/>
      <c r="G15" s="32">
        <f>SUM(G14:G14)</f>
        <v/>
      </c>
      <c r="H15" s="263" t="n">
        <v>1</v>
      </c>
      <c r="I15" s="149" t="n"/>
      <c r="J15" s="32">
        <f>SUM(J14:J14)</f>
        <v/>
      </c>
    </row>
    <row r="16" ht="14.25" customFormat="1" customHeight="1" s="205">
      <c r="A16" s="260" t="n"/>
      <c r="B16" s="259" t="inlineStr">
        <is>
          <t>Затраты труда машинистов</t>
        </is>
      </c>
      <c r="C16" s="323" t="n"/>
      <c r="D16" s="323" t="n"/>
      <c r="E16" s="323" t="n"/>
      <c r="F16" s="323" t="n"/>
      <c r="G16" s="323" t="n"/>
      <c r="H16" s="324" t="n"/>
      <c r="I16" s="149" t="n"/>
      <c r="J16" s="149" t="n"/>
    </row>
    <row r="17" ht="14.25" customFormat="1" customHeight="1" s="205">
      <c r="A17" s="260" t="n">
        <v>2</v>
      </c>
      <c r="B17" s="260" t="n">
        <v>2</v>
      </c>
      <c r="C17" s="259" t="inlineStr">
        <is>
          <t>Затраты труда машинистов</t>
        </is>
      </c>
      <c r="D17" s="260" t="inlineStr">
        <is>
          <t>чел.-ч.</t>
        </is>
      </c>
      <c r="E17" s="150" t="n">
        <v>60.56</v>
      </c>
      <c r="F17" s="32">
        <f>G17/E17</f>
        <v/>
      </c>
      <c r="G17" s="32">
        <f>Прил.3!H15</f>
        <v/>
      </c>
      <c r="H17" s="263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205">
      <c r="A18" s="260" t="n"/>
      <c r="B18" s="258" t="inlineStr">
        <is>
          <t>Машины и механизмы</t>
        </is>
      </c>
      <c r="C18" s="323" t="n"/>
      <c r="D18" s="323" t="n"/>
      <c r="E18" s="323" t="n"/>
      <c r="F18" s="323" t="n"/>
      <c r="G18" s="323" t="n"/>
      <c r="H18" s="324" t="n"/>
      <c r="I18" s="149" t="n"/>
      <c r="J18" s="149" t="n"/>
    </row>
    <row r="19" ht="14.25" customFormat="1" customHeight="1" s="205">
      <c r="A19" s="260" t="n"/>
      <c r="B19" s="259" t="inlineStr">
        <is>
          <t>Основные машины и механизмы</t>
        </is>
      </c>
      <c r="C19" s="323" t="n"/>
      <c r="D19" s="323" t="n"/>
      <c r="E19" s="323" t="n"/>
      <c r="F19" s="323" t="n"/>
      <c r="G19" s="323" t="n"/>
      <c r="H19" s="324" t="n"/>
      <c r="I19" s="149" t="n"/>
      <c r="J19" s="149" t="n"/>
    </row>
    <row r="20" ht="25.5" customFormat="1" customHeight="1" s="205">
      <c r="A20" s="260" t="n">
        <v>3</v>
      </c>
      <c r="B20" s="176" t="inlineStr">
        <is>
          <t>91.06.06-014</t>
        </is>
      </c>
      <c r="C20" s="259" t="inlineStr">
        <is>
          <t>Автогидроподъемники высотой подъема: 28 м</t>
        </is>
      </c>
      <c r="D20" s="260" t="inlineStr">
        <is>
          <t>маш.час</t>
        </is>
      </c>
      <c r="E20" s="150" t="n">
        <v>21.81</v>
      </c>
      <c r="F20" s="262" t="n">
        <v>243.49</v>
      </c>
      <c r="G20" s="32">
        <f>ROUND(E20*F20,2)</f>
        <v/>
      </c>
      <c r="H20" s="152">
        <f>G20/$G$28</f>
        <v/>
      </c>
      <c r="I20" s="32">
        <f>ROUND(F20*'Прил. 10'!$D$12,2)</f>
        <v/>
      </c>
      <c r="J20" s="32">
        <f>ROUND(I20*E20,2)</f>
        <v/>
      </c>
    </row>
    <row r="21" ht="25.5" customFormat="1" customHeight="1" s="205">
      <c r="A21" s="260" t="n">
        <v>4</v>
      </c>
      <c r="B21" s="176" t="inlineStr">
        <is>
          <t>91.13.03-111</t>
        </is>
      </c>
      <c r="C21" s="259" t="inlineStr">
        <is>
          <t>Спецавтомашины, грузоподъемность до 8 т, вездеходы</t>
        </is>
      </c>
      <c r="D21" s="260" t="inlineStr">
        <is>
          <t>маш.час</t>
        </is>
      </c>
      <c r="E21" s="150" t="n">
        <v>24.74</v>
      </c>
      <c r="F21" s="262" t="n">
        <v>189.95</v>
      </c>
      <c r="G21" s="32">
        <f>ROUND(E21*F21,2)</f>
        <v/>
      </c>
      <c r="H21" s="152">
        <f>G21/$G$28</f>
        <v/>
      </c>
      <c r="I21" s="32">
        <f>ROUND(F21*'Прил. 10'!D12,2)</f>
        <v/>
      </c>
      <c r="J21" s="32">
        <f>ROUND(I21*E21,2)</f>
        <v/>
      </c>
    </row>
    <row r="22" ht="25.5" customFormat="1" customHeight="1" s="205">
      <c r="A22" s="260" t="n">
        <v>5</v>
      </c>
      <c r="B22" s="176" t="inlineStr">
        <is>
          <t>91.15.02-029</t>
        </is>
      </c>
      <c r="C22" s="259" t="inlineStr">
        <is>
          <t>Тракторы на гусеничном ходу с лебедкой 132 кВт (180 л.с.)</t>
        </is>
      </c>
      <c r="D22" s="260" t="inlineStr">
        <is>
          <t>маш.час</t>
        </is>
      </c>
      <c r="E22" s="150" t="n">
        <v>9.9</v>
      </c>
      <c r="F22" s="262" t="n">
        <v>147.43</v>
      </c>
      <c r="G22" s="32">
        <f>ROUND(E22*F22,2)</f>
        <v/>
      </c>
      <c r="H22" s="152">
        <f>G22/$G$28</f>
        <v/>
      </c>
      <c r="I22" s="32">
        <f>ROUND(F22*'Прил. 10'!$D$12,2)</f>
        <v/>
      </c>
      <c r="J22" s="32">
        <f>ROUND(I22*E22,2)</f>
        <v/>
      </c>
    </row>
    <row r="23" ht="14.25" customFormat="1" customHeight="1" s="205">
      <c r="A23" s="260" t="n"/>
      <c r="B23" s="260" t="n"/>
      <c r="C23" s="259" t="inlineStr">
        <is>
          <t>Итого основные машины и механизмы</t>
        </is>
      </c>
      <c r="D23" s="260" t="n"/>
      <c r="E23" s="150" t="n"/>
      <c r="F23" s="32" t="n"/>
      <c r="G23" s="32">
        <f>SUM(G20:G22)</f>
        <v/>
      </c>
      <c r="H23" s="263">
        <f>G23/G28</f>
        <v/>
      </c>
      <c r="I23" s="151" t="n"/>
      <c r="J23" s="32">
        <f>SUM(J20:J22)</f>
        <v/>
      </c>
    </row>
    <row r="24" outlineLevel="1" ht="25.5" customFormat="1" customHeight="1" s="205">
      <c r="A24" s="260" t="n">
        <v>6</v>
      </c>
      <c r="B24" s="176" t="inlineStr">
        <is>
          <t>91.14.02-002</t>
        </is>
      </c>
      <c r="C24" s="259" t="inlineStr">
        <is>
          <t>Автомобили бортовые, грузоподъемность: до 8 т</t>
        </is>
      </c>
      <c r="D24" s="260" t="inlineStr">
        <is>
          <t>маш.час</t>
        </is>
      </c>
      <c r="E24" s="150" t="n">
        <v>4.11</v>
      </c>
      <c r="F24" s="262" t="n">
        <v>85.84</v>
      </c>
      <c r="G24" s="32">
        <f>ROUND(E24*F24,2)</f>
        <v/>
      </c>
      <c r="H24" s="152">
        <f>G24/$G$28</f>
        <v/>
      </c>
      <c r="I24" s="32">
        <f>ROUND(F24*'Прил. 10'!$D$12,2)</f>
        <v/>
      </c>
      <c r="J24" s="32">
        <f>ROUND(I24*E24,2)</f>
        <v/>
      </c>
    </row>
    <row r="25" outlineLevel="1" ht="14.25" customFormat="1" customHeight="1" s="205">
      <c r="A25" s="260" t="n">
        <v>7</v>
      </c>
      <c r="B25" s="176" t="inlineStr">
        <is>
          <t>91.11.02-061</t>
        </is>
      </c>
      <c r="C25" s="259" t="inlineStr">
        <is>
          <t>Тележки раскаточные на гусеничном ходу</t>
        </is>
      </c>
      <c r="D25" s="260" t="inlineStr">
        <is>
          <t>маш.час</t>
        </is>
      </c>
      <c r="E25" s="150" t="n">
        <v>2.05</v>
      </c>
      <c r="F25" s="262" t="n">
        <v>17.14</v>
      </c>
      <c r="G25" s="32">
        <f>ROUND(E25*F25,2)</f>
        <v/>
      </c>
      <c r="H25" s="152">
        <f>G25/$G$28</f>
        <v/>
      </c>
      <c r="I25" s="32">
        <f>ROUND(F25*'Прил. 10'!$D$12,2)</f>
        <v/>
      </c>
      <c r="J25" s="32">
        <f>ROUND(I25*E25,2)</f>
        <v/>
      </c>
    </row>
    <row r="26" outlineLevel="1" ht="25.5" customFormat="1" customHeight="1" s="205">
      <c r="A26" s="260" t="n">
        <v>8</v>
      </c>
      <c r="B26" s="176" t="inlineStr">
        <is>
          <t>91.21.16-012</t>
        </is>
      </c>
      <c r="C26" s="259" t="inlineStr">
        <is>
          <t>Пресс: гидравлический с электроприводом</t>
        </is>
      </c>
      <c r="D26" s="260" t="inlineStr">
        <is>
          <t>маш.час</t>
        </is>
      </c>
      <c r="E26" s="150" t="n">
        <v>4.22</v>
      </c>
      <c r="F26" s="262" t="n">
        <v>1.11</v>
      </c>
      <c r="G26" s="32">
        <f>ROUND(E26*F26,2)</f>
        <v/>
      </c>
      <c r="H26" s="152">
        <f>G26/$G$28</f>
        <v/>
      </c>
      <c r="I26" s="32">
        <f>ROUND(F26*'Прил. 10'!$D$12,2)</f>
        <v/>
      </c>
      <c r="J26" s="32">
        <f>ROUND(I26*E26,2)</f>
        <v/>
      </c>
    </row>
    <row r="27" ht="14.25" customFormat="1" customHeight="1" s="205">
      <c r="A27" s="260" t="n"/>
      <c r="B27" s="260" t="n"/>
      <c r="C27" s="259" t="inlineStr">
        <is>
          <t>Итого прочие машины и механизмы</t>
        </is>
      </c>
      <c r="D27" s="260" t="n"/>
      <c r="E27" s="261" t="n"/>
      <c r="F27" s="32" t="n"/>
      <c r="G27" s="151">
        <f>SUM(G24:G26)</f>
        <v/>
      </c>
      <c r="H27" s="152">
        <f>G27/G28</f>
        <v/>
      </c>
      <c r="I27" s="32" t="n"/>
      <c r="J27" s="32">
        <f>SUM(J24:J26)</f>
        <v/>
      </c>
    </row>
    <row r="28" ht="25.5" customFormat="1" customHeight="1" s="205">
      <c r="A28" s="260" t="n"/>
      <c r="B28" s="260" t="n"/>
      <c r="C28" s="258" t="inlineStr">
        <is>
          <t>Итого по разделу «Машины и механизмы»</t>
        </is>
      </c>
      <c r="D28" s="260" t="n"/>
      <c r="E28" s="261" t="n"/>
      <c r="F28" s="32" t="n"/>
      <c r="G28" s="32">
        <f>G27+G23</f>
        <v/>
      </c>
      <c r="H28" s="153" t="n">
        <v>1</v>
      </c>
      <c r="I28" s="154" t="n"/>
      <c r="J28" s="155">
        <f>J27+J23</f>
        <v/>
      </c>
    </row>
    <row r="29" ht="14.25" customFormat="1" customHeight="1" s="205">
      <c r="A29" s="260" t="n"/>
      <c r="B29" s="258" t="inlineStr">
        <is>
          <t>Оборудование</t>
        </is>
      </c>
      <c r="C29" s="323" t="n"/>
      <c r="D29" s="323" t="n"/>
      <c r="E29" s="323" t="n"/>
      <c r="F29" s="323" t="n"/>
      <c r="G29" s="323" t="n"/>
      <c r="H29" s="324" t="n"/>
      <c r="I29" s="149" t="n"/>
      <c r="J29" s="149" t="n"/>
    </row>
    <row r="30">
      <c r="A30" s="260" t="n"/>
      <c r="B30" s="259" t="inlineStr">
        <is>
          <t>Основное оборудование</t>
        </is>
      </c>
      <c r="C30" s="323" t="n"/>
      <c r="D30" s="323" t="n"/>
      <c r="E30" s="323" t="n"/>
      <c r="F30" s="323" t="n"/>
      <c r="G30" s="323" t="n"/>
      <c r="H30" s="324" t="n"/>
      <c r="I30" s="149" t="n"/>
      <c r="J30" s="149" t="n"/>
    </row>
    <row r="31">
      <c r="A31" s="260" t="n"/>
      <c r="B31" s="260" t="n"/>
      <c r="C31" s="259" t="inlineStr">
        <is>
          <t>Итого основное оборудование</t>
        </is>
      </c>
      <c r="D31" s="260" t="n"/>
      <c r="E31" s="150" t="n"/>
      <c r="F31" s="262" t="n"/>
      <c r="G31" s="32" t="n">
        <v>0</v>
      </c>
      <c r="H31" s="263" t="n">
        <v>0</v>
      </c>
      <c r="I31" s="151" t="n"/>
      <c r="J31" s="32" t="n">
        <v>0</v>
      </c>
    </row>
    <row r="32">
      <c r="A32" s="260" t="n"/>
      <c r="B32" s="260" t="n"/>
      <c r="C32" s="259" t="inlineStr">
        <is>
          <t>Итого прочее оборудование</t>
        </is>
      </c>
      <c r="D32" s="260" t="n"/>
      <c r="E32" s="150" t="n"/>
      <c r="F32" s="262" t="n"/>
      <c r="G32" s="32" t="n">
        <v>0</v>
      </c>
      <c r="H32" s="263" t="n">
        <v>0</v>
      </c>
      <c r="I32" s="151" t="n"/>
      <c r="J32" s="32" t="n">
        <v>0</v>
      </c>
    </row>
    <row r="33">
      <c r="A33" s="260" t="n"/>
      <c r="B33" s="260" t="n"/>
      <c r="C33" s="258" t="inlineStr">
        <is>
          <t>Итого по разделу «Оборудование»</t>
        </is>
      </c>
      <c r="D33" s="260" t="n"/>
      <c r="E33" s="261" t="n"/>
      <c r="F33" s="262" t="n"/>
      <c r="G33" s="32">
        <f>G31+G32</f>
        <v/>
      </c>
      <c r="H33" s="263" t="n">
        <v>0</v>
      </c>
      <c r="I33" s="151" t="n"/>
      <c r="J33" s="32">
        <f>J32+J31</f>
        <v/>
      </c>
    </row>
    <row r="34" ht="25.5" customHeight="1">
      <c r="A34" s="260" t="n"/>
      <c r="B34" s="260" t="n"/>
      <c r="C34" s="259" t="inlineStr">
        <is>
          <t>в том числе технологическое оборудование</t>
        </is>
      </c>
      <c r="D34" s="260" t="n"/>
      <c r="E34" s="156" t="n"/>
      <c r="F34" s="262" t="n"/>
      <c r="G34" s="32">
        <f>G33</f>
        <v/>
      </c>
      <c r="H34" s="263" t="n"/>
      <c r="I34" s="151" t="n"/>
      <c r="J34" s="32">
        <f>J33</f>
        <v/>
      </c>
    </row>
    <row r="35" ht="14.25" customFormat="1" customHeight="1" s="205">
      <c r="A35" s="260" t="n"/>
      <c r="B35" s="258" t="inlineStr">
        <is>
          <t>Материалы</t>
        </is>
      </c>
      <c r="C35" s="323" t="n"/>
      <c r="D35" s="323" t="n"/>
      <c r="E35" s="323" t="n"/>
      <c r="F35" s="323" t="n"/>
      <c r="G35" s="323" t="n"/>
      <c r="H35" s="324" t="n"/>
      <c r="I35" s="149" t="n"/>
      <c r="J35" s="149" t="n"/>
    </row>
    <row r="36" ht="14.25" customFormat="1" customHeight="1" s="205">
      <c r="A36" s="254" t="n"/>
      <c r="B36" s="253" t="inlineStr">
        <is>
          <t>Основные материалы</t>
        </is>
      </c>
      <c r="C36" s="330" t="n"/>
      <c r="D36" s="330" t="n"/>
      <c r="E36" s="330" t="n"/>
      <c r="F36" s="330" t="n"/>
      <c r="G36" s="330" t="n"/>
      <c r="H36" s="331" t="n"/>
      <c r="I36" s="190" t="n"/>
      <c r="J36" s="190" t="n"/>
    </row>
    <row r="37" ht="14.25" customFormat="1" customHeight="1" s="205">
      <c r="A37" s="260" t="n">
        <v>9</v>
      </c>
      <c r="B37" s="260" t="inlineStr">
        <is>
          <t>БЦ.105.210</t>
        </is>
      </c>
      <c r="C37" s="259" t="inlineStr">
        <is>
          <t>Провод ВЛ АСКу 120/19 мм2</t>
        </is>
      </c>
      <c r="D37" s="260" t="inlineStr">
        <is>
          <t>км</t>
        </is>
      </c>
      <c r="E37" s="261" t="n">
        <v>3.09</v>
      </c>
      <c r="F37" s="262">
        <f>ROUND(I37/'Прил. 10'!D13,2)</f>
        <v/>
      </c>
      <c r="G37" s="32">
        <f>ROUND(E37*F37,2)</f>
        <v/>
      </c>
      <c r="H37" s="152">
        <f>G37/G38</f>
        <v/>
      </c>
      <c r="I37" s="32" t="n">
        <v>453456</v>
      </c>
      <c r="J37" s="32">
        <f>ROUND(I37*E37,2)</f>
        <v/>
      </c>
    </row>
    <row r="38" ht="14.25" customFormat="1" customHeight="1" s="205">
      <c r="A38" s="271" t="n"/>
      <c r="B38" s="192" t="n"/>
      <c r="C38" s="193" t="inlineStr">
        <is>
          <t>Итого основные материалы</t>
        </is>
      </c>
      <c r="D38" s="271" t="n"/>
      <c r="E38" s="194" t="n"/>
      <c r="F38" s="155" t="n"/>
      <c r="G38" s="155">
        <f>G37</f>
        <v/>
      </c>
      <c r="H38" s="195" t="n">
        <v>0</v>
      </c>
      <c r="I38" s="155" t="n"/>
      <c r="J38" s="155">
        <f>J37</f>
        <v/>
      </c>
    </row>
    <row r="39" ht="14.25" customFormat="1" customHeight="1" s="205">
      <c r="A39" s="260" t="n"/>
      <c r="B39" s="260" t="n"/>
      <c r="C39" s="259" t="inlineStr">
        <is>
          <t>Итого прочие материалы</t>
        </is>
      </c>
      <c r="D39" s="260" t="n"/>
      <c r="E39" s="261" t="n"/>
      <c r="F39" s="262" t="n"/>
      <c r="G39" s="32" t="n">
        <v>0</v>
      </c>
      <c r="H39" s="263" t="n">
        <v>0</v>
      </c>
      <c r="I39" s="32" t="n"/>
      <c r="J39" s="32" t="n">
        <v>0</v>
      </c>
    </row>
    <row r="40" ht="14.25" customFormat="1" customHeight="1" s="205">
      <c r="A40" s="260" t="n"/>
      <c r="B40" s="260" t="n"/>
      <c r="C40" s="258" t="inlineStr">
        <is>
          <t>Итого по разделу «Материалы»</t>
        </is>
      </c>
      <c r="D40" s="260" t="n"/>
      <c r="E40" s="261" t="n"/>
      <c r="F40" s="262" t="n"/>
      <c r="G40" s="32">
        <f>G38+G39</f>
        <v/>
      </c>
      <c r="H40" s="263" t="n">
        <v>0</v>
      </c>
      <c r="I40" s="32" t="n"/>
      <c r="J40" s="32">
        <f>J38+J39</f>
        <v/>
      </c>
    </row>
    <row r="41" ht="14.25" customFormat="1" customHeight="1" s="205">
      <c r="A41" s="260" t="n"/>
      <c r="B41" s="260" t="n"/>
      <c r="C41" s="259" t="inlineStr">
        <is>
          <t>ИТОГО ПО РМ</t>
        </is>
      </c>
      <c r="D41" s="260" t="n"/>
      <c r="E41" s="261" t="n"/>
      <c r="F41" s="262" t="n"/>
      <c r="G41" s="32">
        <f>G15+G28+G40</f>
        <v/>
      </c>
      <c r="H41" s="263" t="n"/>
      <c r="I41" s="32" t="n"/>
      <c r="J41" s="32">
        <f>J15+J28+J40</f>
        <v/>
      </c>
    </row>
    <row r="42" ht="14.25" customFormat="1" customHeight="1" s="205">
      <c r="A42" s="260" t="n"/>
      <c r="B42" s="260" t="n"/>
      <c r="C42" s="259" t="inlineStr">
        <is>
          <t>Накладные расходы</t>
        </is>
      </c>
      <c r="D42" s="157">
        <f>ROUND(G42/(G$17+$G$15),2)</f>
        <v/>
      </c>
      <c r="E42" s="261" t="n"/>
      <c r="F42" s="262" t="n"/>
      <c r="G42" s="32" t="n">
        <v>2585.3</v>
      </c>
      <c r="H42" s="263" t="n"/>
      <c r="I42" s="32" t="n"/>
      <c r="J42" s="32">
        <f>ROUND(D42*(J15+J17),2)</f>
        <v/>
      </c>
    </row>
    <row r="43" ht="14.25" customFormat="1" customHeight="1" s="205">
      <c r="A43" s="260" t="n"/>
      <c r="B43" s="260" t="n"/>
      <c r="C43" s="259" t="inlineStr">
        <is>
          <t>Сметная прибыль</t>
        </is>
      </c>
      <c r="D43" s="157">
        <f>ROUND(G43/(G$15+G$17),2)</f>
        <v/>
      </c>
      <c r="E43" s="261" t="n"/>
      <c r="F43" s="262" t="n"/>
      <c r="G43" s="32" t="n">
        <v>1477.31</v>
      </c>
      <c r="H43" s="263" t="n"/>
      <c r="I43" s="32" t="n"/>
      <c r="J43" s="32">
        <f>ROUND(D43*(J15+J17),2)</f>
        <v/>
      </c>
    </row>
    <row r="44" ht="14.25" customFormat="1" customHeight="1" s="205">
      <c r="A44" s="260" t="n"/>
      <c r="B44" s="260" t="n"/>
      <c r="C44" s="259" t="inlineStr">
        <is>
          <t>Итого СМР (с НР и СП)</t>
        </is>
      </c>
      <c r="D44" s="260" t="n"/>
      <c r="E44" s="261" t="n"/>
      <c r="F44" s="262" t="n"/>
      <c r="G44" s="32">
        <f>G15+G28+G40+G42+G43</f>
        <v/>
      </c>
      <c r="H44" s="263" t="n"/>
      <c r="I44" s="32" t="n"/>
      <c r="J44" s="32">
        <f>J15+J28+J40+J42+J43</f>
        <v/>
      </c>
    </row>
    <row r="45" ht="14.25" customFormat="1" customHeight="1" s="205">
      <c r="A45" s="260" t="n"/>
      <c r="B45" s="260" t="n"/>
      <c r="C45" s="259" t="inlineStr">
        <is>
          <t>ВСЕГО СМР + ОБОРУДОВАНИЕ</t>
        </is>
      </c>
      <c r="D45" s="260" t="n"/>
      <c r="E45" s="261" t="n"/>
      <c r="F45" s="262" t="n"/>
      <c r="G45" s="32">
        <f>G44+G33</f>
        <v/>
      </c>
      <c r="H45" s="263" t="n"/>
      <c r="I45" s="32" t="n"/>
      <c r="J45" s="32">
        <f>J44+J33</f>
        <v/>
      </c>
    </row>
    <row r="46" ht="34.5" customFormat="1" customHeight="1" s="205">
      <c r="A46" s="260" t="n"/>
      <c r="B46" s="260" t="n"/>
      <c r="C46" s="259" t="inlineStr">
        <is>
          <t>ИТОГО ПОКАЗАТЕЛЬ НА ЕД. ИЗМ.</t>
        </is>
      </c>
      <c r="D46" s="260" t="inlineStr">
        <is>
          <t>км</t>
        </is>
      </c>
      <c r="E46" s="261" t="n">
        <v>1</v>
      </c>
      <c r="F46" s="262" t="n"/>
      <c r="G46" s="32">
        <f>G45/E46</f>
        <v/>
      </c>
      <c r="H46" s="263" t="n"/>
      <c r="I46" s="32" t="n"/>
      <c r="J46" s="32">
        <f>J45/E46</f>
        <v/>
      </c>
    </row>
    <row r="48" ht="14.25" customFormat="1" customHeight="1" s="205">
      <c r="A48" s="196" t="inlineStr">
        <is>
          <t>Составил ______________________    Д.Ю. Нефедова</t>
        </is>
      </c>
    </row>
    <row r="49" ht="14.25" customFormat="1" customHeight="1" s="205">
      <c r="A49" s="206" t="inlineStr">
        <is>
          <t xml:space="preserve">                         (подпись, инициалы, фамилия)</t>
        </is>
      </c>
    </row>
    <row r="50" ht="14.25" customFormat="1" customHeight="1" s="205">
      <c r="A50" s="196" t="n"/>
    </row>
    <row r="51" ht="14.25" customFormat="1" customHeight="1" s="205">
      <c r="A51" s="196" t="inlineStr">
        <is>
          <t>Проверил ______________________        А.В. Костянецкая</t>
        </is>
      </c>
    </row>
    <row r="52" ht="14.25" customFormat="1" customHeight="1" s="205">
      <c r="A52" s="206" t="inlineStr">
        <is>
          <t xml:space="preserve">                        (подпись, инициалы, фамилия)</t>
        </is>
      </c>
    </row>
  </sheetData>
  <mergeCells count="21">
    <mergeCell ref="F10:G10"/>
    <mergeCell ref="B30:H30"/>
    <mergeCell ref="A4:J4"/>
    <mergeCell ref="C10:C11"/>
    <mergeCell ref="H2:J2"/>
    <mergeCell ref="E10:E11"/>
    <mergeCell ref="B36:H36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H10:H11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D18" sqref="D18"/>
    </sheetView>
  </sheetViews>
  <sheetFormatPr baseColWidth="8" defaultRowHeight="15"/>
  <cols>
    <col width="5.7109375" customWidth="1" min="1" max="1"/>
    <col width="17.5703125" customWidth="1" min="2" max="2"/>
    <col width="39.140625" customWidth="1" min="3" max="3"/>
    <col width="10.7109375" customWidth="1" min="4" max="4"/>
    <col width="13.85546875" customWidth="1" min="5" max="5"/>
    <col width="13.28515625" customWidth="1" min="6" max="6"/>
    <col width="14.140625" customWidth="1" min="7" max="7"/>
  </cols>
  <sheetData>
    <row r="1">
      <c r="A1" s="273" t="inlineStr">
        <is>
          <t>Приложение №6</t>
        </is>
      </c>
    </row>
    <row r="2" ht="21.75" customHeight="1">
      <c r="A2" s="273" t="n"/>
      <c r="B2" s="273" t="n"/>
      <c r="C2" s="273" t="n"/>
      <c r="D2" s="273" t="n"/>
      <c r="E2" s="273" t="n"/>
      <c r="F2" s="273" t="n"/>
      <c r="G2" s="273" t="n"/>
    </row>
    <row r="3">
      <c r="A3" s="224" t="inlineStr">
        <is>
          <t>Расчет стоимости оборудования</t>
        </is>
      </c>
    </row>
    <row r="4" ht="25.5" customHeight="1">
      <c r="A4" s="227" t="inlineStr">
        <is>
          <t>Наименование разрабатываемого показателя УНЦ — УНЦ компактированного провода ВЛ 0,4-750 кВ сталеалюминиевого типа (до 240мм2) (3 провода)</t>
        </is>
      </c>
    </row>
    <row r="5">
      <c r="A5" s="196" t="n"/>
      <c r="B5" s="196" t="n"/>
      <c r="C5" s="196" t="n"/>
      <c r="D5" s="196" t="n"/>
      <c r="E5" s="196" t="n"/>
      <c r="F5" s="196" t="n"/>
      <c r="G5" s="196" t="n"/>
    </row>
    <row r="6" ht="30" customHeight="1">
      <c r="A6" s="278" t="inlineStr">
        <is>
          <t>№ пп.</t>
        </is>
      </c>
      <c r="B6" s="278" t="inlineStr">
        <is>
          <t>Код ресурса</t>
        </is>
      </c>
      <c r="C6" s="278" t="inlineStr">
        <is>
          <t>Наименование</t>
        </is>
      </c>
      <c r="D6" s="278" t="inlineStr">
        <is>
          <t>Ед. изм.</t>
        </is>
      </c>
      <c r="E6" s="260" t="inlineStr">
        <is>
          <t>Кол-во единиц по проектным данным</t>
        </is>
      </c>
      <c r="F6" s="278" t="inlineStr">
        <is>
          <t>Сметная стоимость в ценах на 01.01.2000 (руб.)</t>
        </is>
      </c>
      <c r="G6" s="324" t="n"/>
    </row>
    <row r="7">
      <c r="A7" s="326" t="n"/>
      <c r="B7" s="326" t="n"/>
      <c r="C7" s="326" t="n"/>
      <c r="D7" s="326" t="n"/>
      <c r="E7" s="326" t="n"/>
      <c r="F7" s="260" t="inlineStr">
        <is>
          <t>на ед. изм.</t>
        </is>
      </c>
      <c r="G7" s="260" t="inlineStr">
        <is>
          <t>общая</t>
        </is>
      </c>
    </row>
    <row r="8">
      <c r="A8" s="260" t="n">
        <v>1</v>
      </c>
      <c r="B8" s="260" t="n">
        <v>2</v>
      </c>
      <c r="C8" s="260" t="n">
        <v>3</v>
      </c>
      <c r="D8" s="260" t="n">
        <v>4</v>
      </c>
      <c r="E8" s="260" t="n">
        <v>5</v>
      </c>
      <c r="F8" s="260" t="n">
        <v>6</v>
      </c>
      <c r="G8" s="260" t="n">
        <v>7</v>
      </c>
    </row>
    <row r="9" ht="15" customHeight="1">
      <c r="A9" s="25" t="n"/>
      <c r="B9" s="259" t="inlineStr">
        <is>
          <t>ИНЖЕНЕРНОЕ ОБОРУДОВАНИЕ</t>
        </is>
      </c>
      <c r="C9" s="323" t="n"/>
      <c r="D9" s="323" t="n"/>
      <c r="E9" s="323" t="n"/>
      <c r="F9" s="323" t="n"/>
      <c r="G9" s="324" t="n"/>
    </row>
    <row r="10" ht="27" customHeight="1">
      <c r="A10" s="260" t="n"/>
      <c r="B10" s="258" t="n"/>
      <c r="C10" s="259" t="inlineStr">
        <is>
          <t>ИТОГО ИНЖЕНЕРНОЕ ОБОРУДОВАНИЕ</t>
        </is>
      </c>
      <c r="D10" s="258" t="n"/>
      <c r="E10" s="105" t="n"/>
      <c r="F10" s="262" t="n"/>
      <c r="G10" s="262" t="n">
        <v>0</v>
      </c>
    </row>
    <row r="11">
      <c r="A11" s="260" t="n"/>
      <c r="B11" s="259" t="inlineStr">
        <is>
          <t>ТЕХНОЛОГИЧЕСКОЕ ОБОРУДОВАНИЕ</t>
        </is>
      </c>
      <c r="C11" s="323" t="n"/>
      <c r="D11" s="323" t="n"/>
      <c r="E11" s="323" t="n"/>
      <c r="F11" s="323" t="n"/>
      <c r="G11" s="324" t="n"/>
    </row>
    <row r="12">
      <c r="A12" s="260" t="n">
        <v>1</v>
      </c>
      <c r="B12" s="259" t="n"/>
      <c r="C12" s="259" t="n"/>
      <c r="D12" s="260" t="n"/>
      <c r="E12" s="260" t="n"/>
      <c r="F12" s="262" t="n"/>
      <c r="G12" s="32" t="n"/>
    </row>
    <row r="13" ht="25.5" customHeight="1">
      <c r="A13" s="260" t="n"/>
      <c r="B13" s="259" t="n"/>
      <c r="C13" s="259" t="inlineStr">
        <is>
          <t>ИТОГО ТЕХНОЛОГИЧЕСКОЕ ОБОРУДОВАНИЕ</t>
        </is>
      </c>
      <c r="D13" s="259" t="n"/>
      <c r="E13" s="277" t="n"/>
      <c r="F13" s="262" t="n"/>
      <c r="G13" s="32">
        <f>SUM(G12:G12)</f>
        <v/>
      </c>
    </row>
    <row r="14" ht="19.5" customHeight="1">
      <c r="A14" s="260" t="n"/>
      <c r="B14" s="259" t="n"/>
      <c r="C14" s="259" t="inlineStr">
        <is>
          <t>Всего по разделу «Оборудование»</t>
        </is>
      </c>
      <c r="D14" s="259" t="n"/>
      <c r="E14" s="277" t="n"/>
      <c r="F14" s="262" t="n"/>
      <c r="G14" s="32">
        <f>G10+G13</f>
        <v/>
      </c>
    </row>
    <row r="15">
      <c r="A15" s="203" t="n"/>
      <c r="B15" s="204" t="n"/>
      <c r="C15" s="203" t="n"/>
      <c r="D15" s="203" t="n"/>
      <c r="E15" s="203" t="n"/>
      <c r="F15" s="203" t="n"/>
      <c r="G15" s="203" t="n"/>
    </row>
    <row r="16">
      <c r="A16" s="196" t="inlineStr">
        <is>
          <t>Составил ______________________    Д.Ю. Нефедова</t>
        </is>
      </c>
      <c r="B16" s="205" t="n"/>
      <c r="C16" s="205" t="n"/>
      <c r="D16" s="203" t="n"/>
      <c r="E16" s="203" t="n"/>
      <c r="F16" s="203" t="n"/>
      <c r="G16" s="203" t="n"/>
    </row>
    <row r="17">
      <c r="A17" s="206" t="inlineStr">
        <is>
          <t xml:space="preserve">                         (подпись, инициалы, фамилия)</t>
        </is>
      </c>
      <c r="B17" s="205" t="n"/>
      <c r="C17" s="205" t="n"/>
      <c r="D17" s="203" t="n"/>
      <c r="E17" s="203" t="n"/>
      <c r="F17" s="203" t="n"/>
      <c r="G17" s="203" t="n"/>
    </row>
    <row r="18">
      <c r="A18" s="196" t="n"/>
      <c r="B18" s="205" t="n"/>
      <c r="C18" s="205" t="n"/>
      <c r="D18" s="203" t="n"/>
      <c r="E18" s="203" t="n"/>
      <c r="F18" s="203" t="n"/>
      <c r="G18" s="203" t="n"/>
    </row>
    <row r="19">
      <c r="A19" s="196" t="inlineStr">
        <is>
          <t>Проверил ______________________        А.В. Костянецкая</t>
        </is>
      </c>
      <c r="B19" s="205" t="n"/>
      <c r="C19" s="205" t="n"/>
      <c r="D19" s="203" t="n"/>
      <c r="E19" s="203" t="n"/>
      <c r="F19" s="203" t="n"/>
      <c r="G19" s="203" t="n"/>
    </row>
    <row r="20">
      <c r="A20" s="206" t="inlineStr">
        <is>
          <t xml:space="preserve">                        (подпись, инициалы, фамилия)</t>
        </is>
      </c>
      <c r="B20" s="205" t="n"/>
      <c r="C20" s="205" t="n"/>
      <c r="D20" s="203" t="n"/>
      <c r="E20" s="203" t="n"/>
      <c r="F20" s="203" t="n"/>
      <c r="G20" s="203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14" sqref="C14"/>
    </sheetView>
  </sheetViews>
  <sheetFormatPr baseColWidth="8" defaultColWidth="8.85546875" defaultRowHeight="15"/>
  <cols>
    <col width="14.42578125" customWidth="1" min="1" max="1"/>
    <col width="29.7109375" customWidth="1" min="2" max="2"/>
    <col width="39.140625" customWidth="1" min="3" max="3"/>
    <col width="24.5703125" customWidth="1" min="4" max="4"/>
    <col width="24.85546875" customWidth="1" min="5" max="5"/>
  </cols>
  <sheetData>
    <row r="1">
      <c r="B1" s="196" t="n"/>
      <c r="C1" s="196" t="n"/>
      <c r="D1" s="273" t="inlineStr">
        <is>
          <t>Приложение №7</t>
        </is>
      </c>
    </row>
    <row r="2">
      <c r="A2" s="273" t="n"/>
      <c r="B2" s="273" t="n"/>
      <c r="C2" s="273" t="n"/>
      <c r="D2" s="273" t="n"/>
    </row>
    <row r="3" ht="24.75" customHeight="1">
      <c r="A3" s="224" t="inlineStr">
        <is>
          <t>Расчет показателя УНЦ</t>
        </is>
      </c>
    </row>
    <row r="4" ht="24.75" customHeight="1">
      <c r="A4" s="224" t="n"/>
      <c r="B4" s="224" t="n"/>
      <c r="C4" s="224" t="n"/>
      <c r="D4" s="224" t="n"/>
    </row>
    <row r="5" ht="51" customHeight="1">
      <c r="A5" s="227" t="inlineStr">
        <is>
          <t xml:space="preserve">Наименование разрабатываемого показателя УНЦ - </t>
        </is>
      </c>
      <c r="D5" s="227">
        <f>'Прил.5 Расчет СМР и ОБ'!D6:J6</f>
        <v/>
      </c>
    </row>
    <row r="6" ht="19.9" customHeight="1">
      <c r="A6" s="227" t="inlineStr">
        <is>
          <t>Единица измерения  — 1 км</t>
        </is>
      </c>
      <c r="D6" s="227" t="n"/>
    </row>
    <row r="7">
      <c r="A7" s="196" t="n"/>
      <c r="B7" s="196" t="n"/>
      <c r="C7" s="196" t="n"/>
      <c r="D7" s="196" t="n"/>
    </row>
    <row r="8" ht="14.45" customHeight="1">
      <c r="A8" s="238" t="inlineStr">
        <is>
          <t>Код показателя</t>
        </is>
      </c>
      <c r="B8" s="238" t="inlineStr">
        <is>
          <t>Наименование показателя</t>
        </is>
      </c>
      <c r="C8" s="238" t="inlineStr">
        <is>
          <t>Наименование РМ, входящих в состав показателя</t>
        </is>
      </c>
      <c r="D8" s="238" t="inlineStr">
        <is>
          <t>Норматив цены на 01.01.2023, тыс.руб.</t>
        </is>
      </c>
    </row>
    <row r="9" ht="15" customHeight="1">
      <c r="A9" s="326" t="n"/>
      <c r="B9" s="326" t="n"/>
      <c r="C9" s="326" t="n"/>
      <c r="D9" s="326" t="n"/>
    </row>
    <row r="10">
      <c r="A10" s="260" t="n">
        <v>1</v>
      </c>
      <c r="B10" s="260" t="n">
        <v>2</v>
      </c>
      <c r="C10" s="260" t="n">
        <v>3</v>
      </c>
      <c r="D10" s="260" t="n">
        <v>4</v>
      </c>
    </row>
    <row r="11" ht="38.25" customHeight="1">
      <c r="A11" s="260" t="inlineStr">
        <is>
          <t>Л5.К-02</t>
        </is>
      </c>
      <c r="B11" s="260" t="inlineStr">
        <is>
          <t xml:space="preserve">УНЦ провода ВЛ 0,4 - 750 кВ сталеалюминиевого типа </t>
        </is>
      </c>
      <c r="C11" s="201">
        <f>D5</f>
        <v/>
      </c>
      <c r="D11" s="208">
        <f>'Прил.4 РМ'!C41/1000</f>
        <v/>
      </c>
      <c r="E11" s="202" t="n"/>
    </row>
    <row r="12">
      <c r="A12" s="203" t="n"/>
      <c r="B12" s="204" t="n"/>
      <c r="C12" s="203" t="n"/>
      <c r="D12" s="203" t="n"/>
    </row>
    <row r="13">
      <c r="A13" s="196" t="inlineStr">
        <is>
          <t>Составил ______________________      Д.Ю. Нефедова</t>
        </is>
      </c>
      <c r="B13" s="205" t="n"/>
      <c r="C13" s="205" t="n"/>
      <c r="D13" s="203" t="n"/>
    </row>
    <row r="14">
      <c r="A14" s="206" t="inlineStr">
        <is>
          <t xml:space="preserve">                         (подпись, инициалы, фамилия)</t>
        </is>
      </c>
      <c r="B14" s="205" t="n"/>
      <c r="C14" s="205" t="n"/>
      <c r="D14" s="203" t="n"/>
    </row>
    <row r="15">
      <c r="A15" s="196" t="n"/>
      <c r="B15" s="205" t="n"/>
      <c r="C15" s="205" t="n"/>
      <c r="D15" s="203" t="n"/>
    </row>
    <row r="16">
      <c r="A16" s="196" t="inlineStr">
        <is>
          <t>Проверил ______________________        А.В. Костянецкая</t>
        </is>
      </c>
      <c r="B16" s="205" t="n"/>
      <c r="C16" s="205" t="n"/>
      <c r="D16" s="203" t="n"/>
    </row>
    <row r="17">
      <c r="A17" s="206" t="inlineStr">
        <is>
          <t xml:space="preserve">                        (подпись, инициалы, фамилия)</t>
        </is>
      </c>
      <c r="B17" s="205" t="n"/>
      <c r="C17" s="205" t="n"/>
      <c r="D17" s="203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topLeftCell="A19" zoomScale="85" zoomScaleNormal="85" workbookViewId="0">
      <selection activeCell="B24" sqref="B24"/>
    </sheetView>
  </sheetViews>
  <sheetFormatPr baseColWidth="8" defaultRowHeight="15"/>
  <cols>
    <col width="9.140625" customWidth="1" min="1" max="1"/>
    <col width="40.7109375" customWidth="1" min="2" max="2"/>
    <col width="37" customWidth="1" min="3" max="3"/>
    <col width="32" customWidth="1" min="4" max="4"/>
    <col width="9.140625" customWidth="1" min="5" max="5"/>
  </cols>
  <sheetData>
    <row r="4" ht="15.75" customHeight="1">
      <c r="B4" s="232" t="inlineStr">
        <is>
          <t>Приложение № 10</t>
        </is>
      </c>
    </row>
    <row r="5" ht="18.75" customHeight="1">
      <c r="B5" s="138" t="n"/>
    </row>
    <row r="6" ht="15.75" customHeight="1">
      <c r="B6" s="237" t="inlineStr">
        <is>
          <t>Используемые индексы изменений сметной стоимости и нормы сопутствующих затрат</t>
        </is>
      </c>
    </row>
    <row r="7">
      <c r="B7" s="279" t="inlineStr">
        <is>
          <t>*Стоимость ПНР принята на основании СД ОП</t>
        </is>
      </c>
    </row>
    <row r="8">
      <c r="B8" s="279" t="n"/>
      <c r="C8" s="279" t="n"/>
      <c r="D8" s="279" t="n"/>
      <c r="E8" s="279" t="n"/>
    </row>
    <row r="9" ht="47.25" customHeight="1">
      <c r="B9" s="238" t="inlineStr">
        <is>
          <t>Наименование индекса / норм сопутствующих затрат</t>
        </is>
      </c>
      <c r="C9" s="238" t="inlineStr">
        <is>
          <t>Дата применения и обоснование индекса / норм сопутствующих затрат</t>
        </is>
      </c>
      <c r="D9" s="238" t="inlineStr">
        <is>
          <t>Размер индекса / норма сопутствующих затрат</t>
        </is>
      </c>
    </row>
    <row r="10" ht="15.75" customHeight="1">
      <c r="B10" s="238" t="n">
        <v>1</v>
      </c>
      <c r="C10" s="238" t="n">
        <v>2</v>
      </c>
      <c r="D10" s="238" t="n">
        <v>3</v>
      </c>
    </row>
    <row r="11" ht="45" customHeight="1">
      <c r="B11" s="238" t="inlineStr">
        <is>
          <t xml:space="preserve">Индекс изменения сметной стоимости на 1 квартал 2023 года. ОЗП </t>
        </is>
      </c>
      <c r="C11" s="238" t="inlineStr">
        <is>
          <t>Письмо Минстроя России от  01.04.2023г. №17772-ИФ/09  прил.9</t>
        </is>
      </c>
      <c r="D11" s="238" t="n">
        <v>46.83</v>
      </c>
    </row>
    <row r="12" ht="29.25" customHeight="1">
      <c r="B12" s="238" t="inlineStr">
        <is>
          <t>Индекс изменения сметной стоимости на 1 квартал 2023 года. ЭМ</t>
        </is>
      </c>
      <c r="C12" s="238" t="inlineStr">
        <is>
          <t>Письмо Минстроя России от  01.04.2023г. №17772-ИФ/09  прил.9</t>
        </is>
      </c>
      <c r="D12" s="238" t="n">
        <v>11.96</v>
      </c>
    </row>
    <row r="13" ht="29.25" customHeight="1">
      <c r="B13" s="238" t="inlineStr">
        <is>
          <t>Индекс изменения сметной стоимости на 1 квартал 2023 года. МАТ</t>
        </is>
      </c>
      <c r="C13" s="238" t="inlineStr">
        <is>
          <t>Письмо Минстроя России от  01.04.2023г. №17772-ИФ/09  прил.9</t>
        </is>
      </c>
      <c r="D13" s="238" t="n">
        <v>9.84</v>
      </c>
    </row>
    <row r="14" ht="30.75" customHeight="1">
      <c r="B14" s="238" t="inlineStr">
        <is>
          <t>Индекс изменения сметной стоимости на 1 квартал 2023 года. ОБ</t>
        </is>
      </c>
      <c r="C14" s="120" t="inlineStr">
        <is>
          <t>Письмо Минстроя России от 23.02.2023г. №9791-ИФ/09 прил.6</t>
        </is>
      </c>
      <c r="D14" s="238" t="n">
        <v>6.26</v>
      </c>
    </row>
    <row r="15" ht="89.25" customHeight="1">
      <c r="B15" s="238" t="inlineStr">
        <is>
          <t>Временные здания и сооружения</t>
        </is>
      </c>
      <c r="C15" s="238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9" t="n">
        <v>0.033</v>
      </c>
    </row>
    <row r="16" ht="78.75" customHeight="1">
      <c r="B16" s="238" t="inlineStr">
        <is>
          <t>Дополнительные затраты при производстве строительно-монтажных работ в зимнее время</t>
        </is>
      </c>
      <c r="C16" s="238" t="inlineStr">
        <is>
          <t xml:space="preserve">п.51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9" t="n">
        <v>0.01</v>
      </c>
    </row>
    <row r="17" ht="34.5" customHeight="1">
      <c r="B17" s="238" t="n"/>
      <c r="C17" s="238" t="n"/>
      <c r="D17" s="238" t="n"/>
    </row>
    <row r="18" ht="31.5" customHeight="1">
      <c r="B18" s="238" t="inlineStr">
        <is>
          <t>Строительный контроль</t>
        </is>
      </c>
      <c r="C18" s="238" t="inlineStr">
        <is>
          <t>Постановление Правительства РФ от 21.06.10 г. № 468</t>
        </is>
      </c>
      <c r="D18" s="139" t="n">
        <v>0.0214</v>
      </c>
    </row>
    <row r="19" ht="31.5" customHeight="1">
      <c r="B19" s="238" t="inlineStr">
        <is>
          <t>Авторский надзор - 0,2%</t>
        </is>
      </c>
      <c r="C19" s="238" t="inlineStr">
        <is>
          <t>Приказ от 4.08.2020 № 421/пр п.173</t>
        </is>
      </c>
      <c r="D19" s="139" t="n">
        <v>0.002</v>
      </c>
    </row>
    <row r="20" ht="24" customHeight="1">
      <c r="B20" s="238" t="inlineStr">
        <is>
          <t>Непредвиденные расходы</t>
        </is>
      </c>
      <c r="C20" s="238" t="inlineStr">
        <is>
          <t>Приказ от 4.08.2020 № 421/пр п.179</t>
        </is>
      </c>
      <c r="D20" s="139" t="n">
        <v>0.03</v>
      </c>
    </row>
    <row r="21" ht="18.75" customHeight="1">
      <c r="B21" s="117" t="n"/>
    </row>
    <row r="22" ht="18.75" customHeight="1">
      <c r="B22" s="117" t="n"/>
    </row>
    <row r="23" ht="18.75" customHeight="1">
      <c r="B23" s="117" t="n"/>
    </row>
    <row r="24" ht="18.75" customHeight="1">
      <c r="B24" s="117" t="n"/>
    </row>
    <row r="27">
      <c r="B27" s="196" t="inlineStr">
        <is>
          <t>Составил ______________________        Д.Ю. Нефедова</t>
        </is>
      </c>
      <c r="C27" s="205" t="n"/>
    </row>
    <row r="28">
      <c r="B28" s="206" t="inlineStr">
        <is>
          <t xml:space="preserve">                         (подпись, инициалы, фамилия)</t>
        </is>
      </c>
      <c r="C28" s="205" t="n"/>
    </row>
    <row r="29">
      <c r="B29" s="196" t="n"/>
      <c r="C29" s="205" t="n"/>
    </row>
    <row r="30">
      <c r="B30" s="196" t="inlineStr">
        <is>
          <t>Проверил ______________________        А.В. Костянецкая</t>
        </is>
      </c>
      <c r="C30" s="205" t="n"/>
    </row>
    <row r="31">
      <c r="B31" s="206" t="inlineStr">
        <is>
          <t xml:space="preserve">                        (подпись, инициалы, фамилия)</t>
        </is>
      </c>
      <c r="C31" s="205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tabSelected="1" view="pageBreakPreview" zoomScale="60" workbookViewId="0">
      <selection activeCell="I8" sqref="I8"/>
    </sheetView>
  </sheetViews>
  <sheetFormatPr baseColWidth="8" defaultRowHeight="15"/>
  <cols>
    <col width="9.140625" customWidth="1" min="1" max="1"/>
    <col width="44.85546875" customWidth="1" min="2" max="2"/>
    <col width="13" customWidth="1" min="3" max="3"/>
    <col width="22.85546875" customWidth="1" min="4" max="4"/>
    <col width="21.5703125" customWidth="1" min="5" max="5"/>
    <col width="43.85546875" customWidth="1" min="6" max="6"/>
    <col width="9.140625" customWidth="1" min="7" max="7"/>
  </cols>
  <sheetData>
    <row r="2" ht="17.25" customHeight="1">
      <c r="A2" s="237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125" t="inlineStr">
        <is>
          <t>Составлен в уровне цен на 01.01.2023 г.</t>
        </is>
      </c>
      <c r="B4" s="126" t="n"/>
      <c r="C4" s="126" t="n"/>
      <c r="D4" s="126" t="n"/>
      <c r="E4" s="126" t="n"/>
      <c r="F4" s="126" t="n"/>
      <c r="G4" s="126" t="n"/>
    </row>
    <row r="5" ht="15.75" customHeight="1">
      <c r="A5" s="127" t="inlineStr">
        <is>
          <t>№ пп.</t>
        </is>
      </c>
      <c r="B5" s="127" t="inlineStr">
        <is>
          <t>Наименование элемента</t>
        </is>
      </c>
      <c r="C5" s="127" t="inlineStr">
        <is>
          <t>Обозначение</t>
        </is>
      </c>
      <c r="D5" s="127" t="inlineStr">
        <is>
          <t>Формула</t>
        </is>
      </c>
      <c r="E5" s="127" t="inlineStr">
        <is>
          <t>Величина элемента</t>
        </is>
      </c>
      <c r="F5" s="127" t="inlineStr">
        <is>
          <t>Наименования обосновывающих документов</t>
        </is>
      </c>
      <c r="G5" s="126" t="n"/>
    </row>
    <row r="6" ht="15.75" customHeight="1">
      <c r="A6" s="127" t="n">
        <v>1</v>
      </c>
      <c r="B6" s="127" t="n">
        <v>2</v>
      </c>
      <c r="C6" s="127" t="n">
        <v>3</v>
      </c>
      <c r="D6" s="127" t="n">
        <v>4</v>
      </c>
      <c r="E6" s="127" t="n">
        <v>5</v>
      </c>
      <c r="F6" s="127" t="n">
        <v>6</v>
      </c>
      <c r="G6" s="126" t="n"/>
    </row>
    <row r="7" ht="110.25" customHeight="1">
      <c r="A7" s="128" t="inlineStr">
        <is>
          <t>1.1</t>
        </is>
      </c>
      <c r="B7" s="1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8" t="inlineStr">
        <is>
          <t>С1ср</t>
        </is>
      </c>
      <c r="D7" s="238" t="inlineStr">
        <is>
          <t>-</t>
        </is>
      </c>
      <c r="E7" s="61" t="n">
        <v>47872.94</v>
      </c>
      <c r="F7" s="1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6" t="n"/>
    </row>
    <row r="8" ht="31.5" customHeight="1">
      <c r="A8" s="128" t="inlineStr">
        <is>
          <t>1.2</t>
        </is>
      </c>
      <c r="B8" s="129" t="inlineStr">
        <is>
          <t>Среднегодовое нормативное число часов работы одного рабочего в месяц, часы (ч.)</t>
        </is>
      </c>
      <c r="C8" s="238" t="inlineStr">
        <is>
          <t>tср</t>
        </is>
      </c>
      <c r="D8" s="238" t="inlineStr">
        <is>
          <t>1973ч/12мес.</t>
        </is>
      </c>
      <c r="E8" s="130">
        <f>1973/12</f>
        <v/>
      </c>
      <c r="F8" s="129" t="inlineStr">
        <is>
          <t>Производственный календарь 2023 год
(40-часов.неделя)</t>
        </is>
      </c>
      <c r="G8" s="131" t="n"/>
    </row>
    <row r="9" ht="15.75" customHeight="1">
      <c r="A9" s="128" t="inlineStr">
        <is>
          <t>1.3</t>
        </is>
      </c>
      <c r="B9" s="129" t="inlineStr">
        <is>
          <t>Коэффициент увеличения</t>
        </is>
      </c>
      <c r="C9" s="238" t="inlineStr">
        <is>
          <t>Кув</t>
        </is>
      </c>
      <c r="D9" s="238" t="inlineStr">
        <is>
          <t>-</t>
        </is>
      </c>
      <c r="E9" s="130" t="n">
        <v>1</v>
      </c>
      <c r="F9" s="129" t="n"/>
      <c r="G9" s="131" t="n"/>
    </row>
    <row r="10" ht="15.75" customHeight="1">
      <c r="A10" s="128" t="inlineStr">
        <is>
          <t>1.4</t>
        </is>
      </c>
      <c r="B10" s="129" t="inlineStr">
        <is>
          <t>Средний разряд работ</t>
        </is>
      </c>
      <c r="C10" s="238" t="n"/>
      <c r="D10" s="238" t="n"/>
      <c r="E10" s="132" t="n">
        <v>4</v>
      </c>
      <c r="F10" s="129" t="inlineStr">
        <is>
          <t>РТМ</t>
        </is>
      </c>
      <c r="G10" s="131" t="n"/>
    </row>
    <row r="11" ht="78.75" customHeight="1">
      <c r="A11" s="128" t="inlineStr">
        <is>
          <t>1.5</t>
        </is>
      </c>
      <c r="B11" s="129" t="inlineStr">
        <is>
          <t>Тарифный коэффициент среднего разряда работ</t>
        </is>
      </c>
      <c r="C11" s="238" t="inlineStr">
        <is>
          <t>КТ</t>
        </is>
      </c>
      <c r="D11" s="238" t="inlineStr">
        <is>
          <t>-</t>
        </is>
      </c>
      <c r="E11" s="133" t="n">
        <v>1.34</v>
      </c>
      <c r="F11" s="12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6" t="n"/>
    </row>
    <row r="12" ht="78.75" customHeight="1">
      <c r="A12" s="128" t="inlineStr">
        <is>
          <t>1.6</t>
        </is>
      </c>
      <c r="B12" s="119" t="inlineStr">
        <is>
          <t>Коэффициент инфляции, определяемый поквартально</t>
        </is>
      </c>
      <c r="C12" s="238" t="inlineStr">
        <is>
          <t>Кинф</t>
        </is>
      </c>
      <c r="D12" s="238" t="inlineStr">
        <is>
          <t>-</t>
        </is>
      </c>
      <c r="E12" s="134" t="n">
        <v>1.139</v>
      </c>
      <c r="F12" s="1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>
      <c r="A13" s="128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238" t="inlineStr">
        <is>
          <t>ФОТр.тек.</t>
        </is>
      </c>
      <c r="D13" s="238" t="inlineStr">
        <is>
          <t>(С1ср/tср*КТ*Т*Кув)*Кинф</t>
        </is>
      </c>
      <c r="E13" s="137">
        <f>((E7*E9/E8)*E11)*E12</f>
        <v/>
      </c>
      <c r="F13" s="1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2025-01-24T12:10:19Z</dcterms:modified>
  <cp:lastModifiedBy>Danil</cp:lastModifiedBy>
  <cp:lastPrinted>2023-11-28T11:01:02Z</cp:lastPrinted>
</cp:coreProperties>
</file>