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2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7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6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7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55" zoomScaleNormal="55" workbookViewId="0">
      <selection activeCell="C27" sqref="C27"/>
    </sheetView>
  </sheetViews>
  <sheetFormatPr baseColWidth="8" defaultColWidth="9.140625" defaultRowHeight="15.75"/>
  <cols>
    <col width="9.140625" customWidth="1" style="206" min="1" max="2"/>
    <col width="51.7109375" customWidth="1" style="206" min="3" max="3"/>
    <col width="47" customWidth="1" style="206" min="4" max="4"/>
    <col width="37.42578125" customWidth="1" style="206" min="5" max="5"/>
    <col width="9.140625" customWidth="1" style="206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61" t="n"/>
      <c r="C6" s="161" t="n"/>
      <c r="D6" s="161" t="n"/>
    </row>
    <row r="7" ht="28.9" customHeight="1" s="204">
      <c r="B7" s="237" t="inlineStr">
        <is>
          <t>Наименование разрабатываемого показателя УНЦ - Грозотрос ВЛ, диаметр 19,2 мм</t>
        </is>
      </c>
    </row>
    <row r="8" ht="31.5" customHeight="1" s="204">
      <c r="B8" s="237" t="inlineStr">
        <is>
          <t>Сопоставимый уровень цен: кв.2013</t>
        </is>
      </c>
    </row>
    <row r="9" ht="15.75" customHeight="1" s="204">
      <c r="B9" s="237" t="inlineStr">
        <is>
          <t>Единица измерения  — 1 км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8" t="n"/>
    </row>
    <row r="12" ht="96.75" customHeight="1" s="204">
      <c r="B12" s="241" t="n">
        <v>1</v>
      </c>
      <c r="C12" s="218" t="inlineStr">
        <is>
          <t>Наименование объекта-представителя</t>
        </is>
      </c>
      <c r="D12" s="226" t="inlineStr">
        <is>
          <t>Строительство  ВЛ 220кВ Печорская ГРЭС-Ухта-Микунь (ВЛ ПС Ухта  -ПС Микунь 1 эт)</t>
        </is>
      </c>
    </row>
    <row r="13">
      <c r="B13" s="241" t="n">
        <v>2</v>
      </c>
      <c r="C13" s="218" t="inlineStr">
        <is>
          <t>Наименование субъекта Российской Федерации</t>
        </is>
      </c>
      <c r="D13" s="226" t="inlineStr">
        <is>
          <t>Республика Коми</t>
        </is>
      </c>
    </row>
    <row r="14">
      <c r="B14" s="241" t="n">
        <v>3</v>
      </c>
      <c r="C14" s="218" t="inlineStr">
        <is>
          <t>Климатический район и подрайон</t>
        </is>
      </c>
      <c r="D14" s="226" t="inlineStr">
        <is>
          <t>IВ</t>
        </is>
      </c>
    </row>
    <row r="15">
      <c r="B15" s="241" t="n">
        <v>4</v>
      </c>
      <c r="C15" s="218" t="inlineStr">
        <is>
          <t>Мощность объекта</t>
        </is>
      </c>
      <c r="D15" s="226" t="n">
        <v>1</v>
      </c>
    </row>
    <row r="16" ht="116.25" customHeight="1" s="204">
      <c r="B16" s="241" t="n">
        <v>5</v>
      </c>
      <c r="C16" s="1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Грозотрос ГТК</t>
        </is>
      </c>
    </row>
    <row r="17" ht="79.5" customHeight="1" s="204">
      <c r="B17" s="241" t="n">
        <v>6</v>
      </c>
      <c r="C17" s="1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</f>
        <v/>
      </c>
      <c r="E17" s="160" t="n"/>
    </row>
    <row r="18">
      <c r="B18" s="147" t="inlineStr">
        <is>
          <t>6.1</t>
        </is>
      </c>
      <c r="C18" s="218" t="inlineStr">
        <is>
          <t>строительно-монтажные работы</t>
        </is>
      </c>
      <c r="D18" s="170">
        <f>'Прил.2 Расч стоим'!F12</f>
        <v/>
      </c>
    </row>
    <row r="19" ht="15.75" customHeight="1" s="204">
      <c r="B19" s="147" t="inlineStr">
        <is>
          <t>6.2</t>
        </is>
      </c>
      <c r="C19" s="218" t="inlineStr">
        <is>
          <t>оборудование и инвентарь</t>
        </is>
      </c>
      <c r="D19" s="170" t="n">
        <v>0</v>
      </c>
    </row>
    <row r="20" ht="16.5" customHeight="1" s="204">
      <c r="B20" s="147" t="inlineStr">
        <is>
          <t>6.3</t>
        </is>
      </c>
      <c r="C20" s="218" t="inlineStr">
        <is>
          <t>пусконаладочные работы</t>
        </is>
      </c>
      <c r="D20" s="170" t="n"/>
    </row>
    <row r="21" ht="35.25" customHeight="1" s="204">
      <c r="B21" s="147" t="inlineStr">
        <is>
          <t>6.4</t>
        </is>
      </c>
      <c r="C21" s="146" t="inlineStr">
        <is>
          <t>прочие и лимитированные затраты</t>
        </is>
      </c>
      <c r="D21" s="170" t="n"/>
    </row>
    <row r="22">
      <c r="B22" s="241" t="n">
        <v>7</v>
      </c>
      <c r="C22" s="146" t="inlineStr">
        <is>
          <t>Сопоставимый уровень цен</t>
        </is>
      </c>
      <c r="D22" s="171" t="inlineStr">
        <is>
          <t>1 квартал 2013</t>
        </is>
      </c>
      <c r="E22" s="144" t="n"/>
    </row>
    <row r="23" ht="123" customHeight="1" s="204">
      <c r="B23" s="241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60" t="n"/>
    </row>
    <row r="24" ht="60.75" customHeight="1" s="204">
      <c r="B24" s="241" t="n">
        <v>9</v>
      </c>
      <c r="C24" s="181" t="inlineStr">
        <is>
          <t>Приведенная сметная стоимость на единицу мощности, тыс. руб. (строка 8/строку 4)</t>
        </is>
      </c>
      <c r="D24" s="170">
        <f>D18/D15</f>
        <v/>
      </c>
      <c r="E24" s="144" t="n"/>
    </row>
    <row r="25" ht="48" customHeight="1" s="204">
      <c r="B25" s="241" t="n">
        <v>10</v>
      </c>
      <c r="C25" s="218" t="inlineStr">
        <is>
          <t>Примечание</t>
        </is>
      </c>
      <c r="D25" s="241" t="n"/>
    </row>
    <row r="26">
      <c r="B26" s="142" t="n"/>
      <c r="C26" s="141" t="n"/>
      <c r="D26" s="141" t="n"/>
    </row>
    <row r="27" ht="37.5" customHeight="1" s="204">
      <c r="B27" s="140" t="n"/>
    </row>
    <row r="28">
      <c r="B28" s="206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06" min="1" max="1"/>
    <col width="9.140625" customWidth="1" style="206" min="2" max="2"/>
    <col width="35.28515625" customWidth="1" style="206" min="3" max="3"/>
    <col width="13.85546875" customWidth="1" style="206" min="4" max="4"/>
    <col width="24.85546875" customWidth="1" style="206" min="5" max="5"/>
    <col width="15.5703125" customWidth="1" style="206" min="6" max="6"/>
    <col width="14.85546875" customWidth="1" style="206" min="7" max="7"/>
    <col width="16.7109375" customWidth="1" style="206" min="8" max="8"/>
    <col width="13" customWidth="1" style="206" min="9" max="10"/>
    <col width="18" customWidth="1" style="206" min="11" max="11"/>
    <col width="9.140625" customWidth="1" style="206" min="12" max="12"/>
  </cols>
  <sheetData>
    <row r="3">
      <c r="B3" s="235" t="inlineStr">
        <is>
          <t>Приложение № 2</t>
        </is>
      </c>
      <c r="K3" s="140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04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4">
      <c r="B8" s="115" t="n"/>
    </row>
    <row r="9" ht="15.75" customHeight="1" s="204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4">
      <c r="B10" s="326" t="n"/>
      <c r="C10" s="326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2013г., тыс. руб.</t>
        </is>
      </c>
      <c r="G10" s="324" t="n"/>
      <c r="H10" s="324" t="n"/>
      <c r="I10" s="324" t="n"/>
      <c r="J10" s="325" t="n"/>
    </row>
    <row r="11" ht="31.5" customHeight="1" s="204">
      <c r="B11" s="327" t="n"/>
      <c r="C11" s="327" t="n"/>
      <c r="D11" s="327" t="n"/>
      <c r="E11" s="327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4">
      <c r="B12" s="241" t="n"/>
      <c r="C12" s="241" t="inlineStr">
        <is>
          <t>Грозотрос ВЛ, диаметр 19,2 мм</t>
        </is>
      </c>
      <c r="D12" s="241" t="n"/>
      <c r="E12" s="241" t="n"/>
      <c r="F12" s="241" t="n">
        <v>700.142364</v>
      </c>
      <c r="G12" s="325" t="n"/>
      <c r="H12" s="241" t="n">
        <v>0</v>
      </c>
      <c r="I12" s="241" t="n"/>
      <c r="J12" s="241">
        <f>F12</f>
        <v/>
      </c>
    </row>
    <row r="13" ht="15" customHeight="1" s="204">
      <c r="B13" s="244" t="inlineStr">
        <is>
          <t>Всего по объекту:</t>
        </is>
      </c>
      <c r="C13" s="324" t="n"/>
      <c r="D13" s="324" t="n"/>
      <c r="E13" s="325" t="n"/>
      <c r="F13" s="162" t="n"/>
      <c r="G13" s="162" t="n"/>
      <c r="H13" s="162" t="n"/>
      <c r="I13" s="162" t="n"/>
      <c r="J13" s="162" t="n"/>
    </row>
    <row r="14" ht="15.75" customHeight="1" s="204">
      <c r="B14" s="244" t="inlineStr">
        <is>
          <t>Всего по объекту в сопоставимом уровне цен 1кв. 2013г:</t>
        </is>
      </c>
      <c r="C14" s="324" t="n"/>
      <c r="D14" s="324" t="n"/>
      <c r="E14" s="325" t="n"/>
      <c r="F14" s="328">
        <f>F12</f>
        <v/>
      </c>
      <c r="G14" s="325" t="n"/>
      <c r="H14" s="162">
        <f>H12</f>
        <v/>
      </c>
      <c r="I14" s="162" t="n"/>
      <c r="J14" s="162">
        <f>J12</f>
        <v/>
      </c>
    </row>
    <row r="15" ht="15.75" customHeight="1" s="204"/>
    <row r="16" ht="15.75" customHeight="1" s="204"/>
    <row r="17" ht="15" customHeight="1" s="204"/>
    <row r="18" ht="15" customHeight="1" s="204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04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04">
      <c r="C20" s="199" t="n"/>
      <c r="D20" s="200" t="n"/>
      <c r="E20" s="200" t="n"/>
    </row>
    <row r="21" ht="15" customHeight="1" s="204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04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04"/>
    <row r="24" ht="15" customHeight="1" s="204"/>
    <row r="25" ht="15" customHeight="1" s="204"/>
    <row r="26" ht="15" customHeight="1" s="204"/>
    <row r="27" ht="15" customHeight="1" s="204"/>
    <row r="28" ht="15" customHeight="1" s="204"/>
    <row r="29" ht="15" customHeight="1" s="204"/>
    <row r="30" ht="15" customHeight="1" s="20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2"/>
  <sheetViews>
    <sheetView view="pageBreakPreview" zoomScale="85" zoomScaleSheetLayoutView="85" workbookViewId="0">
      <selection activeCell="C28" sqref="C28"/>
    </sheetView>
  </sheetViews>
  <sheetFormatPr baseColWidth="8" defaultColWidth="9.140625" defaultRowHeight="15.75"/>
  <cols>
    <col width="9.140625" customWidth="1" style="206" min="1" max="1"/>
    <col width="12.5703125" customWidth="1" style="206" min="2" max="2"/>
    <col width="22.42578125" customWidth="1" style="206" min="3" max="3"/>
    <col width="49.7109375" customWidth="1" style="206" min="4" max="4"/>
    <col width="10.140625" customWidth="1" style="206" min="5" max="5"/>
    <col width="20.7109375" customWidth="1" style="206" min="6" max="6"/>
    <col width="20" customWidth="1" style="206" min="7" max="7"/>
    <col width="16.7109375" customWidth="1" style="206" min="8" max="8"/>
    <col width="9.140625" customWidth="1" style="206" min="9" max="10"/>
    <col width="15" customWidth="1" style="206" min="11" max="11"/>
    <col width="9.140625" customWidth="1" style="206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4">
      <c r="A4" s="169" t="n"/>
      <c r="B4" s="169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Грозотрос ВЛ, диаметр 19,2 мм</t>
        </is>
      </c>
    </row>
    <row r="7" s="204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6" t="n"/>
      <c r="J7" s="206" t="n"/>
      <c r="K7" s="206" t="n"/>
      <c r="L7" s="206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4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5" t="n"/>
    </row>
    <row r="10" ht="40.5" customHeight="1" s="204">
      <c r="A10" s="327" t="n"/>
      <c r="B10" s="327" t="n"/>
      <c r="C10" s="327" t="n"/>
      <c r="D10" s="327" t="n"/>
      <c r="E10" s="327" t="n"/>
      <c r="F10" s="327" t="n"/>
      <c r="G10" s="241" t="inlineStr">
        <is>
          <t>на ед.изм.</t>
        </is>
      </c>
      <c r="H10" s="241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n">
        <v>3</v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94">
      <c r="A12" s="248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18.95</v>
      </c>
      <c r="G12" s="186" t="n"/>
      <c r="H12" s="329">
        <f>SUM(H13:H13)</f>
        <v/>
      </c>
    </row>
    <row r="13">
      <c r="A13" s="277" t="n">
        <v>1</v>
      </c>
      <c r="B13" s="187" t="n"/>
      <c r="C13" s="166" t="inlineStr">
        <is>
          <t>1-3-8</t>
        </is>
      </c>
      <c r="D13" s="165" t="inlineStr">
        <is>
          <t>Рабочий среднего разряда 3,8</t>
        </is>
      </c>
      <c r="E13" s="277" t="inlineStr">
        <is>
          <t>чел.-ч</t>
        </is>
      </c>
      <c r="F13" s="277" t="n">
        <v>18.95</v>
      </c>
      <c r="G13" s="330" t="n">
        <v>9.4</v>
      </c>
      <c r="H13" s="163">
        <f>ROUND(F13*G13,2)</f>
        <v/>
      </c>
    </row>
    <row r="14">
      <c r="A14" s="247" t="inlineStr">
        <is>
          <t>Затраты труда машинистов</t>
        </is>
      </c>
      <c r="B14" s="324" t="n"/>
      <c r="C14" s="324" t="n"/>
      <c r="D14" s="324" t="n"/>
      <c r="E14" s="325" t="n"/>
      <c r="F14" s="183" t="n"/>
      <c r="G14" s="152" t="n"/>
      <c r="H14" s="329">
        <f>H15</f>
        <v/>
      </c>
    </row>
    <row r="15">
      <c r="A15" s="277" t="n">
        <v>2</v>
      </c>
      <c r="B15" s="249" t="n"/>
      <c r="C15" s="166" t="n">
        <v>2</v>
      </c>
      <c r="D15" s="165" t="inlineStr">
        <is>
          <t>Затраты труда машинистов(справочно)</t>
        </is>
      </c>
      <c r="E15" s="277" t="inlineStr">
        <is>
          <t>чел.-ч</t>
        </is>
      </c>
      <c r="F15" s="166" t="inlineStr">
        <is>
          <t>8,31</t>
        </is>
      </c>
      <c r="G15" s="163" t="n"/>
      <c r="H15" s="330" t="n">
        <v>112.54</v>
      </c>
    </row>
    <row r="16" customFormat="1" s="194">
      <c r="A16" s="248" t="inlineStr">
        <is>
          <t>Машины и механизмы</t>
        </is>
      </c>
      <c r="B16" s="324" t="n"/>
      <c r="C16" s="324" t="n"/>
      <c r="D16" s="324" t="n"/>
      <c r="E16" s="325" t="n"/>
      <c r="F16" s="183" t="n"/>
      <c r="G16" s="152" t="n"/>
      <c r="H16" s="329">
        <f>SUM(H17:H23)</f>
        <v/>
      </c>
    </row>
    <row r="17" ht="25.5" customHeight="1" s="204">
      <c r="A17" s="277" t="n">
        <v>3</v>
      </c>
      <c r="B17" s="249" t="n"/>
      <c r="C17" s="166" t="inlineStr">
        <is>
          <t>91.05.05-016</t>
        </is>
      </c>
      <c r="D17" s="165" t="inlineStr">
        <is>
          <t>Краны на автомобильном ходу, грузоподъемность 25 т</t>
        </is>
      </c>
      <c r="E17" s="277" t="inlineStr">
        <is>
          <t>маш.-ч.</t>
        </is>
      </c>
      <c r="F17" s="189" t="n">
        <v>1.22</v>
      </c>
      <c r="G17" s="177" t="n">
        <v>476.43</v>
      </c>
      <c r="H17" s="163">
        <f>ROUND(F17*G17,2)</f>
        <v/>
      </c>
    </row>
    <row r="18">
      <c r="A18" s="277" t="n">
        <v>4</v>
      </c>
      <c r="B18" s="249" t="n"/>
      <c r="C18" s="166" t="inlineStr">
        <is>
          <t>91.06.06-014</t>
        </is>
      </c>
      <c r="D18" s="165" t="inlineStr">
        <is>
          <t>Автогидроподъемники, высота подъема 28 м</t>
        </is>
      </c>
      <c r="E18" s="277" t="inlineStr">
        <is>
          <t>маш.-ч.</t>
        </is>
      </c>
      <c r="F18" s="189" t="n">
        <v>1.99</v>
      </c>
      <c r="G18" s="177" t="n">
        <v>243.49</v>
      </c>
      <c r="H18" s="163">
        <f>ROUND(F18*G18,2)</f>
        <v/>
      </c>
    </row>
    <row r="19" ht="25.5" customHeight="1" s="204">
      <c r="A19" s="277" t="n">
        <v>5</v>
      </c>
      <c r="B19" s="249" t="n"/>
      <c r="C19" s="166" t="inlineStr">
        <is>
          <t>91.11.02-021</t>
        </is>
      </c>
      <c r="D19" s="165" t="inlineStr">
        <is>
          <t>Комплексы для монтажа проводов методом "под тяжением"</t>
        </is>
      </c>
      <c r="E19" s="277" t="inlineStr">
        <is>
          <t>маш.-ч.</t>
        </is>
      </c>
      <c r="F19" s="189" t="n">
        <v>0.64</v>
      </c>
      <c r="G19" s="177" t="n">
        <v>637.76</v>
      </c>
      <c r="H19" s="163">
        <f>ROUND(F19*G19,2)</f>
        <v/>
      </c>
    </row>
    <row r="20" ht="25.5" customHeight="1" s="204">
      <c r="A20" s="277" t="n">
        <v>6</v>
      </c>
      <c r="B20" s="249" t="n"/>
      <c r="C20" s="166" t="inlineStr">
        <is>
          <t>91.15.02-029</t>
        </is>
      </c>
      <c r="D20" s="165" t="inlineStr">
        <is>
          <t>Тракторы на гусеничном ходу с лебедкой 132 кВт (180 л.с.)</t>
        </is>
      </c>
      <c r="E20" s="277" t="inlineStr">
        <is>
          <t>маш.-ч.</t>
        </is>
      </c>
      <c r="F20" s="189" t="n">
        <v>2.6</v>
      </c>
      <c r="G20" s="177" t="n">
        <v>147.43</v>
      </c>
      <c r="H20" s="163">
        <f>ROUND(F20*G20,2)</f>
        <v/>
      </c>
    </row>
    <row r="21">
      <c r="A21" s="277" t="n">
        <v>7</v>
      </c>
      <c r="B21" s="249" t="n"/>
      <c r="C21" s="166" t="inlineStr">
        <is>
          <t>91.14.04-002</t>
        </is>
      </c>
      <c r="D21" s="165" t="inlineStr">
        <is>
          <t>Тягачи седельные, грузоподъемность 15 т</t>
        </is>
      </c>
      <c r="E21" s="277" t="inlineStr">
        <is>
          <t>маш.-ч.</t>
        </is>
      </c>
      <c r="F21" s="189" t="n">
        <v>1.22</v>
      </c>
      <c r="G21" s="177" t="n">
        <v>94.38</v>
      </c>
      <c r="H21" s="163">
        <f>ROUND(F21*G21,2)</f>
        <v/>
      </c>
    </row>
    <row r="22" ht="25.5" customHeight="1" s="204">
      <c r="A22" s="277" t="n">
        <v>8</v>
      </c>
      <c r="B22" s="249" t="n"/>
      <c r="C22" s="166" t="inlineStr">
        <is>
          <t>91.14.05-012</t>
        </is>
      </c>
      <c r="D22" s="165" t="inlineStr">
        <is>
          <t>Полуприцепы общего назначения, грузоподъемность 15 т</t>
        </is>
      </c>
      <c r="E22" s="277" t="inlineStr">
        <is>
          <t>маш.-ч.</t>
        </is>
      </c>
      <c r="F22" s="189" t="n">
        <v>1.22</v>
      </c>
      <c r="G22" s="177" t="n">
        <v>19.76</v>
      </c>
      <c r="H22" s="163">
        <f>ROUND(F22*G22,2)</f>
        <v/>
      </c>
    </row>
    <row r="23">
      <c r="A23" s="277" t="n">
        <v>9</v>
      </c>
      <c r="B23" s="249" t="n"/>
      <c r="C23" s="166" t="inlineStr">
        <is>
          <t>91.21.16-012</t>
        </is>
      </c>
      <c r="D23" s="165" t="inlineStr">
        <is>
          <t>Прессы гидравлические с электроприводом</t>
        </is>
      </c>
      <c r="E23" s="277" t="inlineStr">
        <is>
          <t>маш.-ч.</t>
        </is>
      </c>
      <c r="F23" s="189" t="n">
        <v>1.35</v>
      </c>
      <c r="G23" s="177" t="n">
        <v>1.11</v>
      </c>
      <c r="H23" s="163">
        <f>ROUND(F23*G23,2)</f>
        <v/>
      </c>
    </row>
    <row r="24">
      <c r="A24" s="248" t="inlineStr">
        <is>
          <t>Материалы</t>
        </is>
      </c>
      <c r="B24" s="324" t="n"/>
      <c r="C24" s="324" t="n"/>
      <c r="D24" s="324" t="n"/>
      <c r="E24" s="325" t="n"/>
      <c r="F24" s="183" t="n"/>
      <c r="G24" s="152" t="n"/>
      <c r="H24" s="329">
        <f>SUM(H25:H25)</f>
        <v/>
      </c>
    </row>
    <row r="25">
      <c r="A25" s="167" t="n">
        <v>10</v>
      </c>
      <c r="B25" s="249" t="n"/>
      <c r="C25" s="166" t="inlineStr">
        <is>
          <t>Прайс из СД ОП</t>
        </is>
      </c>
      <c r="D25" s="184" t="inlineStr">
        <is>
          <t>Грозотрос ВЛ диаметр 19,2 мм</t>
        </is>
      </c>
      <c r="E25" s="166" t="inlineStr">
        <is>
          <t>км</t>
        </is>
      </c>
      <c r="F25" s="166" t="n">
        <v>1</v>
      </c>
      <c r="G25" s="166" t="n">
        <v>89593.5</v>
      </c>
      <c r="H25" s="163" t="n">
        <v>89593.5</v>
      </c>
    </row>
    <row r="28">
      <c r="B28" s="206" t="inlineStr">
        <is>
          <t>Составил ______________________ 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D9:D10"/>
    <mergeCell ref="E9:E10"/>
    <mergeCell ref="A3:H3"/>
    <mergeCell ref="A24:E24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C42" sqref="C42"/>
    </sheetView>
  </sheetViews>
  <sheetFormatPr baseColWidth="8" defaultColWidth="9.140625" defaultRowHeight="15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11.42578125" customWidth="1" style="204" min="6" max="6"/>
    <col width="14.42578125" customWidth="1" style="204" min="7" max="7"/>
    <col width="13.5703125" customWidth="1" style="204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2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8" t="inlineStr">
        <is>
          <t>Ресурсная модель</t>
        </is>
      </c>
    </row>
    <row r="6">
      <c r="B6" s="158" t="n"/>
      <c r="C6" s="199" t="n"/>
      <c r="D6" s="199" t="n"/>
      <c r="E6" s="199" t="n"/>
    </row>
    <row r="7" ht="25.5" customHeight="1" s="204">
      <c r="B7" s="251" t="inlineStr">
        <is>
          <t>Наименование разрабатываемого показателя УНЦ — Грозотрос ВЛ, диаметр 19,2 мм</t>
        </is>
      </c>
    </row>
    <row r="8">
      <c r="B8" s="252" t="inlineStr">
        <is>
          <t>Единица измерения  — 1 км</t>
        </is>
      </c>
    </row>
    <row r="9">
      <c r="B9" s="158" t="n"/>
      <c r="C9" s="199" t="n"/>
      <c r="D9" s="199" t="n"/>
      <c r="E9" s="199" t="n"/>
    </row>
    <row r="10" ht="51" customHeight="1" s="20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04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04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6" t="n"/>
    </row>
    <row r="29" ht="25.5" customHeight="1" s="204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6" t="n"/>
    </row>
    <row r="31">
      <c r="B31" s="24" t="inlineStr">
        <is>
          <t>Пусконаладочные работы</t>
        </is>
      </c>
      <c r="C31" s="173" t="n">
        <v>0</v>
      </c>
      <c r="D31" s="24" t="n"/>
      <c r="E31" s="26">
        <f>C31/$C$40</f>
        <v/>
      </c>
    </row>
    <row r="32" ht="25.5" customHeight="1" s="204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4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9" t="n"/>
    </row>
    <row r="35" ht="76.5" customHeight="1" s="20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4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6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6" t="n"/>
    </row>
    <row r="38" ht="38.25" customHeight="1" s="204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04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ОБ'!E46</f>
        <v/>
      </c>
      <c r="D41" s="24" t="n"/>
      <c r="E41" s="24" t="n"/>
    </row>
    <row r="42">
      <c r="B42" s="154" t="n"/>
      <c r="C42" s="199" t="n"/>
      <c r="D42" s="199" t="n"/>
      <c r="E42" s="199" t="n"/>
    </row>
    <row r="43">
      <c r="B43" s="154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54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54" t="n"/>
      <c r="C45" s="199" t="n"/>
      <c r="D45" s="199" t="n"/>
      <c r="E45" s="199" t="n"/>
    </row>
    <row r="46">
      <c r="B46" s="154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15" zoomScale="70" zoomScaleSheetLayoutView="70" workbookViewId="0">
      <selection activeCell="B48" sqref="B48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9.140625" customWidth="1" style="200" min="12" max="12"/>
  </cols>
  <sheetData>
    <row r="1">
      <c r="M1" s="200" t="n"/>
      <c r="N1" s="200" t="n"/>
    </row>
    <row r="2" ht="15.75" customHeight="1" s="204">
      <c r="H2" s="267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28" t="inlineStr">
        <is>
          <t>Расчет стоимости СМР и оборудования</t>
        </is>
      </c>
    </row>
    <row r="5" ht="12.75" customFormat="1" customHeight="1" s="199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9">
      <c r="A6" s="133" t="inlineStr">
        <is>
          <t>Наименование разрабатываемого показателя УНЦ</t>
        </is>
      </c>
      <c r="B6" s="132" t="n"/>
      <c r="C6" s="132" t="n"/>
      <c r="D6" s="271" t="inlineStr">
        <is>
          <t>Грозотрос ВЛ, диаметр 19,2 мм</t>
        </is>
      </c>
    </row>
    <row r="7" ht="12.75" customFormat="1" customHeight="1" s="199">
      <c r="A7" s="231" t="inlineStr">
        <is>
          <t>Единица измерения  — 1 км</t>
        </is>
      </c>
      <c r="I7" s="251" t="n"/>
      <c r="J7" s="251" t="n"/>
    </row>
    <row r="8" ht="13.5" customFormat="1" customHeight="1" s="199">
      <c r="A8" s="231" t="n"/>
    </row>
    <row r="9" ht="27" customHeight="1" s="204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5" t="n"/>
      <c r="M9" s="200" t="n"/>
      <c r="N9" s="200" t="n"/>
    </row>
    <row r="10" ht="28.5" customHeight="1" s="204">
      <c r="A10" s="327" t="n"/>
      <c r="B10" s="327" t="n"/>
      <c r="C10" s="327" t="n"/>
      <c r="D10" s="327" t="n"/>
      <c r="E10" s="327" t="n"/>
      <c r="F10" s="259" t="inlineStr">
        <is>
          <t>на ед. изм.</t>
        </is>
      </c>
      <c r="G10" s="259" t="inlineStr">
        <is>
          <t>общая</t>
        </is>
      </c>
      <c r="H10" s="327" t="n"/>
      <c r="I10" s="259" t="inlineStr">
        <is>
          <t>на ед. изм.</t>
        </is>
      </c>
      <c r="J10" s="259" t="inlineStr">
        <is>
          <t>общая</t>
        </is>
      </c>
      <c r="M10" s="200" t="n"/>
      <c r="N10" s="200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0" t="n"/>
      <c r="N11" s="200" t="n"/>
    </row>
    <row r="12">
      <c r="A12" s="259" t="n"/>
      <c r="B12" s="247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1" t="n"/>
      <c r="J12" s="121" t="n"/>
    </row>
    <row r="13" ht="25.5" customHeight="1" s="204">
      <c r="A13" s="259" t="n">
        <v>1</v>
      </c>
      <c r="B13" s="131" t="inlineStr">
        <is>
          <t>1-3-8</t>
        </is>
      </c>
      <c r="C13" s="258" t="inlineStr">
        <is>
          <t>Затраты труда рабочих-строителей среднего разряда (3,8)</t>
        </is>
      </c>
      <c r="D13" s="259" t="inlineStr">
        <is>
          <t>чел.-ч.</t>
        </is>
      </c>
      <c r="E13" s="332">
        <f>G13/F13</f>
        <v/>
      </c>
      <c r="F13" s="30" t="n">
        <v>9.4</v>
      </c>
      <c r="G13" s="30">
        <f>Прил.3!H12</f>
        <v/>
      </c>
      <c r="H13" s="12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9" t="n"/>
      <c r="B14" s="259" t="n"/>
      <c r="C14" s="24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62" t="n">
        <v>1</v>
      </c>
      <c r="I14" s="121" t="n"/>
      <c r="J14" s="30">
        <f>SUM(J13:J13)</f>
        <v/>
      </c>
    </row>
    <row r="15" ht="14.25" customFormat="1" customHeight="1" s="200">
      <c r="A15" s="259" t="n"/>
      <c r="B15" s="258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1" t="n"/>
      <c r="J15" s="121" t="n"/>
    </row>
    <row r="16" ht="14.25" customFormat="1" customHeight="1" s="200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334" t="n">
        <v>8.31</v>
      </c>
      <c r="F16" s="30">
        <f>G16/E16</f>
        <v/>
      </c>
      <c r="G16" s="30">
        <f>Прил.3!H14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0">
      <c r="A17" s="259" t="n"/>
      <c r="B17" s="247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1" t="n"/>
      <c r="J17" s="121" t="n"/>
    </row>
    <row r="18" ht="14.25" customFormat="1" customHeight="1" s="200">
      <c r="A18" s="259" t="n"/>
      <c r="B18" s="258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1" t="n"/>
      <c r="J18" s="121" t="n"/>
    </row>
    <row r="19" ht="25.5" customFormat="1" customHeight="1" s="200">
      <c r="A19" s="259" t="n">
        <v>3</v>
      </c>
      <c r="B19" s="166" t="inlineStr">
        <is>
          <t>91.05.05-016</t>
        </is>
      </c>
      <c r="C19" s="165" t="inlineStr">
        <is>
          <t>Краны на автомобильном ходу, грузоподъемность 25 т</t>
        </is>
      </c>
      <c r="D19" s="277" t="inlineStr">
        <is>
          <t>маш.-ч.</t>
        </is>
      </c>
      <c r="E19" s="335" t="n">
        <v>1.22</v>
      </c>
      <c r="F19" s="177" t="n">
        <v>476.43</v>
      </c>
      <c r="G19" s="30">
        <f>ROUND(E19*F19,2)</f>
        <v/>
      </c>
      <c r="H19" s="123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0">
      <c r="A20" s="259" t="n">
        <v>4</v>
      </c>
      <c r="B20" s="166" t="inlineStr">
        <is>
          <t>91.06.06-014</t>
        </is>
      </c>
      <c r="C20" s="165" t="inlineStr">
        <is>
          <t>Автогидроподъемники, высота подъема 28 м</t>
        </is>
      </c>
      <c r="D20" s="277" t="inlineStr">
        <is>
          <t>маш.-ч.</t>
        </is>
      </c>
      <c r="E20" s="335" t="n">
        <v>1.99</v>
      </c>
      <c r="F20" s="177" t="n">
        <v>243.49</v>
      </c>
      <c r="G20" s="30">
        <f>ROUND(E20*F20,2)</f>
        <v/>
      </c>
      <c r="H20" s="123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0">
      <c r="A21" s="259" t="n">
        <v>5</v>
      </c>
      <c r="B21" s="166" t="inlineStr">
        <is>
          <t>91.11.02-021</t>
        </is>
      </c>
      <c r="C21" s="165" t="inlineStr">
        <is>
          <t>Комплексы для монтажа проводов методом "под тяжением"</t>
        </is>
      </c>
      <c r="D21" s="277" t="inlineStr">
        <is>
          <t>маш.-ч.</t>
        </is>
      </c>
      <c r="E21" s="335" t="n">
        <v>0.64</v>
      </c>
      <c r="F21" s="177" t="n">
        <v>637.76</v>
      </c>
      <c r="G21" s="30">
        <f>ROUND(E21*F21,2)</f>
        <v/>
      </c>
      <c r="H21" s="123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0">
      <c r="A22" s="259" t="n">
        <v>6</v>
      </c>
      <c r="B22" s="166" t="inlineStr">
        <is>
          <t>91.15.02-029</t>
        </is>
      </c>
      <c r="C22" s="165" t="inlineStr">
        <is>
          <t>Тракторы на гусеничном ходу с лебедкой 132 кВт (180 л.с.)</t>
        </is>
      </c>
      <c r="D22" s="277" t="inlineStr">
        <is>
          <t>маш.-ч.</t>
        </is>
      </c>
      <c r="E22" s="335" t="n">
        <v>2.6</v>
      </c>
      <c r="F22" s="177" t="n">
        <v>147.43</v>
      </c>
      <c r="G22" s="30">
        <f>ROUND(E22*F22,2)</f>
        <v/>
      </c>
      <c r="H22" s="123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0">
      <c r="A23" s="259" t="n"/>
      <c r="B23" s="259" t="n"/>
      <c r="C23" s="258" t="inlineStr">
        <is>
          <t>Итого основные машины и механизмы</t>
        </is>
      </c>
      <c r="D23" s="259" t="n"/>
      <c r="E23" s="333" t="n"/>
      <c r="F23" s="30" t="n"/>
      <c r="G23" s="178">
        <f>SUM(G19:G22)</f>
        <v/>
      </c>
      <c r="H23" s="257">
        <f>G23/G28</f>
        <v/>
      </c>
      <c r="I23" s="179" t="n"/>
      <c r="J23" s="178">
        <f>SUM(J19:J22)</f>
        <v/>
      </c>
    </row>
    <row r="24" hidden="1" outlineLevel="1" ht="14.25" customFormat="1" customHeight="1" s="200">
      <c r="A24" s="259" t="n">
        <v>7</v>
      </c>
      <c r="B24" s="166" t="inlineStr">
        <is>
          <t>91.14.04-002</t>
        </is>
      </c>
      <c r="C24" s="165" t="inlineStr">
        <is>
          <t>Тягачи седельные, грузоподъемность 15 т</t>
        </is>
      </c>
      <c r="D24" s="277" t="inlineStr">
        <is>
          <t>маш.-ч.</t>
        </is>
      </c>
      <c r="E24" s="335" t="n">
        <v>1.22</v>
      </c>
      <c r="F24" s="177" t="n">
        <v>94.38</v>
      </c>
      <c r="G24" s="30">
        <f>ROUND(E24*F24,2)</f>
        <v/>
      </c>
      <c r="H24" s="123">
        <f>G24/$G$28</f>
        <v/>
      </c>
      <c r="I24" s="30">
        <f>ROUND(F24*Прил.10!$D$12,2)</f>
        <v/>
      </c>
      <c r="J24" s="30">
        <f>ROUND(I24*E24,2)</f>
        <v/>
      </c>
    </row>
    <row r="25" hidden="1" outlineLevel="1" ht="25.5" customFormat="1" customHeight="1" s="200">
      <c r="A25" s="259" t="n">
        <v>8</v>
      </c>
      <c r="B25" s="166" t="inlineStr">
        <is>
          <t>91.14.05-012</t>
        </is>
      </c>
      <c r="C25" s="165" t="inlineStr">
        <is>
          <t>Полуприцепы общего назначения, грузоподъемность 15 т</t>
        </is>
      </c>
      <c r="D25" s="277" t="inlineStr">
        <is>
          <t>маш.-ч.</t>
        </is>
      </c>
      <c r="E25" s="335" t="n">
        <v>1.22</v>
      </c>
      <c r="F25" s="177" t="n">
        <v>19.76</v>
      </c>
      <c r="G25" s="30">
        <f>ROUND(E25*F25,2)</f>
        <v/>
      </c>
      <c r="H25" s="123">
        <f>G25/$G$28</f>
        <v/>
      </c>
      <c r="I25" s="30">
        <f>ROUND(F25*Прил.10!$D$12,2)</f>
        <v/>
      </c>
      <c r="J25" s="30">
        <f>ROUND(I25*E25,2)</f>
        <v/>
      </c>
    </row>
    <row r="26" hidden="1" outlineLevel="1" ht="25.5" customFormat="1" customHeight="1" s="200">
      <c r="A26" s="259" t="n">
        <v>9</v>
      </c>
      <c r="B26" s="166" t="inlineStr">
        <is>
          <t>91.21.16-012</t>
        </is>
      </c>
      <c r="C26" s="165" t="inlineStr">
        <is>
          <t>Прессы гидравлические с электроприводом</t>
        </is>
      </c>
      <c r="D26" s="277" t="inlineStr">
        <is>
          <t>маш.-ч.</t>
        </is>
      </c>
      <c r="E26" s="335" t="n">
        <v>1.35</v>
      </c>
      <c r="F26" s="177" t="n">
        <v>1.11</v>
      </c>
      <c r="G26" s="30">
        <f>ROUND(E26*F26,2)</f>
        <v/>
      </c>
      <c r="H26" s="123">
        <f>G26/$G$28</f>
        <v/>
      </c>
      <c r="I26" s="30">
        <f>ROUND(F26*Прил.10!$D$12,2)</f>
        <v/>
      </c>
      <c r="J26" s="30">
        <f>ROUND(I26*E26,2)</f>
        <v/>
      </c>
    </row>
    <row r="27" collapsed="1" ht="14.25" customFormat="1" customHeight="1" s="200">
      <c r="A27" s="259" t="n"/>
      <c r="B27" s="259" t="n"/>
      <c r="C27" s="258" t="inlineStr">
        <is>
          <t>Итого прочие машины и механизмы</t>
        </is>
      </c>
      <c r="D27" s="259" t="n"/>
      <c r="E27" s="260" t="n"/>
      <c r="F27" s="30" t="n"/>
      <c r="G27" s="125">
        <f>SUM(G24:G26)</f>
        <v/>
      </c>
      <c r="H27" s="180">
        <f>G27/G28</f>
        <v/>
      </c>
      <c r="I27" s="126" t="n"/>
      <c r="J27" s="126">
        <f>SUM(J24:J26)</f>
        <v/>
      </c>
    </row>
    <row r="28" ht="25.5" customFormat="1" customHeight="1" s="200">
      <c r="A28" s="259" t="n"/>
      <c r="B28" s="259" t="n"/>
      <c r="C28" s="247" t="inlineStr">
        <is>
          <t>Итого по разделу «Машины и механизмы»</t>
        </is>
      </c>
      <c r="D28" s="259" t="n"/>
      <c r="E28" s="260" t="n"/>
      <c r="F28" s="30" t="n"/>
      <c r="G28" s="30">
        <f>G27+G23</f>
        <v/>
      </c>
      <c r="H28" s="124" t="n">
        <v>1</v>
      </c>
      <c r="I28" s="125" t="n"/>
      <c r="J28" s="126">
        <f>J27+J23</f>
        <v/>
      </c>
    </row>
    <row r="29" ht="14.25" customFormat="1" customHeight="1" s="200">
      <c r="A29" s="259" t="n"/>
      <c r="B29" s="247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21" t="n"/>
      <c r="J29" s="121" t="n"/>
    </row>
    <row r="30">
      <c r="A30" s="259" t="n"/>
      <c r="B30" s="258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21" t="n"/>
      <c r="J30" s="121" t="n"/>
    </row>
    <row r="31">
      <c r="A31" s="259" t="n"/>
      <c r="B31" s="259" t="n"/>
      <c r="C31" s="258" t="inlineStr">
        <is>
          <t>Итого основное оборудование</t>
        </is>
      </c>
      <c r="D31" s="259" t="n"/>
      <c r="E31" s="332" t="n"/>
      <c r="F31" s="261" t="n"/>
      <c r="G31" s="30" t="n">
        <v>0</v>
      </c>
      <c r="H31" s="123" t="n">
        <v>0</v>
      </c>
      <c r="I31" s="127" t="n"/>
      <c r="J31" s="30" t="n">
        <v>0</v>
      </c>
    </row>
    <row r="32">
      <c r="A32" s="259" t="n"/>
      <c r="B32" s="259" t="n"/>
      <c r="C32" s="258" t="inlineStr">
        <is>
          <t>Итого прочее оборудование</t>
        </is>
      </c>
      <c r="D32" s="259" t="n"/>
      <c r="E32" s="333" t="n"/>
      <c r="F32" s="261" t="n"/>
      <c r="G32" s="30" t="n">
        <v>0</v>
      </c>
      <c r="H32" s="123" t="n">
        <v>0</v>
      </c>
      <c r="I32" s="127" t="n"/>
      <c r="J32" s="30" t="n">
        <v>0</v>
      </c>
    </row>
    <row r="33">
      <c r="A33" s="259" t="n"/>
      <c r="B33" s="259" t="n"/>
      <c r="C33" s="247" t="inlineStr">
        <is>
          <t>Итого по разделу «Оборудование»</t>
        </is>
      </c>
      <c r="D33" s="259" t="n"/>
      <c r="E33" s="260" t="n"/>
      <c r="F33" s="261" t="n"/>
      <c r="G33" s="30">
        <f>G31+G32</f>
        <v/>
      </c>
      <c r="H33" s="123" t="n">
        <v>0</v>
      </c>
      <c r="I33" s="127" t="n"/>
      <c r="J33" s="30" t="n">
        <v>0</v>
      </c>
    </row>
    <row r="34" ht="25.5" customHeight="1" s="204">
      <c r="A34" s="259" t="n"/>
      <c r="B34" s="259" t="n"/>
      <c r="C34" s="258" t="inlineStr">
        <is>
          <t>в том числе технологическое оборудование</t>
        </is>
      </c>
      <c r="D34" s="259" t="n"/>
      <c r="E34" s="332" t="n"/>
      <c r="F34" s="261" t="n"/>
      <c r="G34" s="30">
        <f>'Прил.6 Расчет ОБ'!G12</f>
        <v/>
      </c>
      <c r="H34" s="262" t="n"/>
      <c r="I34" s="127" t="n"/>
      <c r="J34" s="30">
        <f>J33</f>
        <v/>
      </c>
    </row>
    <row r="35" ht="14.25" customFormat="1" customHeight="1" s="200">
      <c r="A35" s="259" t="n"/>
      <c r="B35" s="247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21" t="n"/>
      <c r="J35" s="121" t="n"/>
    </row>
    <row r="36" ht="14.25" customFormat="1" customHeight="1" s="200">
      <c r="A36" s="254" t="n"/>
      <c r="B36" s="253" t="inlineStr">
        <is>
          <t>Основные материалы</t>
        </is>
      </c>
      <c r="C36" s="336" t="n"/>
      <c r="D36" s="336" t="n"/>
      <c r="E36" s="336" t="n"/>
      <c r="F36" s="336" t="n"/>
      <c r="G36" s="336" t="n"/>
      <c r="H36" s="337" t="n"/>
      <c r="I36" s="134" t="n"/>
      <c r="J36" s="134" t="n"/>
    </row>
    <row r="37" ht="14.25" customFormat="1" customHeight="1" s="200">
      <c r="A37" s="259" t="n">
        <v>10</v>
      </c>
      <c r="B37" s="191" t="inlineStr">
        <is>
          <t>БЦ.109.19</t>
        </is>
      </c>
      <c r="C37" s="165" t="inlineStr">
        <is>
          <t>Грозотрос ВЛ диаметр 19,2 мм</t>
        </is>
      </c>
      <c r="D37" s="277" t="inlineStr">
        <is>
          <t>км</t>
        </is>
      </c>
      <c r="E37" s="334" t="n">
        <v>1</v>
      </c>
      <c r="F37" s="163">
        <f>ROUND(I37/Прил.10!$D$13,2)</f>
        <v/>
      </c>
      <c r="G37" s="30">
        <f>ROUND(E37*F37,2)</f>
        <v/>
      </c>
      <c r="H37" s="123">
        <f>G37/$G$40</f>
        <v/>
      </c>
      <c r="I37" s="30" t="n">
        <v>831698.11</v>
      </c>
      <c r="J37" s="30">
        <f>ROUND(I37*E37,2)</f>
        <v/>
      </c>
    </row>
    <row r="38" ht="14.25" customFormat="1" customHeight="1" s="200">
      <c r="A38" s="175" t="n"/>
      <c r="B38" s="135" t="n"/>
      <c r="C38" s="136" t="inlineStr">
        <is>
          <t>Итого основные материалы</t>
        </is>
      </c>
      <c r="D38" s="270" t="n"/>
      <c r="E38" s="338" t="n"/>
      <c r="F38" s="126" t="n"/>
      <c r="G38" s="126">
        <f>SUM(G37:G37)</f>
        <v/>
      </c>
      <c r="H38" s="123">
        <f>G38/$G$40</f>
        <v/>
      </c>
      <c r="I38" s="30" t="n"/>
      <c r="J38" s="126">
        <f>J37</f>
        <v/>
      </c>
    </row>
    <row r="39" ht="14.25" customFormat="1" customHeight="1" s="200">
      <c r="A39" s="259" t="n"/>
      <c r="B39" s="259" t="n"/>
      <c r="C39" s="258" t="inlineStr">
        <is>
          <t>Итого прочие материалы</t>
        </is>
      </c>
      <c r="D39" s="259" t="n"/>
      <c r="E39" s="332" t="n"/>
      <c r="F39" s="261" t="n"/>
      <c r="G39" s="30" t="n">
        <v>0</v>
      </c>
      <c r="H39" s="123">
        <f>G39/$G$40</f>
        <v/>
      </c>
      <c r="I39" s="30" t="n"/>
      <c r="J39" s="30" t="n">
        <v>0</v>
      </c>
    </row>
    <row r="40" ht="14.25" customFormat="1" customHeight="1" s="200">
      <c r="A40" s="259" t="n"/>
      <c r="B40" s="259" t="n"/>
      <c r="C40" s="247" t="inlineStr">
        <is>
          <t>Итого по разделу «Материалы»</t>
        </is>
      </c>
      <c r="D40" s="259" t="n"/>
      <c r="E40" s="260" t="n"/>
      <c r="F40" s="261" t="n"/>
      <c r="G40" s="30">
        <f>G38+G39</f>
        <v/>
      </c>
      <c r="H40" s="262">
        <f>G40/$G$40</f>
        <v/>
      </c>
      <c r="I40" s="30" t="n"/>
      <c r="J40" s="30">
        <f>J38+J39</f>
        <v/>
      </c>
    </row>
    <row r="41" ht="14.25" customFormat="1" customHeight="1" s="200">
      <c r="A41" s="259" t="n"/>
      <c r="B41" s="259" t="n"/>
      <c r="C41" s="258" t="inlineStr">
        <is>
          <t>ИТОГО ПО РМ</t>
        </is>
      </c>
      <c r="D41" s="259" t="n"/>
      <c r="E41" s="260" t="n"/>
      <c r="F41" s="261" t="n"/>
      <c r="G41" s="30">
        <f>G14+G28+G40</f>
        <v/>
      </c>
      <c r="H41" s="262" t="n"/>
      <c r="I41" s="30" t="n"/>
      <c r="J41" s="30">
        <f>J14+J28+J40</f>
        <v/>
      </c>
    </row>
    <row r="42" ht="14.25" customFormat="1" customHeight="1" s="200">
      <c r="A42" s="259" t="n"/>
      <c r="B42" s="259" t="n"/>
      <c r="C42" s="258" t="inlineStr">
        <is>
          <t>Накладные расходы</t>
        </is>
      </c>
      <c r="D42" s="129">
        <f>ROUND(G42/(G$16+$G$14),2)</f>
        <v/>
      </c>
      <c r="E42" s="260" t="n"/>
      <c r="F42" s="261" t="n"/>
      <c r="G42" s="30" t="n">
        <v>299.39</v>
      </c>
      <c r="H42" s="262" t="n"/>
      <c r="I42" s="30" t="n"/>
      <c r="J42" s="30">
        <f>ROUND(D42*(J14+J16),2)</f>
        <v/>
      </c>
    </row>
    <row r="43" ht="14.25" customFormat="1" customHeight="1" s="200">
      <c r="A43" s="259" t="n"/>
      <c r="B43" s="259" t="n"/>
      <c r="C43" s="258" t="inlineStr">
        <is>
          <t>Сметная прибыль</t>
        </is>
      </c>
      <c r="D43" s="129">
        <f>ROUND(G43/(G$14+G$16),2)</f>
        <v/>
      </c>
      <c r="E43" s="260" t="n"/>
      <c r="F43" s="261" t="n"/>
      <c r="G43" s="30" t="n">
        <v>174.4</v>
      </c>
      <c r="H43" s="262" t="n"/>
      <c r="I43" s="30" t="n"/>
      <c r="J43" s="30">
        <f>ROUND(D43*(J14+J16),2)</f>
        <v/>
      </c>
    </row>
    <row r="44" ht="14.25" customFormat="1" customHeight="1" s="200">
      <c r="A44" s="259" t="n"/>
      <c r="B44" s="259" t="n"/>
      <c r="C44" s="258" t="inlineStr">
        <is>
          <t>Итого СМР (с НР и СП)</t>
        </is>
      </c>
      <c r="D44" s="259" t="n"/>
      <c r="E44" s="260" t="n"/>
      <c r="F44" s="261" t="n"/>
      <c r="G44" s="30">
        <f>G14+G28+G40+G42+G43</f>
        <v/>
      </c>
      <c r="H44" s="262" t="n"/>
      <c r="I44" s="30" t="n"/>
      <c r="J44" s="30">
        <f>J14+J28+J40+J42+J43</f>
        <v/>
      </c>
    </row>
    <row r="45" ht="14.25" customFormat="1" customHeight="1" s="200">
      <c r="A45" s="259" t="n"/>
      <c r="B45" s="259" t="n"/>
      <c r="C45" s="258" t="inlineStr">
        <is>
          <t>ВСЕГО СМР + ОБОРУДОВАНИЕ</t>
        </is>
      </c>
      <c r="D45" s="259" t="n"/>
      <c r="E45" s="260" t="n"/>
      <c r="F45" s="261" t="n"/>
      <c r="G45" s="30">
        <f>G44+G33</f>
        <v/>
      </c>
      <c r="H45" s="262" t="n"/>
      <c r="I45" s="30" t="n"/>
      <c r="J45" s="30">
        <f>J44+J33</f>
        <v/>
      </c>
    </row>
    <row r="46" ht="34.5" customFormat="1" customHeight="1" s="200">
      <c r="A46" s="259" t="n"/>
      <c r="B46" s="259" t="n"/>
      <c r="C46" s="258" t="inlineStr">
        <is>
          <t>ИТОГО ПОКАЗАТЕЛЬ НА ЕД. ИЗМ.</t>
        </is>
      </c>
      <c r="D46" s="259" t="inlineStr">
        <is>
          <t>1 км</t>
        </is>
      </c>
      <c r="E46" s="332" t="n">
        <v>1</v>
      </c>
      <c r="F46" s="261" t="n"/>
      <c r="G46" s="30">
        <f>G45/E46</f>
        <v/>
      </c>
      <c r="H46" s="262" t="n"/>
      <c r="I46" s="30" t="n"/>
      <c r="J46" s="30">
        <f>J45/E46</f>
        <v/>
      </c>
    </row>
    <row r="48" ht="14.25" customFormat="1" customHeight="1" s="200">
      <c r="A48" s="199" t="inlineStr">
        <is>
          <t>Составил ______________________    А.Р. Маркова</t>
        </is>
      </c>
    </row>
    <row r="49" ht="14.25" customFormat="1" customHeight="1" s="200">
      <c r="A49" s="202" t="inlineStr">
        <is>
          <t xml:space="preserve">                         (подпись, инициалы, фамилия)</t>
        </is>
      </c>
    </row>
    <row r="50" ht="14.25" customFormat="1" customHeight="1" s="200">
      <c r="A50" s="199" t="n"/>
    </row>
    <row r="51" ht="14.25" customFormat="1" customHeight="1" s="200">
      <c r="A51" s="199" t="inlineStr">
        <is>
          <t>Проверил ______________________        А.В. Костянецкая</t>
        </is>
      </c>
    </row>
    <row r="52" ht="14.25" customFormat="1" customHeight="1" s="200">
      <c r="A52" s="20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4" min="1" max="1"/>
    <col width="17.5703125" customWidth="1" style="204" min="2" max="2"/>
    <col width="39.140625" customWidth="1" style="204" min="3" max="3"/>
    <col width="10.7109375" customWidth="1" style="204" min="4" max="4"/>
    <col width="13.85546875" customWidth="1" style="204" min="5" max="5"/>
    <col width="13.28515625" customWidth="1" style="204" min="6" max="6"/>
    <col width="14.140625" customWidth="1" style="204" min="7" max="7"/>
  </cols>
  <sheetData>
    <row r="1">
      <c r="A1" s="272" t="inlineStr">
        <is>
          <t>Приложение №6</t>
        </is>
      </c>
    </row>
    <row r="2" ht="21.75" customHeight="1" s="204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 s="204">
      <c r="A4" s="231" t="inlineStr">
        <is>
          <t>Наименование разрабатываемого показателя УНЦ — Грозотрос ВЛ, диаметр 19,2 мм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0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4">
      <c r="A9" s="24" t="n"/>
      <c r="B9" s="258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4">
      <c r="A10" s="259" t="n"/>
      <c r="B10" s="247" t="n"/>
      <c r="C10" s="258" t="inlineStr">
        <is>
          <t>ИТОГО ИНЖЕНЕРНОЕ ОБОРУДОВАНИЕ</t>
        </is>
      </c>
      <c r="D10" s="247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0" t="n">
        <v>0</v>
      </c>
    </row>
    <row r="13" ht="19.5" customHeight="1" s="20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0">
        <f>G10+G12</f>
        <v/>
      </c>
    </row>
    <row r="14">
      <c r="A14" s="201" t="n"/>
      <c r="B14" s="104" t="n"/>
      <c r="C14" s="201" t="n"/>
      <c r="D14" s="201" t="n"/>
      <c r="E14" s="201" t="n"/>
      <c r="F14" s="201" t="n"/>
      <c r="G14" s="201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201" t="n"/>
      <c r="E15" s="201" t="n"/>
      <c r="F15" s="201" t="n"/>
      <c r="G15" s="201" t="n"/>
    </row>
    <row r="16">
      <c r="A16" s="202" t="inlineStr">
        <is>
          <t xml:space="preserve">                         (подпись, инициалы, фамилия)</t>
        </is>
      </c>
      <c r="B16" s="200" t="n"/>
      <c r="C16" s="200" t="n"/>
      <c r="D16" s="201" t="n"/>
      <c r="E16" s="201" t="n"/>
      <c r="F16" s="201" t="n"/>
      <c r="G16" s="201" t="n"/>
    </row>
    <row r="17">
      <c r="A17" s="199" t="n"/>
      <c r="B17" s="200" t="n"/>
      <c r="C17" s="200" t="n"/>
      <c r="D17" s="201" t="n"/>
      <c r="E17" s="201" t="n"/>
      <c r="F17" s="201" t="n"/>
      <c r="G17" s="201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201" t="n"/>
      <c r="E18" s="201" t="n"/>
      <c r="F18" s="201" t="n"/>
      <c r="G18" s="201" t="n"/>
    </row>
    <row r="19">
      <c r="A19" s="202" t="inlineStr">
        <is>
          <t xml:space="preserve">                        (подпись, инициалы, фамилия)</t>
        </is>
      </c>
      <c r="B19" s="200" t="n"/>
      <c r="C19" s="200" t="n"/>
      <c r="D19" s="201" t="n"/>
      <c r="E19" s="201" t="n"/>
      <c r="F19" s="201" t="n"/>
      <c r="G19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04" min="1" max="1"/>
    <col width="22.42578125" customWidth="1" style="204" min="2" max="2"/>
    <col width="37.140625" customWidth="1" style="204" min="3" max="3"/>
    <col width="49" customWidth="1" style="204" min="4" max="4"/>
    <col width="9.140625" customWidth="1" style="204" min="5" max="5"/>
  </cols>
  <sheetData>
    <row r="1" ht="15.75" customHeight="1" s="204">
      <c r="A1" s="206" t="n"/>
      <c r="B1" s="206" t="n"/>
      <c r="C1" s="206" t="n"/>
      <c r="D1" s="206" t="inlineStr">
        <is>
          <t>Приложение №7</t>
        </is>
      </c>
    </row>
    <row r="2" ht="15.75" customHeight="1" s="204">
      <c r="A2" s="206" t="n"/>
      <c r="B2" s="206" t="n"/>
      <c r="C2" s="206" t="n"/>
      <c r="D2" s="206" t="n"/>
    </row>
    <row r="3" ht="15.75" customHeight="1" s="204">
      <c r="A3" s="206" t="n"/>
      <c r="B3" s="194" t="inlineStr">
        <is>
          <t>Расчет показателя УНЦ</t>
        </is>
      </c>
      <c r="C3" s="206" t="n"/>
      <c r="D3" s="206" t="n"/>
    </row>
    <row r="4" ht="15.75" customHeight="1" s="204">
      <c r="A4" s="206" t="n"/>
      <c r="B4" s="206" t="n"/>
      <c r="C4" s="206" t="n"/>
      <c r="D4" s="206" t="n"/>
    </row>
    <row r="5" ht="15.75" customHeight="1" s="20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04">
      <c r="A6" s="206" t="inlineStr">
        <is>
          <t>Единица измерения  — 1 км</t>
        </is>
      </c>
      <c r="B6" s="206" t="n"/>
      <c r="C6" s="206" t="n"/>
      <c r="D6" s="206" t="n"/>
    </row>
    <row r="7" ht="15.75" customHeight="1" s="204">
      <c r="A7" s="206" t="n"/>
      <c r="B7" s="206" t="n"/>
      <c r="C7" s="206" t="n"/>
      <c r="D7" s="206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04">
      <c r="A10" s="241" t="n">
        <v>1</v>
      </c>
      <c r="B10" s="241" t="n">
        <v>2</v>
      </c>
      <c r="C10" s="241" t="n">
        <v>3</v>
      </c>
      <c r="D10" s="241" t="n">
        <v>4</v>
      </c>
    </row>
    <row r="11" ht="15.75" customHeight="1" s="204">
      <c r="A11" s="241" t="inlineStr">
        <is>
          <t>Л6-09</t>
        </is>
      </c>
      <c r="B11" s="241" t="inlineStr">
        <is>
          <t xml:space="preserve">УНЦ грозотроса ВЛ </t>
        </is>
      </c>
      <c r="C11" s="197">
        <f>D5</f>
        <v/>
      </c>
      <c r="D11" s="212">
        <f>'Прил.4 РМ'!C41/1000</f>
        <v/>
      </c>
    </row>
    <row r="13">
      <c r="A13" s="199" t="inlineStr">
        <is>
          <t>Составил ______________________    А.Р. Маркова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204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4" min="2" max="2"/>
    <col width="37" customWidth="1" style="204" min="3" max="3"/>
    <col width="32" customWidth="1" style="204" min="4" max="4"/>
  </cols>
  <sheetData>
    <row r="4" ht="15.75" customHeight="1" s="204">
      <c r="B4" s="235" t="inlineStr">
        <is>
          <t>Приложение № 10</t>
        </is>
      </c>
    </row>
    <row r="5" ht="18.75" customHeight="1" s="204">
      <c r="B5" s="114" t="n"/>
    </row>
    <row r="6" ht="15.75" customHeight="1" s="20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4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4">
      <c r="B10" s="241" t="n">
        <v>1</v>
      </c>
      <c r="C10" s="241" t="n">
        <v>2</v>
      </c>
      <c r="D10" s="241" t="n">
        <v>3</v>
      </c>
    </row>
    <row r="11" ht="45" customHeight="1" s="204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01.04.2023г. №17772-ИФ/09 прил.9</t>
        </is>
      </c>
      <c r="D11" s="241" t="n">
        <v>46.83</v>
      </c>
    </row>
    <row r="12" ht="29.25" customHeight="1" s="204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01.04.2023г. №17772-ИФ/09 прил.9</t>
        </is>
      </c>
      <c r="D12" s="241" t="n">
        <v>11.96</v>
      </c>
    </row>
    <row r="13" ht="29.25" customHeight="1" s="204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01.04.2023г. №17772-ИФ/09 прил.9</t>
        </is>
      </c>
      <c r="D13" s="241" t="n">
        <v>9.84</v>
      </c>
    </row>
    <row r="14" ht="30.75" customHeight="1" s="204">
      <c r="B14" s="241" t="inlineStr">
        <is>
          <t>Индекс изменения сметной стоимости на 1 квартал 2023 года. ОБ</t>
        </is>
      </c>
      <c r="C14" s="181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04">
      <c r="B15" s="241" t="inlineStr">
        <is>
          <t>Временные здания и сооружения</t>
        </is>
      </c>
      <c r="C15" s="2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2" t="n">
        <v>0.033</v>
      </c>
    </row>
    <row r="16" ht="78.75" customHeight="1" s="204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0.01</v>
      </c>
    </row>
    <row r="17" ht="31.5" customHeight="1" s="204">
      <c r="B17" s="241" t="inlineStr">
        <is>
          <t>Пусконаладочные работы</t>
        </is>
      </c>
      <c r="C17" s="241" t="n"/>
      <c r="D17" s="241" t="inlineStr">
        <is>
          <t>расчет</t>
        </is>
      </c>
    </row>
    <row r="18" ht="31.5" customHeight="1" s="204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82" t="n">
        <v>0.0214</v>
      </c>
    </row>
    <row r="19" ht="24" customHeight="1" s="204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82" t="n">
        <v>0.002</v>
      </c>
    </row>
    <row r="20" ht="18.75" customHeight="1" s="204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82" t="n">
        <v>0.03</v>
      </c>
    </row>
    <row r="21" ht="18.75" customHeight="1" s="204">
      <c r="B21" s="115" t="n"/>
    </row>
    <row r="22" ht="18.75" customHeight="1" s="204">
      <c r="B22" s="115" t="n"/>
    </row>
    <row r="23" ht="18.75" customHeight="1" s="204">
      <c r="B23" s="115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2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2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19" sqref="D19"/>
    </sheetView>
  </sheetViews>
  <sheetFormatPr baseColWidth="8" defaultColWidth="9.140625" defaultRowHeight="15"/>
  <cols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</cols>
  <sheetData>
    <row r="1" s="204"/>
    <row r="2" ht="17.25" customHeight="1" s="20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4"/>
    <row r="4" ht="18" customHeight="1" s="204">
      <c r="A4" s="205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 s="204">
      <c r="A5" s="207" t="inlineStr">
        <is>
          <t>№ пп.</t>
        </is>
      </c>
      <c r="B5" s="207" t="inlineStr">
        <is>
          <t>Наименование элемента</t>
        </is>
      </c>
      <c r="C5" s="207" t="inlineStr">
        <is>
          <t>Обозначение</t>
        </is>
      </c>
      <c r="D5" s="207" t="inlineStr">
        <is>
          <t>Формула</t>
        </is>
      </c>
      <c r="E5" s="207" t="inlineStr">
        <is>
          <t>Величина элемента</t>
        </is>
      </c>
      <c r="F5" s="207" t="inlineStr">
        <is>
          <t>Наименования обосновывающих документов</t>
        </is>
      </c>
      <c r="G5" s="206" t="n"/>
    </row>
    <row r="6" ht="15.75" customHeight="1" s="204">
      <c r="A6" s="207" t="n">
        <v>1</v>
      </c>
      <c r="B6" s="207" t="n">
        <v>2</v>
      </c>
      <c r="C6" s="207" t="n">
        <v>3</v>
      </c>
      <c r="D6" s="207" t="n">
        <v>4</v>
      </c>
      <c r="E6" s="207" t="n">
        <v>5</v>
      </c>
      <c r="F6" s="207" t="n">
        <v>6</v>
      </c>
      <c r="G6" s="206" t="n"/>
    </row>
    <row r="7" ht="110.25" customHeight="1" s="204">
      <c r="A7" s="208" t="inlineStr">
        <is>
          <t>1.1</t>
        </is>
      </c>
      <c r="B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1" t="n">
        <v>47872.94</v>
      </c>
      <c r="F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 s="204">
      <c r="A8" s="208" t="inlineStr">
        <is>
          <t>1.2</t>
        </is>
      </c>
      <c r="B8" s="213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2">
        <f>1973/12</f>
        <v/>
      </c>
      <c r="F8" s="213" t="inlineStr">
        <is>
          <t>Производственный календарь 2023 год
(40-часов.неделя)</t>
        </is>
      </c>
      <c r="G8" s="215" t="n"/>
    </row>
    <row r="9" ht="15.75" customHeight="1" s="204">
      <c r="A9" s="208" t="inlineStr">
        <is>
          <t>1.3</t>
        </is>
      </c>
      <c r="B9" s="213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2" t="n">
        <v>1</v>
      </c>
      <c r="F9" s="213" t="n"/>
      <c r="G9" s="215" t="n"/>
    </row>
    <row r="10" ht="15.75" customHeight="1" s="204">
      <c r="A10" s="208" t="inlineStr">
        <is>
          <t>1.4</t>
        </is>
      </c>
      <c r="B10" s="213" t="inlineStr">
        <is>
          <t>Средний разряд работ</t>
        </is>
      </c>
      <c r="C10" s="241" t="n"/>
      <c r="D10" s="241" t="n"/>
      <c r="E10" s="339" t="n">
        <v>3.8</v>
      </c>
      <c r="F10" s="213" t="inlineStr">
        <is>
          <t>РТМ</t>
        </is>
      </c>
      <c r="G10" s="215" t="n"/>
    </row>
    <row r="11" ht="78.75" customHeight="1" s="204">
      <c r="A11" s="208" t="inlineStr">
        <is>
          <t>1.5</t>
        </is>
      </c>
      <c r="B11" s="213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40" t="n">
        <v>1.308</v>
      </c>
      <c r="F11" s="2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 s="204">
      <c r="A12" s="20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41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4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2025-01-24T12:10:26Z</dcterms:modified>
  <cp:lastModifiedBy>Виктор Плотников</cp:lastModifiedBy>
  <cp:lastPrinted>2023-11-26T11:50:31Z</cp:lastPrinted>
</cp:coreProperties>
</file>