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 3'!$9:$11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"/>
    <numFmt numFmtId="170" formatCode="#,##0.00\ _₽"/>
    <numFmt numFmtId="171" formatCode="#,##0.0000"/>
    <numFmt numFmtId="172" formatCode="#,##0.00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Arial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20" fillId="0" borderId="0" applyAlignment="1" pivotButton="0" quotePrefix="0" xfId="0">
      <alignment horizontal="center" vertical="center"/>
    </xf>
    <xf numFmtId="2" fontId="2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69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horizontal="center" vertical="center" wrapText="1"/>
    </xf>
    <xf numFmtId="2" fontId="22" fillId="0" borderId="1" applyAlignment="1" pivotButton="0" quotePrefix="0" xfId="0">
      <alignment horizontal="right" vertical="center" wrapText="1"/>
    </xf>
    <xf numFmtId="170" fontId="2" fillId="0" borderId="1" applyAlignment="1" pivotButton="0" quotePrefix="0" xfId="0">
      <alignment horizontal="right" vertical="center" wrapText="1"/>
    </xf>
    <xf numFmtId="170" fontId="2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9" fontId="2" fillId="0" borderId="1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1" pivotButton="0" quotePrefix="0" xfId="0"/>
    <xf numFmtId="171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72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10" fontId="23" fillId="0" borderId="1" applyAlignment="1" pivotButton="0" quotePrefix="0" xfId="0">
      <alignment horizontal="center" vertical="top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center" vertical="center"/>
    </xf>
    <xf numFmtId="0" fontId="23" fillId="0" borderId="1" applyAlignment="1" pivotButton="0" quotePrefix="0" xfId="0">
      <alignment horizontal="center" vertical="center" wrapText="1"/>
    </xf>
    <xf numFmtId="2" fontId="23" fillId="0" borderId="1" applyAlignment="1" pivotButton="0" quotePrefix="0" xfId="0">
      <alignment horizontal="center" vertical="center" wrapText="1"/>
    </xf>
    <xf numFmtId="4" fontId="23" fillId="0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horizontal="center" vertical="center" wrapText="1"/>
    </xf>
    <xf numFmtId="49" fontId="17" fillId="4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vertical="center" wrapText="1"/>
    </xf>
    <xf numFmtId="165" fontId="17" fillId="4" borderId="1" applyAlignment="1" pivotButton="0" quotePrefix="0" xfId="0">
      <alignment vertical="center" wrapText="1"/>
    </xf>
    <xf numFmtId="2" fontId="17" fillId="4" borderId="1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2" fontId="19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4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4" pivotButton="0" quotePrefix="0" xfId="0"/>
    <xf numFmtId="49" fontId="2" fillId="0" borderId="4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tabSelected="1" view="pageBreakPreview" topLeftCell="A22" zoomScale="115" zoomScaleNormal="70" workbookViewId="0">
      <selection activeCell="C27" sqref="C27"/>
    </sheetView>
  </sheetViews>
  <sheetFormatPr baseColWidth="8" defaultRowHeight="15"/>
  <cols>
    <col width="36.85546875" customWidth="1" style="198" min="3" max="3"/>
    <col width="43.85546875" customWidth="1" style="198" min="4" max="4"/>
  </cols>
  <sheetData>
    <row r="3" ht="15.75" customHeight="1" s="198">
      <c r="B3" s="230" t="inlineStr">
        <is>
          <t>Приложение № 1</t>
        </is>
      </c>
    </row>
    <row r="4" ht="18.75" customHeight="1" s="198">
      <c r="B4" s="231" t="inlineStr">
        <is>
          <t>Сравнительная таблица отбора объекта-представителя</t>
        </is>
      </c>
    </row>
    <row r="5" ht="84" customHeight="1" s="198">
      <c r="B5" s="23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8">
      <c r="B6" s="116" t="n"/>
      <c r="C6" s="116" t="n"/>
      <c r="D6" s="116" t="n"/>
    </row>
    <row r="7" ht="42" customHeight="1" s="198">
      <c r="B7" s="233" t="inlineStr">
        <is>
          <t>Наименование разрабатываемого показателя УНЦ — УНЦ провода СИП ВЛ 0,4-35 кВ (СИП-3)</t>
        </is>
      </c>
    </row>
    <row r="8" ht="31.5" customHeight="1" s="198">
      <c r="B8" s="229" t="inlineStr">
        <is>
          <t>Сопоставимый уровень цен: 4 кв. 2017 г.</t>
        </is>
      </c>
    </row>
    <row r="9" ht="15.75" customHeight="1" s="198">
      <c r="B9" s="229" t="inlineStr">
        <is>
          <t>Единица измерения  — 1 км</t>
        </is>
      </c>
    </row>
    <row r="10" ht="18.75" customHeight="1" s="198">
      <c r="B10" s="117" t="n"/>
    </row>
    <row r="11" ht="15.75" customHeight="1" s="198">
      <c r="B11" s="237" t="inlineStr">
        <is>
          <t>№ п/п</t>
        </is>
      </c>
      <c r="C11" s="237" t="inlineStr">
        <is>
          <t>Параметр</t>
        </is>
      </c>
      <c r="D11" s="237" t="inlineStr">
        <is>
          <t>Объект-представитель</t>
        </is>
      </c>
    </row>
    <row r="12" ht="41.25" customHeight="1" s="198">
      <c r="B12" s="237" t="n">
        <v>1</v>
      </c>
      <c r="C12" s="119" t="inlineStr">
        <is>
          <t>Наименование объекта-представителя</t>
        </is>
      </c>
      <c r="D12" s="211" t="inlineStr">
        <is>
          <t>Вывод из эксплуатации ПС 60 кВ О-7 Приморск и строительство ПС 110 кВ Морская</t>
        </is>
      </c>
    </row>
    <row r="13" ht="31.5" customHeight="1" s="198">
      <c r="B13" s="237" t="n">
        <v>2</v>
      </c>
      <c r="C13" s="119" t="inlineStr">
        <is>
          <t>Наименование субъекта Российской Федерации</t>
        </is>
      </c>
      <c r="D13" s="211" t="inlineStr">
        <is>
          <t>Калининградская область</t>
        </is>
      </c>
    </row>
    <row r="14" ht="15.75" customHeight="1" s="198">
      <c r="B14" s="237" t="n">
        <v>3</v>
      </c>
      <c r="C14" s="119" t="inlineStr">
        <is>
          <t>Климатический район и подрайон</t>
        </is>
      </c>
      <c r="D14" s="211" t="inlineStr">
        <is>
          <t>IIВ</t>
        </is>
      </c>
    </row>
    <row r="15" ht="15.75" customHeight="1" s="198">
      <c r="B15" s="237" t="n">
        <v>4</v>
      </c>
      <c r="C15" s="119" t="inlineStr">
        <is>
          <t>Мощность объекта</t>
        </is>
      </c>
      <c r="D15" s="211" t="n">
        <v>1</v>
      </c>
    </row>
    <row r="16" ht="107.25" customHeight="1" s="198">
      <c r="B16" s="237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7" t="inlineStr">
        <is>
          <t>СИП-3 1х70-35</t>
        </is>
      </c>
    </row>
    <row r="17" ht="95.25" customHeight="1" s="198">
      <c r="B17" s="237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2">
        <f>SUM(D18:D21)</f>
        <v/>
      </c>
    </row>
    <row r="18" ht="15.75" customHeight="1" s="198">
      <c r="B18" s="121" t="inlineStr">
        <is>
          <t>6.1</t>
        </is>
      </c>
      <c r="C18" s="119" t="inlineStr">
        <is>
          <t>строительно-монтажные работы</t>
        </is>
      </c>
      <c r="D18" s="213">
        <f>17265.718+1899.7416</f>
        <v/>
      </c>
    </row>
    <row r="19" ht="15.75" customHeight="1" s="198">
      <c r="B19" s="121" t="inlineStr">
        <is>
          <t>6.2</t>
        </is>
      </c>
      <c r="C19" s="119" t="inlineStr">
        <is>
          <t>оборудование и инвентарь</t>
        </is>
      </c>
      <c r="D19" s="212" t="n">
        <v>1394.29764</v>
      </c>
    </row>
    <row r="20" ht="15.75" customHeight="1" s="198">
      <c r="B20" s="121" t="inlineStr">
        <is>
          <t>6.3</t>
        </is>
      </c>
      <c r="C20" s="119" t="inlineStr">
        <is>
          <t>пусконаладочные работы</t>
        </is>
      </c>
      <c r="D20" s="212">
        <f>D19/(101470.7*4.61)*123206*20.23</f>
        <v/>
      </c>
    </row>
    <row r="21" ht="31.5" customHeight="1" s="198">
      <c r="B21" s="121" t="inlineStr">
        <is>
          <t>6.4</t>
        </is>
      </c>
      <c r="C21" s="119" t="inlineStr">
        <is>
          <t>прочие и лимитированные затраты</t>
        </is>
      </c>
      <c r="D21" s="212">
        <f>D18*3.9%+(D18+D18*3.9%)*0.4%*1.2*1.05</f>
        <v/>
      </c>
    </row>
    <row r="22" ht="15.75" customHeight="1" s="198">
      <c r="B22" s="237" t="n">
        <v>7</v>
      </c>
      <c r="C22" s="119" t="inlineStr">
        <is>
          <t>Сопоставимый уровень цен</t>
        </is>
      </c>
      <c r="D22" s="211" t="inlineStr">
        <is>
          <t>4 кв. 2017 г.</t>
        </is>
      </c>
    </row>
    <row r="23" ht="110.25" customHeight="1" s="198">
      <c r="B23" s="237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2">
        <f>(D18+D21)/3.8*5.65+D19/4.44*4.44+D20/13.38*19.31</f>
        <v/>
      </c>
    </row>
    <row r="24" ht="61.5" customHeight="1" s="198">
      <c r="B24" s="237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12">
        <f>D23/D15</f>
        <v/>
      </c>
    </row>
    <row r="25" ht="37.5" customHeight="1" s="198">
      <c r="B25" s="122" t="n"/>
      <c r="C25" s="123" t="n"/>
      <c r="D25" s="123" t="n"/>
    </row>
    <row r="26">
      <c r="B26" s="199" t="inlineStr">
        <is>
          <t>Составил ______________________        Д.Ю. Нефедова</t>
        </is>
      </c>
      <c r="C26" s="208" t="n"/>
    </row>
    <row r="27">
      <c r="B27" s="209" t="inlineStr">
        <is>
          <t xml:space="preserve">                         (подпись, инициалы, фамилия)</t>
        </is>
      </c>
      <c r="C27" s="208" t="n"/>
    </row>
    <row r="28">
      <c r="B28" s="199" t="n"/>
      <c r="C28" s="208" t="n"/>
    </row>
    <row r="29">
      <c r="B29" s="199" t="inlineStr">
        <is>
          <t>Проверил ______________________        А.В. Костянецкая</t>
        </is>
      </c>
      <c r="C29" s="208" t="n"/>
    </row>
    <row r="30">
      <c r="B30" s="209" t="inlineStr">
        <is>
          <t xml:space="preserve">                        (подпись, инициалы, фамилия)</t>
        </is>
      </c>
      <c r="C30" s="208" t="n"/>
    </row>
    <row r="31" ht="15.75" customHeight="1" s="198">
      <c r="B31" s="123" t="n"/>
      <c r="C31" s="123" t="n"/>
      <c r="D31" s="12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Normal="115" workbookViewId="0">
      <selection activeCell="C16" sqref="C16"/>
    </sheetView>
  </sheetViews>
  <sheetFormatPr baseColWidth="8" defaultRowHeight="15"/>
  <cols>
    <col width="5.5703125" customWidth="1" style="198" min="1" max="1"/>
    <col width="35.28515625" customWidth="1" style="198" min="3" max="3"/>
    <col width="13.85546875" customWidth="1" style="198" min="4" max="4"/>
    <col width="17.42578125" customWidth="1" style="198" min="5" max="5"/>
    <col width="12.7109375" customWidth="1" style="198" min="6" max="6"/>
    <col width="14.85546875" customWidth="1" style="198" min="7" max="7"/>
    <col width="16.7109375" customWidth="1" style="198" min="8" max="8"/>
    <col width="13" customWidth="1" style="198" min="9" max="10"/>
  </cols>
  <sheetData>
    <row r="3" ht="15.75" customHeight="1" s="198">
      <c r="B3" s="230" t="inlineStr">
        <is>
          <t>Приложение № 2</t>
        </is>
      </c>
    </row>
    <row r="4" ht="15.75" customHeight="1" s="198">
      <c r="B4" s="236" t="inlineStr">
        <is>
          <t>Расчет стоимости основных видов работ для выбора объекта-представителя</t>
        </is>
      </c>
    </row>
    <row r="5" ht="15.75" customHeight="1" s="198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</row>
    <row r="6" ht="15.75" customHeight="1" s="198">
      <c r="B6" s="229" t="inlineStr">
        <is>
          <t>Наименование разрабатываемого показателя УНЦ — УНЦ провода СИП ВЛ 0,4-35 кВ (СИП-3)</t>
        </is>
      </c>
    </row>
    <row r="7" ht="15.75" customHeight="1" s="198">
      <c r="B7" s="229" t="inlineStr">
        <is>
          <t>Единица измерения  — 1 ед</t>
        </is>
      </c>
    </row>
    <row r="8" ht="18.75" customHeight="1" s="198">
      <c r="B8" s="117" t="n"/>
    </row>
    <row r="9" ht="15.75" customHeight="1" s="198">
      <c r="B9" s="237" t="inlineStr">
        <is>
          <t>№ п/п</t>
        </is>
      </c>
      <c r="C9" s="23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7" t="inlineStr">
        <is>
          <t>Объект-представитель 1</t>
        </is>
      </c>
      <c r="E9" s="318" t="n"/>
      <c r="F9" s="318" t="n"/>
      <c r="G9" s="318" t="n"/>
      <c r="H9" s="318" t="n"/>
      <c r="I9" s="318" t="n"/>
      <c r="J9" s="319" t="n"/>
    </row>
    <row r="10" ht="15.75" customHeight="1" s="198">
      <c r="B10" s="320" t="n"/>
      <c r="C10" s="320" t="n"/>
      <c r="D10" s="237" t="inlineStr">
        <is>
          <t>Номер сметы</t>
        </is>
      </c>
      <c r="E10" s="237" t="inlineStr">
        <is>
          <t>Наименование сметы</t>
        </is>
      </c>
      <c r="F10" s="237" t="inlineStr">
        <is>
          <t>Сметная стоимость в уровне цен 4 кв. 2017г., тыс. руб.</t>
        </is>
      </c>
      <c r="G10" s="318" t="n"/>
      <c r="H10" s="318" t="n"/>
      <c r="I10" s="318" t="n"/>
      <c r="J10" s="319" t="n"/>
    </row>
    <row r="11" ht="31.5" customHeight="1" s="198">
      <c r="B11" s="321" t="n"/>
      <c r="C11" s="321" t="n"/>
      <c r="D11" s="321" t="n"/>
      <c r="E11" s="321" t="n"/>
      <c r="F11" s="237" t="inlineStr">
        <is>
          <t>Строительные работы</t>
        </is>
      </c>
      <c r="G11" s="237" t="inlineStr">
        <is>
          <t>Монтажные работы</t>
        </is>
      </c>
      <c r="H11" s="237" t="inlineStr">
        <is>
          <t>Оборудование</t>
        </is>
      </c>
      <c r="I11" s="237" t="inlineStr">
        <is>
          <t>Прочее</t>
        </is>
      </c>
      <c r="J11" s="237" t="inlineStr">
        <is>
          <t>Всего</t>
        </is>
      </c>
    </row>
    <row r="12" ht="15.75" customHeight="1" s="198">
      <c r="B12" s="214" t="n">
        <v>1</v>
      </c>
      <c r="C12" s="214" t="inlineStr">
        <is>
          <t>СИП-3 1х70-35</t>
        </is>
      </c>
      <c r="D12" s="215" t="inlineStr">
        <is>
          <t>04-01-01</t>
        </is>
      </c>
      <c r="E12" s="216" t="inlineStr">
        <is>
          <t>ВЛ - 15 кВ</t>
        </is>
      </c>
      <c r="F12" s="217">
        <f>4543610/1000*3.8</f>
        <v/>
      </c>
      <c r="G12" s="217">
        <f>499932/1000*3.8</f>
        <v/>
      </c>
      <c r="H12" s="217">
        <f>314031/1000*4.44</f>
        <v/>
      </c>
      <c r="I12" s="218" t="n"/>
      <c r="J12" s="218">
        <f>SUM(F12:I12)</f>
        <v/>
      </c>
    </row>
    <row r="13" ht="15.75" customHeight="1" s="198">
      <c r="B13" s="234" t="inlineStr">
        <is>
          <t>Всего по объекту:</t>
        </is>
      </c>
      <c r="C13" s="322" t="n"/>
      <c r="D13" s="322" t="n"/>
      <c r="E13" s="323" t="n"/>
      <c r="F13" s="219">
        <f>F12</f>
        <v/>
      </c>
      <c r="G13" s="219">
        <f>G12</f>
        <v/>
      </c>
      <c r="H13" s="219">
        <f>H12</f>
        <v/>
      </c>
      <c r="I13" s="219">
        <f>I12</f>
        <v/>
      </c>
      <c r="J13" s="219">
        <f>SUM(F13:I13)</f>
        <v/>
      </c>
    </row>
    <row r="14" ht="15.75" customHeight="1" s="198">
      <c r="B14" s="235" t="inlineStr">
        <is>
          <t>Всего по объекту в сопоставимом уровне цен 4 кв. 2017г:</t>
        </is>
      </c>
      <c r="C14" s="318" t="n"/>
      <c r="D14" s="318" t="n"/>
      <c r="E14" s="319" t="n"/>
      <c r="F14" s="220">
        <f>F13</f>
        <v/>
      </c>
      <c r="G14" s="220">
        <f>G13</f>
        <v/>
      </c>
      <c r="H14" s="220">
        <f>H13</f>
        <v/>
      </c>
      <c r="I14" s="220">
        <f>I13</f>
        <v/>
      </c>
      <c r="J14" s="220">
        <f>SUM(F14:I14)</f>
        <v/>
      </c>
    </row>
    <row r="15" ht="18.75" customHeight="1" s="198">
      <c r="B15" s="117" t="n"/>
    </row>
    <row r="18">
      <c r="C18" s="199" t="inlineStr">
        <is>
          <t>Составил ______________________    Д.Ю. Нефедова</t>
        </is>
      </c>
      <c r="D18" s="208" t="n"/>
    </row>
    <row r="19">
      <c r="C19" s="209" t="inlineStr">
        <is>
          <t xml:space="preserve">                         (подпись, инициалы, фамилия)</t>
        </is>
      </c>
      <c r="D19" s="208" t="n"/>
    </row>
    <row r="20">
      <c r="C20" s="199" t="n"/>
      <c r="D20" s="208" t="n"/>
    </row>
    <row r="21">
      <c r="C21" s="199" t="inlineStr">
        <is>
          <t>Проверил ______________________        А.В. Костянецкая</t>
        </is>
      </c>
      <c r="D21" s="208" t="n"/>
    </row>
    <row r="22">
      <c r="C22" s="209" t="inlineStr">
        <is>
          <t xml:space="preserve">                        (подпись, инициалы, фамилия)</t>
        </is>
      </c>
      <c r="D22" s="208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3"/>
  <sheetViews>
    <sheetView view="pageBreakPreview" topLeftCell="A19" zoomScale="115" workbookViewId="0">
      <selection activeCell="D29" sqref="D29"/>
    </sheetView>
  </sheetViews>
  <sheetFormatPr baseColWidth="8" defaultRowHeight="15"/>
  <cols>
    <col width="8.5703125" customWidth="1" style="198" min="1" max="1"/>
    <col width="12.85546875" customWidth="1" style="198" min="2" max="2"/>
    <col width="16.85546875" customWidth="1" style="198" min="3" max="3"/>
    <col width="49.85546875" customWidth="1" style="198" min="4" max="4"/>
    <col width="12.28515625" customWidth="1" style="198" min="5" max="5"/>
    <col width="19.85546875" customWidth="1" style="198" min="6" max="6"/>
    <col width="17.85546875" customWidth="1" style="198" min="7" max="7"/>
    <col width="19.42578125" customWidth="1" style="166" min="8" max="8"/>
    <col width="10.140625" customWidth="1" style="198" min="9" max="9"/>
  </cols>
  <sheetData>
    <row r="2" ht="15.75" customHeight="1" s="198">
      <c r="A2" s="230" t="inlineStr">
        <is>
          <t xml:space="preserve">Приложение № 3 </t>
        </is>
      </c>
      <c r="I2" s="122" t="n"/>
    </row>
    <row r="3" ht="18.75" customHeight="1" s="198">
      <c r="A3" s="231" t="inlineStr">
        <is>
          <t>Объектная ресурсная ведомость</t>
        </is>
      </c>
    </row>
    <row r="4" ht="25.5" customHeight="1" s="198">
      <c r="B4" s="165" t="n"/>
      <c r="C4" s="246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 s="198">
      <c r="C5" s="145" t="n"/>
      <c r="D5" s="145" t="n"/>
      <c r="E5" s="145" t="n"/>
      <c r="F5" s="145" t="n"/>
      <c r="G5" s="145" t="n"/>
      <c r="H5" s="146" t="n"/>
    </row>
    <row r="6" ht="15" customHeight="1" s="198">
      <c r="A6" s="244" t="inlineStr">
        <is>
          <t>Наименование разрабатываемого показателя УНЦ — УНЦ провода СИП ВЛ 0,4-35 кВ (СИП-3)</t>
        </is>
      </c>
      <c r="G6" s="147" t="n"/>
      <c r="H6" s="148" t="n"/>
    </row>
    <row r="7" ht="14.25" customHeight="1" s="198">
      <c r="G7" s="147" t="n"/>
      <c r="H7" s="148" t="n"/>
    </row>
    <row r="8" ht="15.75" customHeight="1" s="198">
      <c r="C8" s="149" t="n"/>
      <c r="D8" s="150" t="n"/>
      <c r="E8" s="151" t="n"/>
      <c r="F8" s="152" t="n"/>
      <c r="G8" s="153" t="n"/>
      <c r="H8" s="154" t="n"/>
    </row>
    <row r="9" ht="38.25" customHeight="1" s="198">
      <c r="A9" s="237" t="inlineStr">
        <is>
          <t>п/п</t>
        </is>
      </c>
      <c r="B9" s="237" t="inlineStr">
        <is>
          <t>№ЛСР</t>
        </is>
      </c>
      <c r="C9" s="237" t="inlineStr">
        <is>
          <t>Код ресурса</t>
        </is>
      </c>
      <c r="D9" s="237" t="inlineStr">
        <is>
          <t>Наименование ресурса</t>
        </is>
      </c>
      <c r="E9" s="237" t="inlineStr">
        <is>
          <t>Ед. изм.</t>
        </is>
      </c>
      <c r="F9" s="237" t="inlineStr">
        <is>
          <t>Кол-во единиц по данным объекта-представителя</t>
        </is>
      </c>
      <c r="G9" s="237" t="inlineStr">
        <is>
          <t>Сметная стоимость в ценах на 01.01.2000 (руб.)</t>
        </is>
      </c>
      <c r="H9" s="319" t="n"/>
    </row>
    <row r="10" ht="40.5" customHeight="1" s="198">
      <c r="A10" s="321" t="n"/>
      <c r="B10" s="321" t="n"/>
      <c r="C10" s="321" t="n"/>
      <c r="D10" s="321" t="n"/>
      <c r="E10" s="321" t="n"/>
      <c r="F10" s="321" t="n"/>
      <c r="G10" s="237" t="inlineStr">
        <is>
          <t>на ед.изм.</t>
        </is>
      </c>
      <c r="H10" s="237" t="inlineStr">
        <is>
          <t>общая</t>
        </is>
      </c>
    </row>
    <row r="11" ht="15.75" customHeight="1" s="198">
      <c r="A11" s="237" t="n">
        <v>1</v>
      </c>
      <c r="B11" s="155" t="n"/>
      <c r="C11" s="237" t="n">
        <v>2</v>
      </c>
      <c r="D11" s="237" t="inlineStr">
        <is>
          <t>З</t>
        </is>
      </c>
      <c r="E11" s="237" t="n">
        <v>4</v>
      </c>
      <c r="F11" s="237" t="n">
        <v>5</v>
      </c>
      <c r="G11" s="155" t="n">
        <v>6</v>
      </c>
      <c r="H11" s="155" t="n">
        <v>7</v>
      </c>
    </row>
    <row r="12" ht="15" customHeight="1" s="198">
      <c r="A12" s="242" t="inlineStr">
        <is>
          <t>Затраты труда рабочих</t>
        </is>
      </c>
      <c r="B12" s="318" t="n"/>
      <c r="C12" s="318" t="n"/>
      <c r="D12" s="319" t="n"/>
      <c r="E12" s="156" t="n"/>
      <c r="F12" s="171">
        <f>SUM(F13:F13)</f>
        <v/>
      </c>
      <c r="G12" s="156" t="n"/>
      <c r="H12" s="172">
        <f>SUM(H13:H13)</f>
        <v/>
      </c>
    </row>
    <row r="13">
      <c r="A13" s="221" t="inlineStr">
        <is>
          <t>1</t>
        </is>
      </c>
      <c r="B13" s="221" t="n"/>
      <c r="C13" s="221" t="inlineStr">
        <is>
          <t>1-4-2</t>
        </is>
      </c>
      <c r="D13" s="252" t="inlineStr">
        <is>
          <t>Затраты труда рабочих (ср 4,2)</t>
        </is>
      </c>
      <c r="E13" s="7" t="inlineStr">
        <is>
          <t>чел.час</t>
        </is>
      </c>
      <c r="F13" s="175" t="n">
        <v>489.5998</v>
      </c>
      <c r="G13" s="157" t="n">
        <v>9.92</v>
      </c>
      <c r="H13" s="32">
        <f>ROUND(F13*G13,2)</f>
        <v/>
      </c>
      <c r="J13" s="159" t="n"/>
      <c r="K13" s="158" t="n"/>
      <c r="L13" s="158" t="n"/>
    </row>
    <row r="14">
      <c r="A14" s="324" t="inlineStr">
        <is>
          <t>Затраты труда машинистов</t>
        </is>
      </c>
      <c r="B14" s="322" t="n"/>
      <c r="C14" s="322" t="n"/>
      <c r="D14" s="323" t="n"/>
      <c r="E14" s="273" t="n"/>
      <c r="F14" s="161" t="n"/>
      <c r="G14" s="157" t="n"/>
      <c r="H14" s="173">
        <f>H15</f>
        <v/>
      </c>
      <c r="L14" s="158" t="n"/>
    </row>
    <row r="15">
      <c r="A15" s="221">
        <f>A13+1</f>
        <v/>
      </c>
      <c r="B15" s="170" t="n"/>
      <c r="C15" s="221" t="n">
        <v>2</v>
      </c>
      <c r="D15" s="252" t="inlineStr">
        <is>
          <t>Затраты труда машинистов</t>
        </is>
      </c>
      <c r="E15" s="253" t="inlineStr">
        <is>
          <t>чел.час</t>
        </is>
      </c>
      <c r="F15" s="177" t="n">
        <v>107.85</v>
      </c>
      <c r="G15" s="272" t="n"/>
      <c r="H15" s="178" t="n">
        <v>2540.87</v>
      </c>
    </row>
    <row r="16" ht="15" customHeight="1" s="198">
      <c r="A16" s="242" t="inlineStr">
        <is>
          <t>Машины и механизмы</t>
        </is>
      </c>
      <c r="B16" s="318" t="n"/>
      <c r="C16" s="318" t="n"/>
      <c r="D16" s="319" t="n"/>
      <c r="E16" s="156" t="n"/>
      <c r="F16" s="156" t="n"/>
      <c r="G16" s="156" t="n"/>
      <c r="H16" s="174">
        <f>SUM(H17:H18)</f>
        <v/>
      </c>
      <c r="K16" s="158" t="n"/>
    </row>
    <row r="17" ht="25.5" customHeight="1" s="198">
      <c r="A17" s="253">
        <f>A15+1</f>
        <v/>
      </c>
      <c r="B17" s="221" t="n"/>
      <c r="C17" s="221" t="inlineStr">
        <is>
          <t>91.09.01-011</t>
        </is>
      </c>
      <c r="D17" s="252" t="inlineStr">
        <is>
          <t>Автомотрисы: для работы на контактной сети, мощность 243 кВт (330 л.с.) (АКС)</t>
        </is>
      </c>
      <c r="E17" s="253" t="inlineStr">
        <is>
          <t>маш.час</t>
        </is>
      </c>
      <c r="F17" s="253" t="n">
        <v>101.23</v>
      </c>
      <c r="G17" s="255" t="n">
        <v>425.57</v>
      </c>
      <c r="H17" s="32">
        <f>ROUND(F17*G17,2)</f>
        <v/>
      </c>
      <c r="I17" s="162">
        <f>H17/$H$16</f>
        <v/>
      </c>
    </row>
    <row r="18">
      <c r="A18" s="253">
        <f>A17+1</f>
        <v/>
      </c>
      <c r="B18" s="221" t="n"/>
      <c r="C18" s="221" t="inlineStr">
        <is>
          <t>91.09.03-035</t>
        </is>
      </c>
      <c r="D18" s="252" t="inlineStr">
        <is>
          <t>Платформы широкой колеи 71 т</t>
        </is>
      </c>
      <c r="E18" s="253" t="inlineStr">
        <is>
          <t>маш.час</t>
        </is>
      </c>
      <c r="F18" s="253" t="n">
        <v>6.62</v>
      </c>
      <c r="G18" s="255" t="n">
        <v>16.64</v>
      </c>
      <c r="H18" s="32">
        <f>ROUND(F18*G18,2)</f>
        <v/>
      </c>
      <c r="I18" s="162">
        <f>H18/$H$16</f>
        <v/>
      </c>
    </row>
    <row r="19" ht="15" customHeight="1" s="198">
      <c r="A19" s="243" t="inlineStr">
        <is>
          <t>Оборудование</t>
        </is>
      </c>
      <c r="B19" s="318" t="n"/>
      <c r="C19" s="318" t="n"/>
      <c r="D19" s="319" t="n"/>
      <c r="E19" s="163" t="n"/>
      <c r="F19" s="164" t="n"/>
      <c r="G19" s="157" t="n"/>
      <c r="H19" s="176" t="n"/>
      <c r="I19" s="162" t="n"/>
    </row>
    <row r="20" ht="15" customHeight="1" s="198">
      <c r="A20" s="242" t="inlineStr">
        <is>
          <t>Материалы</t>
        </is>
      </c>
      <c r="B20" s="318" t="n"/>
      <c r="C20" s="318" t="n"/>
      <c r="D20" s="319" t="n"/>
      <c r="E20" s="169" t="n"/>
      <c r="F20" s="169" t="n"/>
      <c r="G20" s="156" t="n"/>
      <c r="H20" s="174">
        <f>SUM(H21:H26)</f>
        <v/>
      </c>
    </row>
    <row r="21" ht="25.5" customHeight="1" s="198">
      <c r="A21" s="253" t="n">
        <v>5</v>
      </c>
      <c r="B21" s="221" t="n"/>
      <c r="C21" s="221" t="inlineStr">
        <is>
          <t>Прайс из СД ОП</t>
        </is>
      </c>
      <c r="D21" s="252" t="inlineStr">
        <is>
          <t>Провода изолированные для воздушных линий СИП-3 1х35</t>
        </is>
      </c>
      <c r="E21" s="253" t="inlineStr">
        <is>
          <t>км</t>
        </is>
      </c>
      <c r="F21" s="253" t="n">
        <v>1</v>
      </c>
      <c r="G21" s="255" t="n">
        <v>6072.35</v>
      </c>
      <c r="H21" s="32">
        <f>ROUND(F21*G21,2)</f>
        <v/>
      </c>
      <c r="I21" s="162">
        <f>H21/$H$20</f>
        <v/>
      </c>
    </row>
    <row r="22" ht="15" customHeight="1" s="198">
      <c r="A22" s="253" t="n">
        <v>6</v>
      </c>
      <c r="B22" s="242" t="n"/>
      <c r="C22" s="221" t="inlineStr">
        <is>
          <t>25.2.02.08-0004</t>
        </is>
      </c>
      <c r="D22" s="252" t="inlineStr">
        <is>
          <t>Узел крепления: кронштейна оцинкованный</t>
        </is>
      </c>
      <c r="E22" s="253" t="inlineStr">
        <is>
          <t>шт</t>
        </is>
      </c>
      <c r="F22" s="253" t="n">
        <v>20.6</v>
      </c>
      <c r="G22" s="255" t="n">
        <v>143.94</v>
      </c>
      <c r="H22" s="32">
        <f>ROUND(F22*G22,2)</f>
        <v/>
      </c>
      <c r="I22" s="162">
        <f>H22/$H$20</f>
        <v/>
      </c>
    </row>
    <row r="23">
      <c r="A23" s="253">
        <f>A22+1</f>
        <v/>
      </c>
      <c r="B23" s="221" t="n"/>
      <c r="C23" s="221" t="inlineStr">
        <is>
          <t>20.2.02.01-0002</t>
        </is>
      </c>
      <c r="D23" s="252" t="inlineStr">
        <is>
          <t>Втулка полиэтиленовая изолированная</t>
        </is>
      </c>
      <c r="E23" s="253" t="inlineStr">
        <is>
          <t>шт</t>
        </is>
      </c>
      <c r="F23" s="253" t="n">
        <v>82.40000000000001</v>
      </c>
      <c r="G23" s="255" t="n">
        <v>7.87</v>
      </c>
      <c r="H23" s="32">
        <f>ROUND(F23*G23,2)</f>
        <v/>
      </c>
      <c r="I23" s="162">
        <f>H23/$H$20</f>
        <v/>
      </c>
    </row>
    <row r="24">
      <c r="A24" s="253">
        <f>A23+1</f>
        <v/>
      </c>
      <c r="B24" s="221" t="n"/>
      <c r="C24" s="221" t="inlineStr">
        <is>
          <t>25.2.01.21-0041</t>
        </is>
      </c>
      <c r="D24" s="252" t="inlineStr">
        <is>
          <t>Замок 078-1</t>
        </is>
      </c>
      <c r="E24" s="253" t="inlineStr">
        <is>
          <t>100 шт</t>
        </is>
      </c>
      <c r="F24" s="253" t="n">
        <v>0.206</v>
      </c>
      <c r="G24" s="255" t="n">
        <v>791</v>
      </c>
      <c r="H24" s="32">
        <f>ROUND(F24*G24,2)</f>
        <v/>
      </c>
      <c r="I24" s="162">
        <f>H24/$H$20</f>
        <v/>
      </c>
    </row>
    <row r="25">
      <c r="A25" s="253">
        <f>A24+1</f>
        <v/>
      </c>
      <c r="B25" s="221" t="n"/>
      <c r="C25" s="221" t="inlineStr">
        <is>
          <t>25.2.01.04-0003</t>
        </is>
      </c>
      <c r="D25" s="252" t="inlineStr">
        <is>
          <t>Вкладыш седловой 067-1</t>
        </is>
      </c>
      <c r="E25" s="253" t="inlineStr">
        <is>
          <t>100 шт</t>
        </is>
      </c>
      <c r="F25" s="253" t="n">
        <v>0.206</v>
      </c>
      <c r="G25" s="255" t="n">
        <v>369</v>
      </c>
      <c r="H25" s="32">
        <f>ROUND(F25*G25,2)</f>
        <v/>
      </c>
      <c r="I25" s="162" t="n"/>
    </row>
    <row r="26" ht="25.5" customHeight="1" s="198">
      <c r="A26" s="253">
        <f>A25+1</f>
        <v/>
      </c>
      <c r="B26" s="221" t="n"/>
      <c r="C26" s="221" t="inlineStr">
        <is>
          <t>999-9950</t>
        </is>
      </c>
      <c r="D26" s="252" t="inlineStr">
        <is>
          <t>Вспомогательные ненормируемые ресурсы (2% от Оплаты труда рабочих)</t>
        </is>
      </c>
      <c r="E26" s="253" t="inlineStr">
        <is>
          <t>руб.</t>
        </is>
      </c>
      <c r="F26" s="253" t="n">
        <v>60.71</v>
      </c>
      <c r="G26" s="255" t="n">
        <v>1</v>
      </c>
      <c r="H26" s="32">
        <f>ROUND(F26*G26,2)</f>
        <v/>
      </c>
      <c r="I26" s="162" t="n"/>
    </row>
    <row r="27" ht="25.5" customHeight="1" s="198">
      <c r="B27" s="165" t="inlineStr">
        <is>
          <t xml:space="preserve">Примечание: </t>
        </is>
      </c>
      <c r="C27" s="247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29" ht="14.25" customFormat="1" customHeight="1" s="208">
      <c r="A29" s="199" t="inlineStr">
        <is>
          <t>Составил ______________________    Д.Ю. Нефедова</t>
        </is>
      </c>
    </row>
    <row r="30" ht="14.25" customFormat="1" customHeight="1" s="208">
      <c r="A30" s="209" t="inlineStr">
        <is>
          <t xml:space="preserve">                         (подпись, инициалы, фамилия)</t>
        </is>
      </c>
    </row>
    <row r="31" ht="14.25" customFormat="1" customHeight="1" s="208">
      <c r="A31" s="199" t="n"/>
    </row>
    <row r="32" ht="14.25" customFormat="1" customHeight="1" s="208">
      <c r="A32" s="199" t="inlineStr">
        <is>
          <t>Проверил ______________________        А.В. Костянецкая</t>
        </is>
      </c>
    </row>
    <row r="33" ht="14.25" customFormat="1" customHeight="1" s="208">
      <c r="A33" s="209" t="inlineStr">
        <is>
          <t xml:space="preserve">                        (подпись, инициалы, фамилия)</t>
        </is>
      </c>
    </row>
  </sheetData>
  <mergeCells count="17">
    <mergeCell ref="C9:C10"/>
    <mergeCell ref="B9:B10"/>
    <mergeCell ref="D9:D10"/>
    <mergeCell ref="E9:E10"/>
    <mergeCell ref="A6:F7"/>
    <mergeCell ref="F9:F10"/>
    <mergeCell ref="A9:A10"/>
    <mergeCell ref="C27:H27"/>
    <mergeCell ref="A12:D12"/>
    <mergeCell ref="A2:H2"/>
    <mergeCell ref="A20:D20"/>
    <mergeCell ref="A3:I3"/>
    <mergeCell ref="A16:D16"/>
    <mergeCell ref="A19:D19"/>
    <mergeCell ref="C4:H4"/>
    <mergeCell ref="G9:H9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B46" sqref="B46"/>
    </sheetView>
  </sheetViews>
  <sheetFormatPr baseColWidth="8" defaultRowHeight="15"/>
  <cols>
    <col width="4.140625" customWidth="1" style="198" min="1" max="1"/>
    <col width="36.28515625" customWidth="1" style="198" min="2" max="2"/>
    <col width="18.85546875" customWidth="1" style="198" min="3" max="3"/>
    <col width="18.28515625" customWidth="1" style="198" min="4" max="4"/>
    <col width="18.85546875" customWidth="1" style="198" min="5" max="5"/>
    <col width="9.140625" customWidth="1" style="198" min="6" max="6"/>
    <col width="12.85546875" customWidth="1" style="198" min="7" max="7"/>
    <col width="9.140625" customWidth="1" style="198" min="8" max="11"/>
    <col width="13.5703125" customWidth="1" style="198" min="12" max="12"/>
    <col width="9.140625" customWidth="1" style="198" min="13" max="13"/>
  </cols>
  <sheetData>
    <row r="1">
      <c r="B1" s="199" t="n"/>
      <c r="C1" s="199" t="n"/>
      <c r="D1" s="199" t="n"/>
      <c r="E1" s="199" t="n"/>
    </row>
    <row r="2">
      <c r="B2" s="199" t="n"/>
      <c r="C2" s="199" t="n"/>
      <c r="D2" s="199" t="n"/>
      <c r="E2" s="268" t="inlineStr">
        <is>
          <t>Приложение № 4</t>
        </is>
      </c>
    </row>
    <row r="3">
      <c r="B3" s="199" t="n"/>
      <c r="C3" s="199" t="n"/>
      <c r="D3" s="199" t="n"/>
      <c r="E3" s="199" t="n"/>
    </row>
    <row r="4">
      <c r="B4" s="199" t="n"/>
      <c r="C4" s="199" t="n"/>
      <c r="D4" s="199" t="n"/>
      <c r="E4" s="199" t="n"/>
    </row>
    <row r="5">
      <c r="B5" s="222" t="inlineStr">
        <is>
          <t>Ресурсная модель</t>
        </is>
      </c>
    </row>
    <row r="6">
      <c r="B6" s="140" t="n"/>
      <c r="C6" s="199" t="n"/>
      <c r="D6" s="199" t="n"/>
      <c r="E6" s="199" t="n"/>
    </row>
    <row r="7" ht="25.5" customHeight="1" s="198">
      <c r="B7" s="250" t="inlineStr">
        <is>
          <t>Наименование разрабатываемого показателя УНЦ — УНЦ провода СИП ВЛ 0,4-35 кВ (СИП-3)</t>
        </is>
      </c>
    </row>
    <row r="8">
      <c r="B8" s="251" t="inlineStr">
        <is>
          <t>Единица измерения  — 1 ед</t>
        </is>
      </c>
    </row>
    <row r="9">
      <c r="B9" s="140" t="n"/>
      <c r="C9" s="199" t="n"/>
      <c r="D9" s="199" t="n"/>
      <c r="E9" s="199" t="n"/>
    </row>
    <row r="10" ht="51" customHeight="1" s="198">
      <c r="B10" s="253" t="inlineStr">
        <is>
          <t>Наименование</t>
        </is>
      </c>
      <c r="C10" s="253" t="inlineStr">
        <is>
          <t>Сметная стоимость в ценах на 01.01.2023
 (руб.)</t>
        </is>
      </c>
      <c r="D10" s="253" t="inlineStr">
        <is>
          <t>Удельный вес, 
(в СМР)</t>
        </is>
      </c>
      <c r="E10" s="25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04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04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04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04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04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04">
        <f>'Прил.5 Расчет СМР и ОБ'!J35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04">
        <f>'Прил.5 Расчет СМР и ОБ'!J40</f>
        <v/>
      </c>
      <c r="D17" s="27">
        <f>C17/$C$24</f>
        <v/>
      </c>
      <c r="E17" s="27">
        <f>C17/$C$40</f>
        <v/>
      </c>
      <c r="G17" s="142" t="n"/>
    </row>
    <row r="18">
      <c r="B18" s="25" t="inlineStr">
        <is>
          <t>МАТЕРИАЛЫ, ВСЕГО:</t>
        </is>
      </c>
      <c r="C18" s="204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04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04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ОБ'!D44</f>
        <v/>
      </c>
      <c r="D21" s="27" t="n"/>
      <c r="E21" s="25" t="n"/>
    </row>
    <row r="22">
      <c r="B22" s="25" t="inlineStr">
        <is>
          <t>Накладные расходы, руб.</t>
        </is>
      </c>
      <c r="C22" s="204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ОБ'!D43</f>
        <v/>
      </c>
      <c r="D23" s="27" t="n"/>
      <c r="E23" s="25" t="n"/>
    </row>
    <row r="24">
      <c r="B24" s="25" t="inlineStr">
        <is>
          <t>ВСЕГО СМР с НР и СП</t>
        </is>
      </c>
      <c r="C24" s="204">
        <f>C19+C20+C22</f>
        <v/>
      </c>
      <c r="D24" s="27">
        <f>C24/$C$24</f>
        <v/>
      </c>
      <c r="E24" s="27">
        <f>C24/$C$40</f>
        <v/>
      </c>
    </row>
    <row r="25" ht="25.5" customHeight="1" s="198">
      <c r="B25" s="25" t="inlineStr">
        <is>
          <t>ВСЕГО стоимость оборудования, в том числе</t>
        </is>
      </c>
      <c r="C25" s="204">
        <f>'Прил.5 Расчет СМР и ОБ'!J29</f>
        <v/>
      </c>
      <c r="D25" s="27" t="n"/>
      <c r="E25" s="27">
        <f>C25/$C$40</f>
        <v/>
      </c>
    </row>
    <row r="26" ht="25.5" customHeight="1" s="198">
      <c r="B26" s="25" t="inlineStr">
        <is>
          <t>стоимость оборудования технологического</t>
        </is>
      </c>
      <c r="C26" s="204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198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198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 t="n">
        <v>0.025</v>
      </c>
    </row>
    <row r="30" ht="38.25" customHeight="1" s="198">
      <c r="B30" s="25" t="inlineStr">
        <is>
          <t>Дополнительные затраты при производстве строительно-монтажных работ в зимнее время - 1,9%</t>
        </is>
      </c>
      <c r="C30" s="26">
        <f>ROUND((C24+C29)*1.9%,2)</f>
        <v/>
      </c>
      <c r="D30" s="25" t="n"/>
      <c r="E30" s="27" t="n">
        <v>0.019</v>
      </c>
    </row>
    <row r="31" ht="25.5" customHeight="1" s="198">
      <c r="B31" s="25" t="inlineStr">
        <is>
          <t>Пусконаладочные работы (на основании СД ОП)</t>
        </is>
      </c>
      <c r="C31" s="26" t="n">
        <v>0</v>
      </c>
      <c r="D31" s="25" t="n"/>
      <c r="E31" s="27">
        <f>C31/$C$40</f>
        <v/>
      </c>
    </row>
    <row r="32" ht="25.5" customHeight="1" s="198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198">
      <c r="B33" s="25" t="inlineStr">
        <is>
          <t>Затраты, связанные с осуществлением работ вахтовым методом</t>
        </is>
      </c>
      <c r="C33" s="26" t="n">
        <v>0</v>
      </c>
      <c r="D33" s="25" t="n"/>
      <c r="E33" s="27">
        <f>C33/$C$40</f>
        <v/>
      </c>
    </row>
    <row r="34" ht="51" customHeight="1" s="198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198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198">
      <c r="B36" s="25" t="inlineStr">
        <is>
          <t>Строительный контроль и содержание службы заказчика - 2,14%</t>
        </is>
      </c>
      <c r="C36" s="26">
        <f>ROUND((C27+C29+C31+C30+C32+C33+C34+C35)*2.14%,2)</f>
        <v/>
      </c>
      <c r="D36" s="25" t="n"/>
      <c r="E36" s="27">
        <f>C36/$C$40</f>
        <v/>
      </c>
      <c r="L36" s="143" t="n"/>
    </row>
    <row r="37">
      <c r="B37" s="25" t="inlineStr">
        <is>
          <t>Авторский надзор - 0,2%</t>
        </is>
      </c>
      <c r="C37" s="26">
        <f>ROUND((C27+C29+C30+C31+C32+C33+C34+C35)*0.2%,2)</f>
        <v/>
      </c>
      <c r="D37" s="25" t="n"/>
      <c r="E37" s="27">
        <f>C37/$C$40</f>
        <v/>
      </c>
      <c r="L37" s="143" t="n"/>
    </row>
    <row r="38" ht="38.25" customHeight="1" s="198">
      <c r="B38" s="25" t="inlineStr">
        <is>
          <t>ИТОГО (СМР+ОБОРУДОВАНИЕ+ПРОЧ. ЗАТР., УЧТЕННЫЕ ПОКАЗАТЕЛЕМ)</t>
        </is>
      </c>
      <c r="C38" s="204">
        <f>C36+C30+C27+C29+C31+C37+C32+C33+C34+C35</f>
        <v/>
      </c>
      <c r="D38" s="25" t="n"/>
      <c r="E38" s="27">
        <f>C38/$C$40</f>
        <v/>
      </c>
    </row>
    <row r="39" ht="13.5" customHeight="1" s="198">
      <c r="B39" s="25" t="inlineStr">
        <is>
          <t>Непредвиденные расходы</t>
        </is>
      </c>
      <c r="C39" s="204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04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04">
        <f>C40/'Прил.5 Расчет СМР и ОБ'!E47</f>
        <v/>
      </c>
      <c r="D41" s="25" t="n"/>
      <c r="E41" s="25" t="n"/>
    </row>
    <row r="42">
      <c r="B42" s="205" t="n"/>
      <c r="C42" s="199" t="n"/>
      <c r="D42" s="199" t="n"/>
      <c r="E42" s="199" t="n"/>
    </row>
    <row r="43">
      <c r="B43" s="205" t="inlineStr">
        <is>
          <t>Составил ____________________________ Д.Ю. Нефедова</t>
        </is>
      </c>
      <c r="C43" s="199" t="n"/>
      <c r="D43" s="199" t="n"/>
      <c r="E43" s="199" t="n"/>
    </row>
    <row r="44">
      <c r="B44" s="205" t="inlineStr">
        <is>
          <t xml:space="preserve">(должность, подпись, инициалы, фамилия) </t>
        </is>
      </c>
      <c r="C44" s="199" t="n"/>
      <c r="D44" s="199" t="n"/>
      <c r="E44" s="199" t="n"/>
    </row>
    <row r="45">
      <c r="B45" s="205" t="n"/>
      <c r="C45" s="199" t="n"/>
      <c r="D45" s="199" t="n"/>
      <c r="E45" s="199" t="n"/>
    </row>
    <row r="46">
      <c r="B46" s="205" t="inlineStr">
        <is>
          <t>Проверил ____________________________ А.В. Костянецкая</t>
        </is>
      </c>
      <c r="C46" s="199" t="n"/>
      <c r="D46" s="199" t="n"/>
      <c r="E46" s="199" t="n"/>
    </row>
    <row r="47">
      <c r="B47" s="251" t="inlineStr">
        <is>
          <t>(должность, подпись, инициалы, фамилия)</t>
        </is>
      </c>
      <c r="D47" s="199" t="n"/>
      <c r="E47" s="199" t="n"/>
    </row>
    <row r="49">
      <c r="B49" s="199" t="n"/>
      <c r="C49" s="199" t="n"/>
      <c r="D49" s="199" t="n"/>
      <c r="E49" s="199" t="n"/>
    </row>
    <row r="50">
      <c r="B50" s="199" t="n"/>
      <c r="C50" s="199" t="n"/>
      <c r="D50" s="199" t="n"/>
      <c r="E50" s="19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view="pageBreakPreview" topLeftCell="A40" workbookViewId="0">
      <selection activeCell="B54" sqref="B54"/>
    </sheetView>
  </sheetViews>
  <sheetFormatPr baseColWidth="8" defaultColWidth="9.140625" defaultRowHeight="15" outlineLevelRow="1"/>
  <cols>
    <col width="5.7109375" customWidth="1" style="208" min="1" max="1"/>
    <col width="22.5703125" customWidth="1" style="208" min="2" max="2"/>
    <col width="39.140625" customWidth="1" style="208" min="3" max="3"/>
    <col width="10.7109375" customWidth="1" style="208" min="4" max="4"/>
    <col width="12.7109375" customWidth="1" style="208" min="5" max="5"/>
    <col width="14.5703125" customWidth="1" style="208" min="6" max="6"/>
    <col width="13.42578125" customWidth="1" style="208" min="7" max="7"/>
    <col width="12.7109375" customWidth="1" style="208" min="8" max="8"/>
    <col width="13.85546875" customWidth="1" style="208" min="9" max="9"/>
    <col width="17.5703125" customWidth="1" style="208" min="10" max="10"/>
    <col width="10.85546875" customWidth="1" style="208" min="11" max="11"/>
    <col width="9.140625" customWidth="1" style="208" min="12" max="12"/>
  </cols>
  <sheetData>
    <row r="1">
      <c r="M1" s="208" t="n"/>
      <c r="N1" s="208" t="n"/>
    </row>
    <row r="2" ht="15.75" customHeight="1" s="198">
      <c r="H2" s="262" t="inlineStr">
        <is>
          <t>Приложение №5</t>
        </is>
      </c>
      <c r="M2" s="208" t="n"/>
      <c r="N2" s="208" t="n"/>
    </row>
    <row r="3">
      <c r="M3" s="208" t="n"/>
      <c r="N3" s="208" t="n"/>
    </row>
    <row r="4" ht="12.75" customFormat="1" customHeight="1" s="199">
      <c r="A4" s="222" t="inlineStr">
        <is>
          <t>Расчет стоимости СМР и оборудования</t>
        </is>
      </c>
    </row>
    <row r="5" ht="12.75" customFormat="1" customHeight="1" s="199">
      <c r="A5" s="222" t="n"/>
      <c r="B5" s="222" t="n"/>
      <c r="C5" s="275" t="n"/>
      <c r="D5" s="222" t="n"/>
      <c r="E5" s="222" t="n"/>
      <c r="F5" s="222" t="n"/>
      <c r="G5" s="222" t="n"/>
      <c r="H5" s="222" t="n"/>
      <c r="I5" s="222" t="n"/>
      <c r="J5" s="222" t="n"/>
    </row>
    <row r="6" ht="30" customFormat="1" customHeight="1" s="199">
      <c r="A6" s="182" t="inlineStr">
        <is>
          <t>Наименование разрабатываемого показателя УНЦ</t>
        </is>
      </c>
      <c r="B6" s="181" t="n"/>
      <c r="C6" s="181" t="n"/>
      <c r="D6" s="267" t="inlineStr">
        <is>
          <t>Провод СИП ВЛ 0,4-35 кВ, тип провода СИП-3, количество фазных проводов 1 шт., сечение фазного провода 35 мм2</t>
        </is>
      </c>
    </row>
    <row r="7" ht="12.75" customFormat="1" customHeight="1" s="199">
      <c r="A7" s="225" t="inlineStr">
        <is>
          <t>Единица измерения  — 1 км</t>
        </is>
      </c>
      <c r="I7" s="250" t="n"/>
      <c r="J7" s="250" t="n"/>
    </row>
    <row r="8" ht="13.5" customFormat="1" customHeight="1" s="199">
      <c r="A8" s="225" t="n"/>
    </row>
    <row r="9" ht="13.15" customFormat="1" customHeight="1" s="199"/>
    <row r="10" ht="27" customHeight="1" s="198">
      <c r="A10" s="253" t="inlineStr">
        <is>
          <t>№ пп.</t>
        </is>
      </c>
      <c r="B10" s="253" t="inlineStr">
        <is>
          <t>Код ресурса</t>
        </is>
      </c>
      <c r="C10" s="253" t="inlineStr">
        <is>
          <t>Наименование</t>
        </is>
      </c>
      <c r="D10" s="253" t="inlineStr">
        <is>
          <t>Ед. изм.</t>
        </is>
      </c>
      <c r="E10" s="253" t="inlineStr">
        <is>
          <t>Кол-во единиц по проектным данным</t>
        </is>
      </c>
      <c r="F10" s="253" t="inlineStr">
        <is>
          <t>Сметная стоимость в ценах на 01.01.2000 (руб.)</t>
        </is>
      </c>
      <c r="G10" s="319" t="n"/>
      <c r="H10" s="253" t="inlineStr">
        <is>
          <t>Удельный вес, %</t>
        </is>
      </c>
      <c r="I10" s="253" t="inlineStr">
        <is>
          <t>Сметная стоимость в ценах на 01.01.2023 (руб.)</t>
        </is>
      </c>
      <c r="J10" s="319" t="n"/>
      <c r="M10" s="208" t="n"/>
      <c r="N10" s="208" t="n"/>
    </row>
    <row r="11" ht="28.5" customHeight="1" s="198">
      <c r="A11" s="321" t="n"/>
      <c r="B11" s="321" t="n"/>
      <c r="C11" s="321" t="n"/>
      <c r="D11" s="321" t="n"/>
      <c r="E11" s="321" t="n"/>
      <c r="F11" s="253" t="inlineStr">
        <is>
          <t>на ед. изм.</t>
        </is>
      </c>
      <c r="G11" s="253" t="inlineStr">
        <is>
          <t>общая</t>
        </is>
      </c>
      <c r="H11" s="321" t="n"/>
      <c r="I11" s="253" t="inlineStr">
        <is>
          <t>на ед. изм.</t>
        </is>
      </c>
      <c r="J11" s="253" t="inlineStr">
        <is>
          <t>общая</t>
        </is>
      </c>
      <c r="M11" s="208" t="n"/>
      <c r="N11" s="208" t="n"/>
    </row>
    <row r="12">
      <c r="A12" s="253" t="n"/>
      <c r="B12" s="253" t="n">
        <v>2</v>
      </c>
      <c r="C12" s="253" t="n">
        <v>3</v>
      </c>
      <c r="D12" s="253" t="n">
        <v>4</v>
      </c>
      <c r="E12" s="253" t="n">
        <v>5</v>
      </c>
      <c r="F12" s="253" t="n">
        <v>6</v>
      </c>
      <c r="G12" s="253" t="n">
        <v>7</v>
      </c>
      <c r="H12" s="253" t="n">
        <v>8</v>
      </c>
      <c r="I12" s="265" t="n">
        <v>9</v>
      </c>
      <c r="J12" s="265" t="n">
        <v>10</v>
      </c>
      <c r="M12" s="208" t="n"/>
      <c r="N12" s="208" t="n"/>
    </row>
    <row r="13">
      <c r="A13" s="253" t="n"/>
      <c r="B13" s="257" t="inlineStr">
        <is>
          <t>Затраты труда рабочих-строителей</t>
        </is>
      </c>
      <c r="C13" s="318" t="n"/>
      <c r="D13" s="318" t="n"/>
      <c r="E13" s="318" t="n"/>
      <c r="F13" s="318" t="n"/>
      <c r="G13" s="318" t="n"/>
      <c r="H13" s="319" t="n"/>
      <c r="I13" s="184" t="n"/>
      <c r="J13" s="184" t="n"/>
    </row>
    <row r="14" ht="25.5" customHeight="1" s="198">
      <c r="A14" s="253" t="n">
        <v>1</v>
      </c>
      <c r="B14" s="221" t="inlineStr">
        <is>
          <t>1-4-2</t>
        </is>
      </c>
      <c r="C14" s="252" t="inlineStr">
        <is>
          <t>Затраты труда рабочих-строителей среднего разряда (4,2)</t>
        </is>
      </c>
      <c r="D14" s="253" t="inlineStr">
        <is>
          <t>чел.-ч.</t>
        </is>
      </c>
      <c r="E14" s="185">
        <f>G14/F14</f>
        <v/>
      </c>
      <c r="F14" s="32" t="n">
        <v>9.92</v>
      </c>
      <c r="G14" s="32">
        <f>'Прил. 3'!H13</f>
        <v/>
      </c>
      <c r="H14" s="186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08">
      <c r="A15" s="253" t="n"/>
      <c r="B15" s="253" t="n"/>
      <c r="C15" s="257" t="inlineStr">
        <is>
          <t>Итого по разделу "Затраты труда рабочих-строителей"</t>
        </is>
      </c>
      <c r="D15" s="253" t="inlineStr">
        <is>
          <t>чел.-ч.</t>
        </is>
      </c>
      <c r="E15" s="185">
        <f>SUM(E14:E14)</f>
        <v/>
      </c>
      <c r="F15" s="32" t="n"/>
      <c r="G15" s="32">
        <f>SUM(G14:G14)</f>
        <v/>
      </c>
      <c r="H15" s="256" t="n">
        <v>1</v>
      </c>
      <c r="I15" s="184" t="n"/>
      <c r="J15" s="32">
        <f>SUM(J14:J14)</f>
        <v/>
      </c>
    </row>
    <row r="16" ht="14.25" customFormat="1" customHeight="1" s="208">
      <c r="A16" s="253" t="n"/>
      <c r="B16" s="252" t="inlineStr">
        <is>
          <t>Затраты труда машинистов</t>
        </is>
      </c>
      <c r="C16" s="318" t="n"/>
      <c r="D16" s="318" t="n"/>
      <c r="E16" s="318" t="n"/>
      <c r="F16" s="318" t="n"/>
      <c r="G16" s="318" t="n"/>
      <c r="H16" s="319" t="n"/>
      <c r="I16" s="184" t="n"/>
      <c r="J16" s="184" t="n"/>
    </row>
    <row r="17" ht="14.25" customFormat="1" customHeight="1" s="208">
      <c r="A17" s="253" t="n">
        <v>2</v>
      </c>
      <c r="B17" s="253" t="n">
        <v>2</v>
      </c>
      <c r="C17" s="252" t="inlineStr">
        <is>
          <t>Затраты труда машинистов</t>
        </is>
      </c>
      <c r="D17" s="253" t="inlineStr">
        <is>
          <t>чел.-ч.</t>
        </is>
      </c>
      <c r="E17" s="185">
        <f>'Прил. 3'!F15</f>
        <v/>
      </c>
      <c r="F17" s="32">
        <f>G17/E17</f>
        <v/>
      </c>
      <c r="G17" s="32">
        <f>'Прил. 3'!H15</f>
        <v/>
      </c>
      <c r="H17" s="256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208">
      <c r="A18" s="253" t="n"/>
      <c r="B18" s="257" t="inlineStr">
        <is>
          <t>Машины и механизмы</t>
        </is>
      </c>
      <c r="C18" s="318" t="n"/>
      <c r="D18" s="318" t="n"/>
      <c r="E18" s="318" t="n"/>
      <c r="F18" s="318" t="n"/>
      <c r="G18" s="318" t="n"/>
      <c r="H18" s="319" t="n"/>
      <c r="I18" s="184" t="n"/>
      <c r="J18" s="184" t="n"/>
    </row>
    <row r="19" ht="14.25" customFormat="1" customHeight="1" s="208">
      <c r="A19" s="253" t="n"/>
      <c r="B19" s="252" t="inlineStr">
        <is>
          <t>Основные машины и механизмы</t>
        </is>
      </c>
      <c r="C19" s="318" t="n"/>
      <c r="D19" s="318" t="n"/>
      <c r="E19" s="318" t="n"/>
      <c r="F19" s="318" t="n"/>
      <c r="G19" s="318" t="n"/>
      <c r="H19" s="319" t="n"/>
      <c r="I19" s="184" t="n"/>
      <c r="J19" s="184" t="n"/>
    </row>
    <row r="20" ht="25.5" customFormat="1" customHeight="1" s="208">
      <c r="A20" s="253" t="n">
        <v>3</v>
      </c>
      <c r="B20" s="221" t="inlineStr">
        <is>
          <t>91.09.01-011</t>
        </is>
      </c>
      <c r="C20" s="252" t="inlineStr">
        <is>
          <t>Автомотрисы: для работы на контактной сети, мощность 243 кВт (330 л.с.) (АКС)</t>
        </is>
      </c>
      <c r="D20" s="253" t="inlineStr">
        <is>
          <t>маш.час</t>
        </is>
      </c>
      <c r="E20" s="188" t="n">
        <v>101.23</v>
      </c>
      <c r="F20" s="255" t="n">
        <v>425.57</v>
      </c>
      <c r="G20" s="32">
        <f>ROUND(E20*F20,2)</f>
        <v/>
      </c>
      <c r="H20" s="186">
        <f>G20/$G$24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208">
      <c r="A21" s="253" t="n"/>
      <c r="B21" s="253" t="n"/>
      <c r="C21" s="252" t="inlineStr">
        <is>
          <t>Итого основные машины и механизмы</t>
        </is>
      </c>
      <c r="D21" s="253" t="n"/>
      <c r="E21" s="185" t="n"/>
      <c r="F21" s="32" t="n"/>
      <c r="G21" s="32">
        <f>SUM(G20:G20)</f>
        <v/>
      </c>
      <c r="H21" s="256">
        <f>G21/G24</f>
        <v/>
      </c>
      <c r="I21" s="189" t="n"/>
      <c r="J21" s="32">
        <f>SUM(J20:J20)</f>
        <v/>
      </c>
    </row>
    <row r="22" outlineLevel="1" ht="14.25" customFormat="1" customHeight="1" s="208">
      <c r="A22" s="253" t="n">
        <v>4</v>
      </c>
      <c r="B22" s="221" t="inlineStr">
        <is>
          <t>91.09.03-035</t>
        </is>
      </c>
      <c r="C22" s="252" t="inlineStr">
        <is>
          <t>Платформы широкой колеи 71 т</t>
        </is>
      </c>
      <c r="D22" s="253" t="inlineStr">
        <is>
          <t>маш.час</t>
        </is>
      </c>
      <c r="E22" s="188" t="n">
        <v>6.62</v>
      </c>
      <c r="F22" s="255" t="n">
        <v>16.64</v>
      </c>
      <c r="G22" s="32">
        <f>ROUND(E22*F22,2)</f>
        <v/>
      </c>
      <c r="H22" s="186">
        <f>G22/$G$24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208">
      <c r="A23" s="253" t="n"/>
      <c r="B23" s="253" t="n"/>
      <c r="C23" s="252" t="inlineStr">
        <is>
          <t>Итого прочие машины и механизмы</t>
        </is>
      </c>
      <c r="D23" s="253" t="n"/>
      <c r="E23" s="254" t="n"/>
      <c r="F23" s="32" t="n"/>
      <c r="G23" s="189">
        <f>SUM(G22:G22)</f>
        <v/>
      </c>
      <c r="H23" s="186">
        <f>G23/G24</f>
        <v/>
      </c>
      <c r="I23" s="32" t="n"/>
      <c r="J23" s="32">
        <f>SUM(J22:J22)</f>
        <v/>
      </c>
    </row>
    <row r="24" ht="25.5" customFormat="1" customHeight="1" s="208">
      <c r="A24" s="253" t="n"/>
      <c r="B24" s="253" t="n"/>
      <c r="C24" s="257" t="inlineStr">
        <is>
          <t>Итого по разделу «Машины и механизмы»</t>
        </is>
      </c>
      <c r="D24" s="253" t="n"/>
      <c r="E24" s="254" t="n"/>
      <c r="F24" s="32" t="n"/>
      <c r="G24" s="32">
        <f>G23+G21</f>
        <v/>
      </c>
      <c r="H24" s="191" t="n">
        <v>1</v>
      </c>
      <c r="I24" s="192" t="n"/>
      <c r="J24" s="193">
        <f>J23+J21</f>
        <v/>
      </c>
    </row>
    <row r="25" ht="14.25" customFormat="1" customHeight="1" s="208">
      <c r="A25" s="253" t="n"/>
      <c r="B25" s="257" t="inlineStr">
        <is>
          <t>Оборудование</t>
        </is>
      </c>
      <c r="C25" s="318" t="n"/>
      <c r="D25" s="318" t="n"/>
      <c r="E25" s="318" t="n"/>
      <c r="F25" s="318" t="n"/>
      <c r="G25" s="318" t="n"/>
      <c r="H25" s="319" t="n"/>
      <c r="I25" s="184" t="n"/>
      <c r="J25" s="184" t="n"/>
    </row>
    <row r="26">
      <c r="A26" s="253" t="n"/>
      <c r="B26" s="252" t="inlineStr">
        <is>
          <t>Основное оборудование</t>
        </is>
      </c>
      <c r="C26" s="318" t="n"/>
      <c r="D26" s="318" t="n"/>
      <c r="E26" s="318" t="n"/>
      <c r="F26" s="318" t="n"/>
      <c r="G26" s="318" t="n"/>
      <c r="H26" s="319" t="n"/>
      <c r="I26" s="184" t="n"/>
      <c r="J26" s="184" t="n"/>
    </row>
    <row r="27">
      <c r="A27" s="253" t="n"/>
      <c r="B27" s="253" t="n"/>
      <c r="C27" s="252" t="inlineStr">
        <is>
          <t>Итого основное оборудование</t>
        </is>
      </c>
      <c r="D27" s="253" t="n"/>
      <c r="E27" s="185" t="n"/>
      <c r="F27" s="255" t="n"/>
      <c r="G27" s="32" t="n">
        <v>0</v>
      </c>
      <c r="H27" s="256" t="n">
        <v>0</v>
      </c>
      <c r="I27" s="189" t="n"/>
      <c r="J27" s="32" t="n">
        <v>0</v>
      </c>
    </row>
    <row r="28">
      <c r="A28" s="253" t="n"/>
      <c r="B28" s="253" t="n"/>
      <c r="C28" s="252" t="inlineStr">
        <is>
          <t>Итого прочее оборудование</t>
        </is>
      </c>
      <c r="D28" s="253" t="n"/>
      <c r="E28" s="185" t="n"/>
      <c r="F28" s="255" t="n"/>
      <c r="G28" s="32" t="n">
        <v>0</v>
      </c>
      <c r="H28" s="256" t="n">
        <v>0</v>
      </c>
      <c r="I28" s="189" t="n"/>
      <c r="J28" s="32" t="n">
        <v>0</v>
      </c>
    </row>
    <row r="29">
      <c r="A29" s="253" t="n"/>
      <c r="B29" s="253" t="n"/>
      <c r="C29" s="257" t="inlineStr">
        <is>
          <t>Итого по разделу «Оборудование»</t>
        </is>
      </c>
      <c r="D29" s="253" t="n"/>
      <c r="E29" s="254" t="n"/>
      <c r="F29" s="255" t="n"/>
      <c r="G29" s="32">
        <f>G27+G28</f>
        <v/>
      </c>
      <c r="H29" s="256" t="n">
        <v>0</v>
      </c>
      <c r="I29" s="189" t="n"/>
      <c r="J29" s="32">
        <f>J28+J27</f>
        <v/>
      </c>
    </row>
    <row r="30" ht="25.5" customHeight="1" s="198">
      <c r="A30" s="253" t="n"/>
      <c r="B30" s="253" t="n"/>
      <c r="C30" s="252" t="inlineStr">
        <is>
          <t>в том числе технологическое оборудование</t>
        </is>
      </c>
      <c r="D30" s="253" t="n"/>
      <c r="E30" s="194" t="n"/>
      <c r="F30" s="255" t="n"/>
      <c r="G30" s="32">
        <f>G29</f>
        <v/>
      </c>
      <c r="H30" s="256" t="n"/>
      <c r="I30" s="189" t="n"/>
      <c r="J30" s="32">
        <f>J29</f>
        <v/>
      </c>
    </row>
    <row r="31" ht="14.25" customFormat="1" customHeight="1" s="208">
      <c r="A31" s="253" t="n"/>
      <c r="B31" s="257" t="inlineStr">
        <is>
          <t>Материалы</t>
        </is>
      </c>
      <c r="C31" s="318" t="n"/>
      <c r="D31" s="318" t="n"/>
      <c r="E31" s="318" t="n"/>
      <c r="F31" s="318" t="n"/>
      <c r="G31" s="318" t="n"/>
      <c r="H31" s="319" t="n"/>
      <c r="I31" s="184" t="n"/>
      <c r="J31" s="184" t="n"/>
    </row>
    <row r="32" ht="14.25" customFormat="1" customHeight="1" s="208">
      <c r="A32" s="253" t="n"/>
      <c r="B32" s="252" t="inlineStr">
        <is>
          <t>Основные материалы</t>
        </is>
      </c>
      <c r="C32" s="318" t="n"/>
      <c r="D32" s="318" t="n"/>
      <c r="E32" s="318" t="n"/>
      <c r="F32" s="318" t="n"/>
      <c r="G32" s="318" t="n"/>
      <c r="H32" s="319" t="n"/>
      <c r="I32" s="184" t="n"/>
      <c r="J32" s="184" t="n"/>
    </row>
    <row r="33" ht="25.5" customFormat="1" customHeight="1" s="208">
      <c r="A33" s="253" t="n">
        <v>5</v>
      </c>
      <c r="B33" s="221" t="inlineStr">
        <is>
          <t>БЦ.103.90</t>
        </is>
      </c>
      <c r="C33" s="252" t="inlineStr">
        <is>
          <t>Провода изолированные для воздушных линий СИП-3 1х35</t>
        </is>
      </c>
      <c r="D33" s="195" t="inlineStr">
        <is>
          <t>км</t>
        </is>
      </c>
      <c r="E33" s="188" t="n">
        <v>1</v>
      </c>
      <c r="F33" s="196">
        <f>ROUND(I33/'Прил. 10'!D13,2)</f>
        <v/>
      </c>
      <c r="G33" s="32">
        <f>ROUND(E33*F33,2)</f>
        <v/>
      </c>
      <c r="H33" s="186">
        <f>G33/$G$41</f>
        <v/>
      </c>
      <c r="I33" s="32" t="n">
        <v>51696.54</v>
      </c>
      <c r="J33" s="32">
        <f>ROUND(I33*E33,2)</f>
        <v/>
      </c>
    </row>
    <row r="34" ht="25.5" customFormat="1" customHeight="1" s="208">
      <c r="A34" s="253" t="n">
        <v>6</v>
      </c>
      <c r="B34" s="221" t="inlineStr">
        <is>
          <t>25.2.02.08-0004</t>
        </is>
      </c>
      <c r="C34" s="252" t="inlineStr">
        <is>
          <t>Узел крепления: кронштейна оцинкованный</t>
        </is>
      </c>
      <c r="D34" s="253" t="inlineStr">
        <is>
          <t>шт</t>
        </is>
      </c>
      <c r="E34" s="188" t="n">
        <v>20.6</v>
      </c>
      <c r="F34" s="255" t="n">
        <v>143.94</v>
      </c>
      <c r="G34" s="32">
        <f>ROUND(E34*F34,2)</f>
        <v/>
      </c>
      <c r="H34" s="186">
        <f>G34/$G$41</f>
        <v/>
      </c>
      <c r="I34" s="32">
        <f>ROUND(F34*'Прил. 10'!$D$13,2)</f>
        <v/>
      </c>
      <c r="J34" s="32">
        <f>ROUND(I34*E34,2)</f>
        <v/>
      </c>
    </row>
    <row r="35" ht="14.25" customFormat="1" customHeight="1" s="208">
      <c r="A35" s="253" t="n"/>
      <c r="B35" s="221" t="n"/>
      <c r="C35" s="252" t="inlineStr">
        <is>
          <t>Итого основные материалы</t>
        </is>
      </c>
      <c r="D35" s="253" t="n"/>
      <c r="E35" s="185" t="n"/>
      <c r="F35" s="32" t="n"/>
      <c r="G35" s="32">
        <f>SUM(G33:G34)</f>
        <v/>
      </c>
      <c r="H35" s="186">
        <f>G35/$G$41</f>
        <v/>
      </c>
      <c r="I35" s="32" t="n"/>
      <c r="J35" s="32">
        <f>SUM(J33:J34)</f>
        <v/>
      </c>
    </row>
    <row r="36" outlineLevel="1" ht="14.25" customFormat="1" customHeight="1" s="208">
      <c r="A36" s="253" t="n">
        <v>7</v>
      </c>
      <c r="B36" s="221" t="inlineStr">
        <is>
          <t>20.2.02.01-0002</t>
        </is>
      </c>
      <c r="C36" s="252" t="inlineStr">
        <is>
          <t>Втулка полиэтиленовая изолированная</t>
        </is>
      </c>
      <c r="D36" s="253" t="inlineStr">
        <is>
          <t>шт</t>
        </is>
      </c>
      <c r="E36" s="188" t="n">
        <v>82.40000000000001</v>
      </c>
      <c r="F36" s="255" t="n">
        <v>7.87</v>
      </c>
      <c r="G36" s="32">
        <f>ROUND(E36*F36,2)</f>
        <v/>
      </c>
      <c r="H36" s="186">
        <f>G36/$G$41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208">
      <c r="A37" s="253" t="n">
        <v>8</v>
      </c>
      <c r="B37" s="221" t="inlineStr">
        <is>
          <t>25.2.01.21-0041</t>
        </is>
      </c>
      <c r="C37" s="252" t="inlineStr">
        <is>
          <t>Замок 078-1</t>
        </is>
      </c>
      <c r="D37" s="253" t="inlineStr">
        <is>
          <t>100 шт</t>
        </is>
      </c>
      <c r="E37" s="188" t="n">
        <v>0.206</v>
      </c>
      <c r="F37" s="255" t="n">
        <v>791</v>
      </c>
      <c r="G37" s="32">
        <f>ROUND(E37*F37,2)</f>
        <v/>
      </c>
      <c r="H37" s="186">
        <f>G37/$G$41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208">
      <c r="A38" s="253" t="n">
        <v>9</v>
      </c>
      <c r="B38" s="221" t="inlineStr">
        <is>
          <t>25.2.01.04-0003</t>
        </is>
      </c>
      <c r="C38" s="252" t="inlineStr">
        <is>
          <t>Вкладыш седловой 067-1</t>
        </is>
      </c>
      <c r="D38" s="253" t="inlineStr">
        <is>
          <t>100 шт</t>
        </is>
      </c>
      <c r="E38" s="188" t="n">
        <v>0.206</v>
      </c>
      <c r="F38" s="255" t="n">
        <v>369</v>
      </c>
      <c r="G38" s="32">
        <f>ROUND(E38*F38,2)</f>
        <v/>
      </c>
      <c r="H38" s="186">
        <f>G38/$G$41</f>
        <v/>
      </c>
      <c r="I38" s="32">
        <f>ROUND(F38*'Прил. 10'!$D$13,2)</f>
        <v/>
      </c>
      <c r="J38" s="32">
        <f>ROUND(I38*E38,2)</f>
        <v/>
      </c>
    </row>
    <row r="39" outlineLevel="1" ht="25.5" customFormat="1" customHeight="1" s="208">
      <c r="A39" s="253" t="n">
        <v>10</v>
      </c>
      <c r="B39" s="221" t="inlineStr">
        <is>
          <t>999-9950</t>
        </is>
      </c>
      <c r="C39" s="252" t="inlineStr">
        <is>
          <t>Вспомогательные ненормируемые ресурсы (2% от Оплаты труда рабочих)</t>
        </is>
      </c>
      <c r="D39" s="253" t="inlineStr">
        <is>
          <t>руб.</t>
        </is>
      </c>
      <c r="E39" s="188" t="n">
        <v>60.71</v>
      </c>
      <c r="F39" s="255" t="n">
        <v>1</v>
      </c>
      <c r="G39" s="32">
        <f>ROUND(E39*F39,2)</f>
        <v/>
      </c>
      <c r="H39" s="186">
        <f>G39/$G$41</f>
        <v/>
      </c>
      <c r="I39" s="32">
        <f>ROUND(F39*'Прил. 10'!$D$13,2)</f>
        <v/>
      </c>
      <c r="J39" s="32">
        <f>ROUND(I39*E39,2)</f>
        <v/>
      </c>
    </row>
    <row r="40" ht="14.25" customFormat="1" customHeight="1" s="208">
      <c r="A40" s="253" t="n"/>
      <c r="B40" s="253" t="n"/>
      <c r="C40" s="252" t="inlineStr">
        <is>
          <t>Итого прочие материалы</t>
        </is>
      </c>
      <c r="D40" s="253" t="n"/>
      <c r="E40" s="254" t="n"/>
      <c r="F40" s="255" t="n"/>
      <c r="G40" s="32">
        <f>SUM(G36:G39)</f>
        <v/>
      </c>
      <c r="H40" s="186">
        <f>G40/$G$41</f>
        <v/>
      </c>
      <c r="I40" s="32" t="n"/>
      <c r="J40" s="32">
        <f>SUM(J36:J39)</f>
        <v/>
      </c>
    </row>
    <row r="41" ht="14.25" customFormat="1" customHeight="1" s="208">
      <c r="A41" s="253" t="n"/>
      <c r="B41" s="253" t="n"/>
      <c r="C41" s="257" t="inlineStr">
        <is>
          <t>Итого по разделу «Материалы»</t>
        </is>
      </c>
      <c r="D41" s="253" t="n"/>
      <c r="E41" s="254" t="n"/>
      <c r="F41" s="255" t="n"/>
      <c r="G41" s="32">
        <f>G35+G40</f>
        <v/>
      </c>
      <c r="H41" s="256" t="n">
        <v>1</v>
      </c>
      <c r="I41" s="32" t="n"/>
      <c r="J41" s="32">
        <f>J35+J40</f>
        <v/>
      </c>
    </row>
    <row r="42" ht="14.25" customFormat="1" customHeight="1" s="208">
      <c r="A42" s="253" t="n"/>
      <c r="B42" s="253" t="n"/>
      <c r="C42" s="252" t="inlineStr">
        <is>
          <t>ИТОГО ПО РМ</t>
        </is>
      </c>
      <c r="D42" s="253" t="n"/>
      <c r="E42" s="254" t="n"/>
      <c r="F42" s="255" t="n"/>
      <c r="G42" s="32">
        <f>G15+G24+G41</f>
        <v/>
      </c>
      <c r="H42" s="256" t="n"/>
      <c r="I42" s="32" t="n"/>
      <c r="J42" s="32">
        <f>J15+J24+J41</f>
        <v/>
      </c>
    </row>
    <row r="43" ht="14.25" customFormat="1" customHeight="1" s="208">
      <c r="A43" s="253" t="n"/>
      <c r="B43" s="253" t="n"/>
      <c r="C43" s="252" t="inlineStr">
        <is>
          <t>Накладные расходы</t>
        </is>
      </c>
      <c r="D43" s="197">
        <f>ROUND(G43/(G$17+$G$15),2)</f>
        <v/>
      </c>
      <c r="E43" s="254" t="n"/>
      <c r="F43" s="255" t="n"/>
      <c r="G43" s="32" t="n">
        <v>7027.87</v>
      </c>
      <c r="H43" s="256" t="n"/>
      <c r="I43" s="32" t="n"/>
      <c r="J43" s="32">
        <f>ROUND(D43*(J15+J17),2)</f>
        <v/>
      </c>
    </row>
    <row r="44" ht="14.25" customFormat="1" customHeight="1" s="208">
      <c r="A44" s="253" t="n"/>
      <c r="B44" s="253" t="n"/>
      <c r="C44" s="252" t="inlineStr">
        <is>
          <t>Сметная прибыль</t>
        </is>
      </c>
      <c r="D44" s="197">
        <f>ROUND(G44/(G$15+G$17),2)</f>
        <v/>
      </c>
      <c r="E44" s="254" t="n"/>
      <c r="F44" s="255" t="n"/>
      <c r="G44" s="32" t="n">
        <v>4808.54</v>
      </c>
      <c r="H44" s="256" t="n"/>
      <c r="I44" s="32" t="n"/>
      <c r="J44" s="32">
        <f>ROUND(D44*(J15+J17),2)</f>
        <v/>
      </c>
    </row>
    <row r="45" ht="14.25" customFormat="1" customHeight="1" s="208">
      <c r="A45" s="253" t="n"/>
      <c r="B45" s="253" t="n"/>
      <c r="C45" s="252" t="inlineStr">
        <is>
          <t>Итого СМР (с НР и СП)</t>
        </is>
      </c>
      <c r="D45" s="253" t="n"/>
      <c r="E45" s="254" t="n"/>
      <c r="F45" s="255" t="n"/>
      <c r="G45" s="32">
        <f>G15+G24+G41+G43+G44</f>
        <v/>
      </c>
      <c r="H45" s="256" t="n"/>
      <c r="I45" s="32" t="n"/>
      <c r="J45" s="32">
        <f>J15+J24+J41+J43+J44</f>
        <v/>
      </c>
    </row>
    <row r="46" ht="14.25" customFormat="1" customHeight="1" s="208">
      <c r="A46" s="253" t="n"/>
      <c r="B46" s="253" t="n"/>
      <c r="C46" s="252" t="inlineStr">
        <is>
          <t>ВСЕГО СМР + ОБОРУДОВАНИЕ</t>
        </is>
      </c>
      <c r="D46" s="253" t="n"/>
      <c r="E46" s="254" t="n"/>
      <c r="F46" s="255" t="n"/>
      <c r="G46" s="32">
        <f>G45+G29</f>
        <v/>
      </c>
      <c r="H46" s="256" t="n"/>
      <c r="I46" s="32" t="n"/>
      <c r="J46" s="32">
        <f>J45+J29</f>
        <v/>
      </c>
    </row>
    <row r="47" ht="34.5" customFormat="1" customHeight="1" s="208">
      <c r="A47" s="253" t="n"/>
      <c r="B47" s="253" t="n"/>
      <c r="C47" s="252" t="inlineStr">
        <is>
          <t>ИТОГО ПОКАЗАТЕЛЬ НА ЕД. ИЗМ.</t>
        </is>
      </c>
      <c r="D47" s="253" t="inlineStr">
        <is>
          <t>ед.</t>
        </is>
      </c>
      <c r="E47" s="254" t="n">
        <v>1</v>
      </c>
      <c r="F47" s="255" t="n"/>
      <c r="G47" s="32">
        <f>G46/E47</f>
        <v/>
      </c>
      <c r="H47" s="256" t="n"/>
      <c r="I47" s="32" t="n"/>
      <c r="J47" s="32">
        <f>J46/E47</f>
        <v/>
      </c>
    </row>
    <row r="49" ht="14.25" customFormat="1" customHeight="1" s="208">
      <c r="A49" s="199" t="inlineStr">
        <is>
          <t>Составил ______________________    Д.Ю. Нефедова</t>
        </is>
      </c>
    </row>
    <row r="50" ht="14.25" customFormat="1" customHeight="1" s="208">
      <c r="A50" s="209" t="inlineStr">
        <is>
          <t xml:space="preserve">                         (подпись, инициалы, фамилия)</t>
        </is>
      </c>
    </row>
    <row r="51" ht="14.25" customFormat="1" customHeight="1" s="208">
      <c r="A51" s="199" t="n"/>
    </row>
    <row r="52" ht="14.25" customFormat="1" customHeight="1" s="208">
      <c r="A52" s="199" t="inlineStr">
        <is>
          <t>Проверил ______________________        А.В. Костянецкая</t>
        </is>
      </c>
    </row>
    <row r="53" ht="14.25" customFormat="1" customHeight="1" s="208">
      <c r="A53" s="209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19" sqref="C19"/>
    </sheetView>
  </sheetViews>
  <sheetFormatPr baseColWidth="8" defaultRowHeight="15"/>
  <cols>
    <col width="5.7109375" customWidth="1" style="198" min="1" max="1"/>
    <col width="17.5703125" customWidth="1" style="198" min="2" max="2"/>
    <col width="39.140625" customWidth="1" style="198" min="3" max="3"/>
    <col width="10.7109375" customWidth="1" style="198" min="4" max="4"/>
    <col width="13.85546875" customWidth="1" style="198" min="5" max="5"/>
    <col width="13.28515625" customWidth="1" style="198" min="6" max="6"/>
    <col width="14.140625" customWidth="1" style="198" min="7" max="7"/>
  </cols>
  <sheetData>
    <row r="1">
      <c r="A1" s="268" t="inlineStr">
        <is>
          <t>Приложение №6</t>
        </is>
      </c>
    </row>
    <row r="2" ht="21.75" customHeight="1" s="198">
      <c r="A2" s="268" t="n"/>
      <c r="B2" s="268" t="n"/>
      <c r="C2" s="268" t="n"/>
      <c r="D2" s="268" t="n"/>
      <c r="E2" s="268" t="n"/>
      <c r="F2" s="268" t="n"/>
      <c r="G2" s="268" t="n"/>
    </row>
    <row r="3">
      <c r="A3" s="222" t="inlineStr">
        <is>
          <t>Расчет стоимости оборудования</t>
        </is>
      </c>
    </row>
    <row r="4" ht="25.5" customHeight="1" s="198">
      <c r="A4" s="225" t="inlineStr">
        <is>
          <t>Наименование разрабатываемого показателя УНЦ — УНЦ провода СИП ВЛ 0,4-35 кВ (СИП-3)</t>
        </is>
      </c>
    </row>
    <row r="5">
      <c r="A5" s="199" t="n"/>
      <c r="B5" s="199" t="n"/>
      <c r="C5" s="199" t="n"/>
      <c r="D5" s="199" t="n"/>
      <c r="E5" s="199" t="n"/>
      <c r="F5" s="199" t="n"/>
      <c r="G5" s="199" t="n"/>
    </row>
    <row r="6" ht="30" customHeight="1" s="198">
      <c r="A6" s="273" t="inlineStr">
        <is>
          <t>№ пп.</t>
        </is>
      </c>
      <c r="B6" s="273" t="inlineStr">
        <is>
          <t>Код ресурса</t>
        </is>
      </c>
      <c r="C6" s="273" t="inlineStr">
        <is>
          <t>Наименование</t>
        </is>
      </c>
      <c r="D6" s="273" t="inlineStr">
        <is>
          <t>Ед. изм.</t>
        </is>
      </c>
      <c r="E6" s="253" t="inlineStr">
        <is>
          <t>Кол-во единиц по проектным данным</t>
        </is>
      </c>
      <c r="F6" s="273" t="inlineStr">
        <is>
          <t>Сметная стоимость в ценах на 01.01.2000 (руб.)</t>
        </is>
      </c>
      <c r="G6" s="319" t="n"/>
    </row>
    <row r="7">
      <c r="A7" s="321" t="n"/>
      <c r="B7" s="321" t="n"/>
      <c r="C7" s="321" t="n"/>
      <c r="D7" s="321" t="n"/>
      <c r="E7" s="321" t="n"/>
      <c r="F7" s="253" t="inlineStr">
        <is>
          <t>на ед. изм.</t>
        </is>
      </c>
      <c r="G7" s="253" t="inlineStr">
        <is>
          <t>общая</t>
        </is>
      </c>
    </row>
    <row r="8">
      <c r="A8" s="253" t="n">
        <v>1</v>
      </c>
      <c r="B8" s="253" t="n">
        <v>2</v>
      </c>
      <c r="C8" s="253" t="n">
        <v>3</v>
      </c>
      <c r="D8" s="253" t="n">
        <v>4</v>
      </c>
      <c r="E8" s="253" t="n">
        <v>5</v>
      </c>
      <c r="F8" s="253" t="n">
        <v>6</v>
      </c>
      <c r="G8" s="253" t="n">
        <v>7</v>
      </c>
    </row>
    <row r="9" ht="15" customHeight="1" s="198">
      <c r="A9" s="25" t="n"/>
      <c r="B9" s="252" t="inlineStr">
        <is>
          <t>ИНЖЕНЕРНОЕ ОБОРУДОВАНИЕ</t>
        </is>
      </c>
      <c r="C9" s="318" t="n"/>
      <c r="D9" s="318" t="n"/>
      <c r="E9" s="318" t="n"/>
      <c r="F9" s="318" t="n"/>
      <c r="G9" s="319" t="n"/>
    </row>
    <row r="10" ht="27" customHeight="1" s="198">
      <c r="A10" s="253" t="n"/>
      <c r="B10" s="257" t="n"/>
      <c r="C10" s="252" t="inlineStr">
        <is>
          <t>ИТОГО ИНЖЕНЕРНОЕ ОБОРУДОВАНИЕ</t>
        </is>
      </c>
      <c r="D10" s="257" t="n"/>
      <c r="E10" s="105" t="n"/>
      <c r="F10" s="255" t="n"/>
      <c r="G10" s="255" t="n">
        <v>0</v>
      </c>
    </row>
    <row r="11">
      <c r="A11" s="253" t="n"/>
      <c r="B11" s="252" t="inlineStr">
        <is>
          <t>ТЕХНОЛОГИЧЕСКОЕ ОБОРУДОВАНИЕ</t>
        </is>
      </c>
      <c r="C11" s="318" t="n"/>
      <c r="D11" s="318" t="n"/>
      <c r="E11" s="318" t="n"/>
      <c r="F11" s="318" t="n"/>
      <c r="G11" s="319" t="n"/>
    </row>
    <row r="12">
      <c r="A12" s="253" t="n">
        <v>1</v>
      </c>
      <c r="B12" s="252" t="n"/>
      <c r="C12" s="252" t="n"/>
      <c r="D12" s="253" t="n"/>
      <c r="E12" s="253" t="n"/>
      <c r="F12" s="255" t="n"/>
      <c r="G12" s="32" t="n"/>
    </row>
    <row r="13" ht="25.5" customHeight="1" s="198">
      <c r="A13" s="253" t="n"/>
      <c r="B13" s="252" t="n"/>
      <c r="C13" s="252" t="inlineStr">
        <is>
          <t>ИТОГО ТЕХНОЛОГИЧЕСКОЕ ОБОРУДОВАНИЕ</t>
        </is>
      </c>
      <c r="D13" s="252" t="n"/>
      <c r="E13" s="272" t="n"/>
      <c r="F13" s="255" t="n"/>
      <c r="G13" s="32">
        <f>SUM(G12:G12)</f>
        <v/>
      </c>
    </row>
    <row r="14" ht="19.5" customHeight="1" s="198">
      <c r="A14" s="253" t="n"/>
      <c r="B14" s="252" t="n"/>
      <c r="C14" s="252" t="inlineStr">
        <is>
          <t>Всего по разделу «Оборудование»</t>
        </is>
      </c>
      <c r="D14" s="252" t="n"/>
      <c r="E14" s="272" t="n"/>
      <c r="F14" s="255" t="n"/>
      <c r="G14" s="32">
        <f>G10+G13</f>
        <v/>
      </c>
    </row>
    <row r="15">
      <c r="A15" s="206" t="n"/>
      <c r="B15" s="207" t="n"/>
      <c r="C15" s="206" t="n"/>
      <c r="D15" s="206" t="n"/>
      <c r="E15" s="206" t="n"/>
      <c r="F15" s="206" t="n"/>
      <c r="G15" s="206" t="n"/>
    </row>
    <row r="16">
      <c r="A16" s="199" t="inlineStr">
        <is>
          <t>Составил ______________________    Д.Ю. Нефедова</t>
        </is>
      </c>
      <c r="B16" s="208" t="n"/>
      <c r="C16" s="208" t="n"/>
      <c r="D16" s="206" t="n"/>
      <c r="E16" s="206" t="n"/>
      <c r="F16" s="206" t="n"/>
      <c r="G16" s="206" t="n"/>
    </row>
    <row r="17">
      <c r="A17" s="209" t="inlineStr">
        <is>
          <t xml:space="preserve">                         (подпись, инициалы, фамилия)</t>
        </is>
      </c>
      <c r="B17" s="208" t="n"/>
      <c r="C17" s="208" t="n"/>
      <c r="D17" s="206" t="n"/>
      <c r="E17" s="206" t="n"/>
      <c r="F17" s="206" t="n"/>
      <c r="G17" s="206" t="n"/>
    </row>
    <row r="18">
      <c r="A18" s="199" t="n"/>
      <c r="B18" s="208" t="n"/>
      <c r="C18" s="208" t="n"/>
      <c r="D18" s="206" t="n"/>
      <c r="E18" s="206" t="n"/>
      <c r="F18" s="206" t="n"/>
      <c r="G18" s="206" t="n"/>
    </row>
    <row r="19">
      <c r="A19" s="199" t="inlineStr">
        <is>
          <t>Проверил ______________________        А.В. Костянецкая</t>
        </is>
      </c>
      <c r="B19" s="208" t="n"/>
      <c r="C19" s="208" t="n"/>
      <c r="D19" s="206" t="n"/>
      <c r="E19" s="206" t="n"/>
      <c r="F19" s="206" t="n"/>
      <c r="G19" s="206" t="n"/>
    </row>
    <row r="20">
      <c r="A20" s="209" t="inlineStr">
        <is>
          <t xml:space="preserve">                        (подпись, инициалы, фамилия)</t>
        </is>
      </c>
      <c r="B20" s="208" t="n"/>
      <c r="C20" s="208" t="n"/>
      <c r="D20" s="206" t="n"/>
      <c r="E20" s="206" t="n"/>
      <c r="F20" s="206" t="n"/>
      <c r="G20" s="2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198" min="1" max="1"/>
    <col width="29.7109375" customWidth="1" style="198" min="2" max="2"/>
    <col width="39.140625" customWidth="1" style="198" min="3" max="3"/>
    <col width="24.5703125" customWidth="1" style="198" min="4" max="4"/>
    <col width="24.85546875" customWidth="1" style="198" min="5" max="5"/>
    <col width="8.85546875" customWidth="1" style="198" min="6" max="6"/>
  </cols>
  <sheetData>
    <row r="1">
      <c r="B1" s="199" t="n"/>
      <c r="C1" s="199" t="n"/>
      <c r="D1" s="268" t="inlineStr">
        <is>
          <t>Приложение №7</t>
        </is>
      </c>
    </row>
    <row r="2">
      <c r="A2" s="268" t="n"/>
      <c r="B2" s="268" t="n"/>
      <c r="C2" s="268" t="n"/>
      <c r="D2" s="268" t="n"/>
    </row>
    <row r="3" ht="24.75" customHeight="1" s="198">
      <c r="A3" s="222" t="inlineStr">
        <is>
          <t>Расчет показателя УНЦ</t>
        </is>
      </c>
    </row>
    <row r="4" ht="24.75" customHeight="1" s="198">
      <c r="A4" s="222" t="n"/>
      <c r="B4" s="222" t="n"/>
      <c r="C4" s="222" t="n"/>
      <c r="D4" s="222" t="n"/>
    </row>
    <row r="5" ht="63.75" customHeight="1" s="198">
      <c r="A5" s="225" t="inlineStr">
        <is>
          <t xml:space="preserve">Наименование разрабатываемого показателя УНЦ - </t>
        </is>
      </c>
      <c r="D5" s="225">
        <f>'Прил.5 Расчет СМР и ОБ'!D6</f>
        <v/>
      </c>
    </row>
    <row r="6" ht="19.9" customHeight="1" s="198">
      <c r="A6" s="225" t="inlineStr">
        <is>
          <t>Единица измерения  — 1 км</t>
        </is>
      </c>
      <c r="D6" s="225" t="n"/>
    </row>
    <row r="7">
      <c r="A7" s="199" t="n"/>
      <c r="B7" s="199" t="n"/>
      <c r="C7" s="199" t="n"/>
      <c r="D7" s="199" t="n"/>
    </row>
    <row r="8" ht="14.45" customHeight="1" s="198">
      <c r="A8" s="237" t="inlineStr">
        <is>
          <t>Код показателя</t>
        </is>
      </c>
      <c r="B8" s="237" t="inlineStr">
        <is>
          <t>Наименование показателя</t>
        </is>
      </c>
      <c r="C8" s="237" t="inlineStr">
        <is>
          <t>Наименование РМ, входящих в состав показателя</t>
        </is>
      </c>
      <c r="D8" s="237" t="inlineStr">
        <is>
          <t>Норматив цены на 01.01.2023, тыс.руб.</t>
        </is>
      </c>
    </row>
    <row r="9" ht="15" customHeight="1" s="198">
      <c r="A9" s="321" t="n"/>
      <c r="B9" s="321" t="n"/>
      <c r="C9" s="321" t="n"/>
      <c r="D9" s="321" t="n"/>
    </row>
    <row r="10">
      <c r="A10" s="253" t="n">
        <v>1</v>
      </c>
      <c r="B10" s="253" t="n">
        <v>2</v>
      </c>
      <c r="C10" s="253" t="n">
        <v>3</v>
      </c>
      <c r="D10" s="253" t="n">
        <v>4</v>
      </c>
    </row>
    <row r="11" ht="38.25" customHeight="1" s="198">
      <c r="A11" s="253" t="inlineStr">
        <is>
          <t>Л7-02-3</t>
        </is>
      </c>
      <c r="B11" s="253" t="inlineStr">
        <is>
          <t xml:space="preserve">УНЦ провода СИП ВЛ 0,4 - 35 кВ </t>
        </is>
      </c>
      <c r="C11" s="204">
        <f>D5</f>
        <v/>
      </c>
      <c r="D11" s="210">
        <f>'Прил.4 РМ'!C41/1000</f>
        <v/>
      </c>
      <c r="E11" s="205" t="n"/>
    </row>
    <row r="12">
      <c r="A12" s="206" t="n"/>
      <c r="B12" s="207" t="n"/>
      <c r="C12" s="206" t="n"/>
      <c r="D12" s="206" t="n"/>
    </row>
    <row r="13">
      <c r="A13" s="199" t="inlineStr">
        <is>
          <t>Составил ______________________      Д.Ю. Нефедова</t>
        </is>
      </c>
      <c r="B13" s="208" t="n"/>
      <c r="C13" s="208" t="n"/>
      <c r="D13" s="206" t="n"/>
    </row>
    <row r="14">
      <c r="A14" s="209" t="inlineStr">
        <is>
          <t xml:space="preserve">                         (подпись, инициалы, фамилия)</t>
        </is>
      </c>
      <c r="B14" s="208" t="n"/>
      <c r="C14" s="208" t="n"/>
      <c r="D14" s="206" t="n"/>
    </row>
    <row r="15">
      <c r="A15" s="199" t="n"/>
      <c r="B15" s="208" t="n"/>
      <c r="C15" s="208" t="n"/>
      <c r="D15" s="206" t="n"/>
    </row>
    <row r="16">
      <c r="A16" s="199" t="inlineStr">
        <is>
          <t>Проверил ______________________        А.В. Костянецкая</t>
        </is>
      </c>
      <c r="B16" s="208" t="n"/>
      <c r="C16" s="208" t="n"/>
      <c r="D16" s="206" t="n"/>
    </row>
    <row r="17">
      <c r="A17" s="209" t="inlineStr">
        <is>
          <t xml:space="preserve">                        (подпись, инициалы, фамилия)</t>
        </is>
      </c>
      <c r="B17" s="208" t="n"/>
      <c r="C17" s="208" t="n"/>
      <c r="D17" s="20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5" zoomScale="60" zoomScaleNormal="85" workbookViewId="0">
      <selection activeCell="B29" sqref="B29"/>
    </sheetView>
  </sheetViews>
  <sheetFormatPr baseColWidth="8" defaultRowHeight="15"/>
  <cols>
    <col width="9.140625" customWidth="1" style="198" min="1" max="1"/>
    <col width="40.7109375" customWidth="1" style="198" min="2" max="2"/>
    <col width="37" customWidth="1" style="198" min="3" max="3"/>
    <col width="32" customWidth="1" style="198" min="4" max="4"/>
    <col width="9.140625" customWidth="1" style="198" min="5" max="5"/>
  </cols>
  <sheetData>
    <row r="4" ht="15.75" customHeight="1" s="198">
      <c r="B4" s="230" t="inlineStr">
        <is>
          <t>Приложение № 10</t>
        </is>
      </c>
    </row>
    <row r="5" ht="18.75" customHeight="1" s="198">
      <c r="B5" s="138" t="n"/>
    </row>
    <row r="6" ht="15.75" customHeight="1" s="198">
      <c r="B6" s="236" t="inlineStr">
        <is>
          <t>Используемые индексы изменений сметной стоимости и нормы сопутствующих затрат</t>
        </is>
      </c>
    </row>
    <row r="7">
      <c r="B7" s="274" t="inlineStr">
        <is>
          <t>*Стоимость ПНР принята на основании СД ОП</t>
        </is>
      </c>
    </row>
    <row r="8">
      <c r="B8" s="274" t="n"/>
      <c r="C8" s="274" t="n"/>
      <c r="D8" s="274" t="n"/>
      <c r="E8" s="274" t="n"/>
    </row>
    <row r="9" ht="47.25" customHeight="1" s="198">
      <c r="B9" s="237" t="inlineStr">
        <is>
          <t>Наименование индекса / норм сопутствующих затрат</t>
        </is>
      </c>
      <c r="C9" s="237" t="inlineStr">
        <is>
          <t>Дата применения и обоснование индекса / норм сопутствующих затрат</t>
        </is>
      </c>
      <c r="D9" s="237" t="inlineStr">
        <is>
          <t>Размер индекса / норма сопутствующих затрат</t>
        </is>
      </c>
    </row>
    <row r="10" ht="15.75" customHeight="1" s="198">
      <c r="B10" s="237" t="n">
        <v>1</v>
      </c>
      <c r="C10" s="237" t="n">
        <v>2</v>
      </c>
      <c r="D10" s="237" t="n">
        <v>3</v>
      </c>
    </row>
    <row r="11" ht="45" customHeight="1" s="198">
      <c r="B11" s="237" t="inlineStr">
        <is>
          <t xml:space="preserve">Индекс изменения сметной стоимости на 1 квартал 2023 года. ОЗП </t>
        </is>
      </c>
      <c r="C11" s="237" t="inlineStr">
        <is>
          <t>Письмо Минстроя России от 30.03.2023г. №17106-ИФ/09  прил.1</t>
        </is>
      </c>
      <c r="D11" s="237" t="n">
        <v>44.29</v>
      </c>
    </row>
    <row r="12" ht="29.25" customHeight="1" s="198">
      <c r="B12" s="237" t="inlineStr">
        <is>
          <t>Индекс изменения сметной стоимости на 1 квартал 2023 года. ЭМ</t>
        </is>
      </c>
      <c r="C12" s="237" t="inlineStr">
        <is>
          <t>Письмо Минстроя России от 30.03.2023г. №17106-ИФ/099  прил.1</t>
        </is>
      </c>
      <c r="D12" s="237" t="n">
        <v>11.72</v>
      </c>
    </row>
    <row r="13" ht="29.25" customHeight="1" s="198">
      <c r="B13" s="237" t="inlineStr">
        <is>
          <t>Индекс изменения сметной стоимости на 1 квартал 2023 года. МАТ</t>
        </is>
      </c>
      <c r="C13" s="237" t="inlineStr">
        <is>
          <t>Письмо Минстроя России от 30.03.2023г. №17106-ИФ/09  прил.1</t>
        </is>
      </c>
      <c r="D13" s="237" t="n">
        <v>7.74</v>
      </c>
    </row>
    <row r="14" ht="30.75" customHeight="1" s="198">
      <c r="B14" s="237" t="inlineStr">
        <is>
          <t>Индекс изменения сметной стоимости на 1 квартал 2023 года. ОБ</t>
        </is>
      </c>
      <c r="C14" s="237" t="inlineStr">
        <is>
          <t>Письмо Минстроя России от 23.02.2023г. №9791-ИФ/09 прил.6</t>
        </is>
      </c>
      <c r="D14" s="237" t="n">
        <v>6.26</v>
      </c>
    </row>
    <row r="15" ht="89.25" customHeight="1" s="198">
      <c r="B15" s="237" t="inlineStr">
        <is>
          <t>Временные здания и сооружения</t>
        </is>
      </c>
      <c r="C15" s="237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0.025</v>
      </c>
    </row>
    <row r="16" ht="78.75" customHeight="1" s="198">
      <c r="B16" s="237" t="inlineStr">
        <is>
          <t>Дополнительные затраты при производстве строительно-монтажных работ в зимнее время</t>
        </is>
      </c>
      <c r="C16" s="237" t="inlineStr">
        <is>
          <t xml:space="preserve">п.50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0.019</v>
      </c>
    </row>
    <row r="17" ht="34.5" customHeight="1" s="198">
      <c r="B17" s="237" t="n"/>
      <c r="C17" s="237" t="n"/>
      <c r="D17" s="237" t="n"/>
    </row>
    <row r="18" ht="31.5" customHeight="1" s="198">
      <c r="B18" s="237" t="inlineStr">
        <is>
          <t>Строительный контроль</t>
        </is>
      </c>
      <c r="C18" s="237" t="inlineStr">
        <is>
          <t>Постановление Правительства РФ от 21.06.10 г. № 468</t>
        </is>
      </c>
      <c r="D18" s="139" t="n">
        <v>0.0214</v>
      </c>
    </row>
    <row r="19" ht="31.5" customHeight="1" s="198">
      <c r="B19" s="237" t="inlineStr">
        <is>
          <t>Авторский надзор - 0,2%</t>
        </is>
      </c>
      <c r="C19" s="237" t="inlineStr">
        <is>
          <t>Приказ от 4.08.2020 № 421/пр п.173</t>
        </is>
      </c>
      <c r="D19" s="139" t="n">
        <v>0.002</v>
      </c>
    </row>
    <row r="20" ht="24" customHeight="1" s="198">
      <c r="B20" s="237" t="inlineStr">
        <is>
          <t>Непредвиденные расходы</t>
        </is>
      </c>
      <c r="C20" s="237" t="inlineStr">
        <is>
          <t>Приказ от 4.08.2020 № 421/пр п.179</t>
        </is>
      </c>
      <c r="D20" s="139" t="n">
        <v>0.03</v>
      </c>
    </row>
    <row r="21" ht="18.75" customHeight="1" s="198">
      <c r="B21" s="117" t="n"/>
    </row>
    <row r="22" ht="18.75" customHeight="1" s="198">
      <c r="B22" s="117" t="n"/>
    </row>
    <row r="23" ht="18.75" customHeight="1" s="198">
      <c r="B23" s="117" t="n"/>
    </row>
    <row r="24" ht="18.75" customHeight="1" s="198">
      <c r="B24" s="117" t="n"/>
    </row>
    <row r="27">
      <c r="B27" s="199" t="inlineStr">
        <is>
          <t>Составил ______________________        Д.Ю. Нефедова</t>
        </is>
      </c>
      <c r="C27" s="208" t="n"/>
    </row>
    <row r="28">
      <c r="B28" s="209" t="inlineStr">
        <is>
          <t xml:space="preserve">                         (подпись, инициалы, фамилия)</t>
        </is>
      </c>
      <c r="C28" s="208" t="n"/>
    </row>
    <row r="29">
      <c r="B29" s="199" t="n"/>
      <c r="C29" s="208" t="n"/>
    </row>
    <row r="30">
      <c r="B30" s="199" t="inlineStr">
        <is>
          <t>Проверил ______________________        А.В. Костянецкая</t>
        </is>
      </c>
      <c r="C30" s="208" t="n"/>
    </row>
    <row r="31">
      <c r="B31" s="209" t="inlineStr">
        <is>
          <t xml:space="preserve">                        (подпись, инициалы, фамилия)</t>
        </is>
      </c>
      <c r="C31" s="2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4" workbookViewId="0">
      <selection activeCell="B8" sqref="B8:D8"/>
    </sheetView>
  </sheetViews>
  <sheetFormatPr baseColWidth="8" defaultRowHeight="15"/>
  <cols>
    <col width="9.140625" customWidth="1" style="198" min="1" max="1"/>
    <col width="44.85546875" customWidth="1" style="198" min="2" max="2"/>
    <col width="13" customWidth="1" style="198" min="3" max="3"/>
    <col width="22.85546875" customWidth="1" style="198" min="4" max="4"/>
    <col width="21.5703125" customWidth="1" style="198" min="5" max="5"/>
    <col width="43.85546875" customWidth="1" style="198" min="6" max="6"/>
    <col width="9.140625" customWidth="1" style="198" min="7" max="7"/>
  </cols>
  <sheetData>
    <row r="2" ht="17.25" customHeight="1" s="198">
      <c r="A2" s="23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8">
      <c r="A4" s="125" t="inlineStr">
        <is>
          <t>Составлен в уровне цен на 01.01.2023 г.</t>
        </is>
      </c>
      <c r="B4" s="126" t="n"/>
      <c r="C4" s="126" t="n"/>
      <c r="D4" s="126" t="n"/>
      <c r="E4" s="126" t="n"/>
      <c r="F4" s="126" t="n"/>
      <c r="G4" s="126" t="n"/>
    </row>
    <row r="5" ht="15.75" customHeight="1" s="198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126" t="n"/>
    </row>
    <row r="6" ht="15.75" customHeight="1" s="198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126" t="n"/>
    </row>
    <row r="7" ht="110.25" customHeight="1" s="198">
      <c r="A7" s="128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7" t="inlineStr">
        <is>
          <t>С1ср</t>
        </is>
      </c>
      <c r="D7" s="237" t="inlineStr">
        <is>
          <t>-</t>
        </is>
      </c>
      <c r="E7" s="61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6" t="n"/>
    </row>
    <row r="8" ht="31.5" customHeight="1" s="198">
      <c r="A8" s="128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237" t="inlineStr">
        <is>
          <t>tср</t>
        </is>
      </c>
      <c r="D8" s="237" t="inlineStr">
        <is>
          <t>1973ч/12мес.</t>
        </is>
      </c>
      <c r="E8" s="130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 s="198">
      <c r="A9" s="128" t="inlineStr">
        <is>
          <t>1.3</t>
        </is>
      </c>
      <c r="B9" s="129" t="inlineStr">
        <is>
          <t>Коэффициент увеличения</t>
        </is>
      </c>
      <c r="C9" s="237" t="inlineStr">
        <is>
          <t>Кув</t>
        </is>
      </c>
      <c r="D9" s="237" t="inlineStr">
        <is>
          <t>-</t>
        </is>
      </c>
      <c r="E9" s="130" t="n">
        <v>1</v>
      </c>
      <c r="F9" s="129" t="n"/>
      <c r="G9" s="131" t="n"/>
    </row>
    <row r="10" ht="15.75" customHeight="1" s="198">
      <c r="A10" s="128" t="inlineStr">
        <is>
          <t>1.4</t>
        </is>
      </c>
      <c r="B10" s="129" t="inlineStr">
        <is>
          <t>Средний разряд работ</t>
        </is>
      </c>
      <c r="C10" s="237" t="n"/>
      <c r="D10" s="237" t="n"/>
      <c r="E10" s="132" t="n">
        <v>4.2</v>
      </c>
      <c r="F10" s="129" t="inlineStr">
        <is>
          <t>РТМ</t>
        </is>
      </c>
      <c r="G10" s="131" t="n"/>
    </row>
    <row r="11" ht="78.75" customHeight="1" s="198">
      <c r="A11" s="128" t="inlineStr">
        <is>
          <t>1.5</t>
        </is>
      </c>
      <c r="B11" s="129" t="inlineStr">
        <is>
          <t>Тарифный коэффициент среднего разряда работ</t>
        </is>
      </c>
      <c r="C11" s="237" t="inlineStr">
        <is>
          <t>КТ</t>
        </is>
      </c>
      <c r="D11" s="237" t="inlineStr">
        <is>
          <t>-</t>
        </is>
      </c>
      <c r="E11" s="133" t="n">
        <v>1.38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6" t="n"/>
    </row>
    <row r="12" ht="78.75" customHeight="1" s="198">
      <c r="A12" s="128" t="inlineStr">
        <is>
          <t>1.6</t>
        </is>
      </c>
      <c r="B12" s="119" t="inlineStr">
        <is>
          <t>Коэффициент инфляции, определяемый поквартально</t>
        </is>
      </c>
      <c r="C12" s="237" t="inlineStr">
        <is>
          <t>Кинф</t>
        </is>
      </c>
      <c r="D12" s="237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8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37" t="inlineStr">
        <is>
          <t>ФОТр.тек.</t>
        </is>
      </c>
      <c r="D13" s="237" t="inlineStr">
        <is>
          <t>(С1ср/tср*КТ*Т*Кув)*Кинф</t>
        </is>
      </c>
      <c r="E13" s="137">
        <f>((E7*E9/E8)*E11)*E12</f>
        <v/>
      </c>
      <c r="F13" s="1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2025-01-24T12:10:27Z</dcterms:modified>
  <cp:lastModifiedBy>Danil</cp:lastModifiedBy>
  <cp:lastPrinted>2023-11-28T12:36:12Z</cp:lastPrinted>
</cp:coreProperties>
</file>