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000"/>
    <numFmt numFmtId="167" formatCode="_-* #,##0.00_-;\-* #,##0.00_-;_-* &quot;-&quot;??_-;_-@_-"/>
    <numFmt numFmtId="168" formatCode="0.0"/>
    <numFmt numFmtId="169" formatCode="#,##0.00\ _₽"/>
    <numFmt numFmtId="170" formatCode="#,##0.0000"/>
    <numFmt numFmtId="171" formatCode="#,##0.00000"/>
  </numFmts>
  <fonts count="21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4" fontId="7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10" fontId="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7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4" fillId="0" borderId="4" applyAlignment="1" pivotButton="0" quotePrefix="0" xfId="0">
      <alignment horizontal="left" vertical="center" wrapText="1"/>
    </xf>
    <xf numFmtId="0" fontId="14" fillId="0" borderId="4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 wrapText="1"/>
    </xf>
    <xf numFmtId="169" fontId="4" fillId="0" borderId="1" applyAlignment="1" pivotButton="0" quotePrefix="0" xfId="0">
      <alignment horizontal="right" vertical="center" wrapText="1"/>
    </xf>
    <xf numFmtId="169" fontId="1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4" fillId="0" borderId="1" applyAlignment="1" pivotButton="0" quotePrefix="0" xfId="0">
      <alignment horizontal="left" vertical="center" wrapText="1"/>
    </xf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2" fontId="11" fillId="0" borderId="1" applyAlignment="1" pivotButton="0" quotePrefix="0" xfId="0">
      <alignment horizontal="center" vertical="center" wrapText="1"/>
    </xf>
    <xf numFmtId="4" fontId="11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49" fontId="7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vertical="center" wrapText="1"/>
    </xf>
    <xf numFmtId="167" fontId="7" fillId="2" borderId="1" applyAlignment="1" pivotButton="0" quotePrefix="0" xfId="0">
      <alignment vertical="center" wrapText="1"/>
    </xf>
    <xf numFmtId="2" fontId="7" fillId="2" borderId="1" applyAlignment="1" pivotButton="0" quotePrefix="0" xfId="0">
      <alignment vertical="center" wrapText="1"/>
    </xf>
    <xf numFmtId="2" fontId="10" fillId="0" borderId="4" applyAlignment="1" pivotButton="0" quotePrefix="0" xfId="0">
      <alignment vertical="center" wrapText="1"/>
    </xf>
    <xf numFmtId="2" fontId="10" fillId="0" borderId="1" applyAlignment="1" pivotButton="0" quotePrefix="0" xfId="0">
      <alignment vertical="center" wrapText="1"/>
    </xf>
    <xf numFmtId="167" fontId="2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 wrapText="1"/>
    </xf>
    <xf numFmtId="0" fontId="10" fillId="0" borderId="4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5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" fontId="2" fillId="0" borderId="0" applyAlignment="1" pivotButton="0" quotePrefix="0" xfId="0">
      <alignment horizontal="left" vertical="center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0" pivotButton="0" quotePrefix="0" xfId="0"/>
    <xf numFmtId="49" fontId="4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C27" sqref="C27"/>
    </sheetView>
  </sheetViews>
  <sheetFormatPr baseColWidth="8" defaultRowHeight="15"/>
  <cols>
    <col width="36.85546875" customWidth="1" style="107" min="3" max="3"/>
    <col width="43.85546875" customWidth="1" style="107" min="4" max="4"/>
  </cols>
  <sheetData>
    <row r="3" ht="15.75" customHeight="1" s="107">
      <c r="B3" s="134" t="inlineStr">
        <is>
          <t>Приложение № 1</t>
        </is>
      </c>
    </row>
    <row r="4" ht="18.75" customHeight="1" s="107">
      <c r="B4" s="135" t="inlineStr">
        <is>
          <t>Сравнительная таблица отбора объекта-представителя</t>
        </is>
      </c>
    </row>
    <row r="5" ht="84" customHeight="1" s="107">
      <c r="B5" s="1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15" t="n"/>
      <c r="C6" s="15" t="n"/>
      <c r="D6" s="15" t="n"/>
    </row>
    <row r="7" ht="42" customHeight="1" s="107">
      <c r="B7" s="137" t="inlineStr">
        <is>
          <t>Наименование разрабатываемого показателя УНЦ — УНЦ провода СИП ВЛ 0,4-35 кВ (СИП-4)</t>
        </is>
      </c>
    </row>
    <row r="8" ht="31.5" customHeight="1" s="107">
      <c r="B8" s="133" t="inlineStr">
        <is>
          <t>Сопоставимый уровень цен: 4 кв. 2017 г.</t>
        </is>
      </c>
    </row>
    <row r="9" ht="15.75" customHeight="1" s="107">
      <c r="B9" s="133" t="inlineStr">
        <is>
          <t>Единица измерения  — 1 км</t>
        </is>
      </c>
    </row>
    <row r="10" ht="18.75" customHeight="1" s="107">
      <c r="B10" s="16" t="n"/>
    </row>
    <row r="11" ht="15.75" customHeight="1" s="107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</t>
        </is>
      </c>
    </row>
    <row r="12" ht="41.25" customHeight="1" s="107">
      <c r="B12" s="141" t="n">
        <v>1</v>
      </c>
      <c r="C12" s="18" t="inlineStr">
        <is>
          <t>Наименование объекта-представителя</t>
        </is>
      </c>
      <c r="D12" s="120" t="inlineStr">
        <is>
          <t>Вывод из эксплуатации ПС 60 кВ О-7 Приморск и строительство ПС 110 кВ Морская</t>
        </is>
      </c>
    </row>
    <row r="13" ht="31.5" customHeight="1" s="107">
      <c r="B13" s="141" t="n">
        <v>2</v>
      </c>
      <c r="C13" s="18" t="inlineStr">
        <is>
          <t>Наименование субъекта Российской Федерации</t>
        </is>
      </c>
      <c r="D13" s="120" t="inlineStr">
        <is>
          <t>Калининградская область</t>
        </is>
      </c>
    </row>
    <row r="14" ht="15.75" customHeight="1" s="107">
      <c r="B14" s="141" t="n">
        <v>3</v>
      </c>
      <c r="C14" s="18" t="inlineStr">
        <is>
          <t>Климатический район и подрайон</t>
        </is>
      </c>
      <c r="D14" s="120" t="inlineStr">
        <is>
          <t>IIВ</t>
        </is>
      </c>
    </row>
    <row r="15" ht="15.75" customHeight="1" s="107">
      <c r="B15" s="141" t="n">
        <v>4</v>
      </c>
      <c r="C15" s="18" t="inlineStr">
        <is>
          <t>Мощность объекта</t>
        </is>
      </c>
      <c r="D15" s="120" t="n">
        <v>1</v>
      </c>
    </row>
    <row r="16" ht="107.25" customHeight="1" s="107">
      <c r="B16" s="141" t="n">
        <v>5</v>
      </c>
      <c r="C16" s="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>СИП-3 1х70-35</t>
        </is>
      </c>
    </row>
    <row r="17" ht="95.25" customHeight="1" s="107">
      <c r="B17" s="141" t="n">
        <v>6</v>
      </c>
      <c r="C17" s="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1">
        <f>SUM(D18:D21)</f>
        <v/>
      </c>
    </row>
    <row r="18" ht="15.75" customHeight="1" s="107">
      <c r="B18" s="20" t="inlineStr">
        <is>
          <t>6.1</t>
        </is>
      </c>
      <c r="C18" s="18" t="inlineStr">
        <is>
          <t>строительно-монтажные работы</t>
        </is>
      </c>
      <c r="D18" s="122">
        <f>17265.718+1899.7416</f>
        <v/>
      </c>
    </row>
    <row r="19" ht="15.75" customHeight="1" s="107">
      <c r="B19" s="20" t="inlineStr">
        <is>
          <t>6.2</t>
        </is>
      </c>
      <c r="C19" s="18" t="inlineStr">
        <is>
          <t>оборудование и инвентарь</t>
        </is>
      </c>
      <c r="D19" s="121" t="n">
        <v>1394.29764</v>
      </c>
    </row>
    <row r="20" ht="15.75" customHeight="1" s="107">
      <c r="B20" s="20" t="inlineStr">
        <is>
          <t>6.3</t>
        </is>
      </c>
      <c r="C20" s="18" t="inlineStr">
        <is>
          <t>пусконаладочные работы</t>
        </is>
      </c>
      <c r="D20" s="121">
        <f>D19/(101470.7*4.61)*123206*20.23</f>
        <v/>
      </c>
    </row>
    <row r="21" ht="31.5" customHeight="1" s="107">
      <c r="B21" s="20" t="inlineStr">
        <is>
          <t>6.4</t>
        </is>
      </c>
      <c r="C21" s="18" t="inlineStr">
        <is>
          <t>прочие и лимитированные затраты</t>
        </is>
      </c>
      <c r="D21" s="121">
        <f>D18*3.9%+(D18+D18*3.9%)*0.4%*1.2*1.05</f>
        <v/>
      </c>
    </row>
    <row r="22" ht="15.75" customHeight="1" s="107">
      <c r="B22" s="141" t="n">
        <v>7</v>
      </c>
      <c r="C22" s="18" t="inlineStr">
        <is>
          <t>Сопоставимый уровень цен</t>
        </is>
      </c>
      <c r="D22" s="120" t="inlineStr">
        <is>
          <t>4 кв. 2017 г.</t>
        </is>
      </c>
    </row>
    <row r="23" ht="110.25" customHeight="1" s="107">
      <c r="B23" s="141" t="n">
        <v>8</v>
      </c>
      <c r="C23" s="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1">
        <f>(D18+D21)/3.8*5.65+D19/4.44*4.44+D20/13.38*19.31</f>
        <v/>
      </c>
    </row>
    <row r="24" ht="61.5" customHeight="1" s="107">
      <c r="B24" s="141" t="n">
        <v>9</v>
      </c>
      <c r="C24" s="19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</row>
    <row r="25" ht="37.5" customHeight="1" s="107">
      <c r="B25" s="21" t="n"/>
      <c r="C25" s="22" t="n"/>
      <c r="D25" s="22" t="n"/>
    </row>
    <row r="26">
      <c r="B26" s="108" t="inlineStr">
        <is>
          <t>Составил ______________________        Д.Ю. Нефедова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8" t="n"/>
      <c r="C28" s="117" t="n"/>
    </row>
    <row r="29">
      <c r="B29" s="108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  <row r="31" ht="15.75" customHeight="1" s="107">
      <c r="B31" s="22" t="n"/>
      <c r="C31" s="22" t="n"/>
      <c r="D31" s="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107" min="1" max="1"/>
    <col width="35.28515625" customWidth="1" style="107" min="3" max="3"/>
    <col width="13.85546875" customWidth="1" style="107" min="4" max="4"/>
    <col width="17.42578125" customWidth="1" style="107" min="5" max="5"/>
    <col width="12.7109375" customWidth="1" style="107" min="6" max="6"/>
    <col width="14.85546875" customWidth="1" style="107" min="7" max="7"/>
    <col width="16.7109375" customWidth="1" style="107" min="8" max="8"/>
    <col width="13" customWidth="1" style="107" min="9" max="10"/>
  </cols>
  <sheetData>
    <row r="3" ht="15.75" customHeight="1" s="107">
      <c r="B3" s="134" t="inlineStr">
        <is>
          <t>Приложение № 2</t>
        </is>
      </c>
    </row>
    <row r="4" ht="15.75" customHeight="1" s="107">
      <c r="B4" s="140" t="inlineStr">
        <is>
          <t>Расчет стоимости основных видов работ для выбора объекта-представителя</t>
        </is>
      </c>
    </row>
    <row r="5" ht="15.75" customHeight="1" s="107">
      <c r="B5" s="23" t="n"/>
      <c r="C5" s="23" t="n"/>
      <c r="D5" s="23" t="n"/>
      <c r="E5" s="23" t="n"/>
      <c r="F5" s="23" t="n"/>
      <c r="G5" s="23" t="n"/>
      <c r="H5" s="23" t="n"/>
      <c r="I5" s="23" t="n"/>
      <c r="J5" s="23" t="n"/>
    </row>
    <row r="6" ht="15.75" customHeight="1" s="107">
      <c r="B6" s="133" t="inlineStr">
        <is>
          <t>Наименование разрабатываемого показателя УНЦ — УНЦ провода СИП ВЛ 0,4-35 кВ (СИП-4)</t>
        </is>
      </c>
    </row>
    <row r="7" ht="15.75" customHeight="1" s="107">
      <c r="B7" s="133" t="inlineStr">
        <is>
          <t>Единица измерения  — 1 км</t>
        </is>
      </c>
    </row>
    <row r="8" ht="18.75" customHeight="1" s="107">
      <c r="B8" s="16" t="n"/>
    </row>
    <row r="9" ht="15.75" customHeight="1" s="107"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 s="107">
      <c r="B10" s="181" t="n"/>
      <c r="C10" s="181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4 кв. 2017г., тыс. руб.</t>
        </is>
      </c>
      <c r="G10" s="179" t="n"/>
      <c r="H10" s="179" t="n"/>
      <c r="I10" s="179" t="n"/>
      <c r="J10" s="180" t="n"/>
    </row>
    <row r="11" ht="31.5" customHeight="1" s="107">
      <c r="B11" s="182" t="n"/>
      <c r="C11" s="182" t="n"/>
      <c r="D11" s="182" t="n"/>
      <c r="E11" s="182" t="n"/>
      <c r="F11" s="141" t="inlineStr">
        <is>
          <t>Строительные работы</t>
        </is>
      </c>
      <c r="G11" s="141" t="inlineStr">
        <is>
          <t>Монтажные работы</t>
        </is>
      </c>
      <c r="H11" s="141" t="inlineStr">
        <is>
          <t>Оборудование</t>
        </is>
      </c>
      <c r="I11" s="141" t="inlineStr">
        <is>
          <t>Прочее</t>
        </is>
      </c>
      <c r="J11" s="141" t="inlineStr">
        <is>
          <t>Всего</t>
        </is>
      </c>
    </row>
    <row r="12" ht="15.75" customHeight="1" s="107">
      <c r="B12" s="123" t="n">
        <v>1</v>
      </c>
      <c r="C12" s="123" t="inlineStr">
        <is>
          <t>СИП-3 1х70-35</t>
        </is>
      </c>
      <c r="D12" s="124" t="inlineStr">
        <is>
          <t>04-01-01</t>
        </is>
      </c>
      <c r="E12" s="125" t="inlineStr">
        <is>
          <t>ВЛ - 15 кВ</t>
        </is>
      </c>
      <c r="F12" s="126">
        <f>4543610/1000*3.8</f>
        <v/>
      </c>
      <c r="G12" s="126">
        <f>499932/1000*3.8</f>
        <v/>
      </c>
      <c r="H12" s="126">
        <f>314031/1000*4.44</f>
        <v/>
      </c>
      <c r="I12" s="127" t="n"/>
      <c r="J12" s="127">
        <f>SUM(F12:I12)</f>
        <v/>
      </c>
    </row>
    <row r="13" ht="15.75" customHeight="1" s="107">
      <c r="B13" s="138" t="inlineStr">
        <is>
          <t>Всего по объекту:</t>
        </is>
      </c>
      <c r="C13" s="183" t="n"/>
      <c r="D13" s="183" t="n"/>
      <c r="E13" s="184" t="n"/>
      <c r="F13" s="128">
        <f>F12</f>
        <v/>
      </c>
      <c r="G13" s="128">
        <f>G12</f>
        <v/>
      </c>
      <c r="H13" s="128">
        <f>H12</f>
        <v/>
      </c>
      <c r="I13" s="128">
        <f>I12</f>
        <v/>
      </c>
      <c r="J13" s="128">
        <f>SUM(F13:I13)</f>
        <v/>
      </c>
    </row>
    <row r="14" ht="15.75" customHeight="1" s="107">
      <c r="B14" s="139" t="inlineStr">
        <is>
          <t>Всего по объекту в сопоставимом уровне цен 4 кв. 2017г:</t>
        </is>
      </c>
      <c r="C14" s="179" t="n"/>
      <c r="D14" s="179" t="n"/>
      <c r="E14" s="180" t="n"/>
      <c r="F14" s="129">
        <f>F13</f>
        <v/>
      </c>
      <c r="G14" s="129">
        <f>G13</f>
        <v/>
      </c>
      <c r="H14" s="129">
        <f>H13</f>
        <v/>
      </c>
      <c r="I14" s="129">
        <f>I13</f>
        <v/>
      </c>
      <c r="J14" s="129">
        <f>SUM(F14:I14)</f>
        <v/>
      </c>
    </row>
    <row r="15" ht="18.75" customHeight="1" s="107">
      <c r="B15" s="16" t="n"/>
    </row>
    <row r="18">
      <c r="C18" s="108" t="inlineStr">
        <is>
          <t>Составил ______________________    Д.Ю. Нефедова</t>
        </is>
      </c>
      <c r="D18" s="117" t="n"/>
    </row>
    <row r="19">
      <c r="C19" s="118" t="inlineStr">
        <is>
          <t xml:space="preserve">                         (подпись, инициалы, фамилия)</t>
        </is>
      </c>
      <c r="D19" s="117" t="n"/>
    </row>
    <row r="20">
      <c r="C20" s="108" t="n"/>
      <c r="D20" s="117" t="n"/>
    </row>
    <row r="21">
      <c r="C21" s="108" t="inlineStr">
        <is>
          <t>Проверил ______________________        А.В. Костянецкая</t>
        </is>
      </c>
      <c r="D21" s="117" t="n"/>
    </row>
    <row r="22">
      <c r="C22" s="118" t="inlineStr">
        <is>
          <t xml:space="preserve">                        (подпись, инициалы, фамилия)</t>
        </is>
      </c>
      <c r="D22" s="117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107" min="1" max="1"/>
    <col width="12.85546875" customWidth="1" style="107" min="2" max="2"/>
    <col width="16.85546875" customWidth="1" style="107" min="3" max="3"/>
    <col width="49.85546875" customWidth="1" style="107" min="4" max="4"/>
    <col width="12.28515625" customWidth="1" style="107" min="5" max="5"/>
    <col width="19.85546875" customWidth="1" style="107" min="6" max="6"/>
    <col width="17.85546875" customWidth="1" style="107" min="7" max="7"/>
    <col width="19.42578125" customWidth="1" style="73" min="8" max="8"/>
    <col width="10.140625" customWidth="1" style="107" min="9" max="9"/>
  </cols>
  <sheetData>
    <row r="2" ht="15.75" customHeight="1" s="107">
      <c r="A2" s="134" t="inlineStr">
        <is>
          <t xml:space="preserve">Приложение № 3 </t>
        </is>
      </c>
      <c r="I2" s="21" t="n"/>
    </row>
    <row r="3" ht="18.75" customHeight="1" s="107">
      <c r="A3" s="135" t="inlineStr">
        <is>
          <t>Объектная ресурсная ведомость</t>
        </is>
      </c>
    </row>
    <row r="4" ht="25.5" customHeight="1" s="107">
      <c r="B4" s="72" t="n"/>
      <c r="C4" s="1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07">
      <c r="C5" s="52" t="n"/>
      <c r="D5" s="52" t="n"/>
      <c r="E5" s="52" t="n"/>
      <c r="F5" s="52" t="n"/>
      <c r="G5" s="52" t="n"/>
      <c r="H5" s="53" t="n"/>
    </row>
    <row r="6" ht="15" customHeight="1" s="107">
      <c r="A6" s="148" t="inlineStr">
        <is>
          <t>Наименование разрабатываемого показателя УНЦ — УНЦ провода СИП ВЛ 0,4-35 кВ (СИП-4)</t>
        </is>
      </c>
      <c r="G6" s="54" t="n"/>
      <c r="H6" s="55" t="n"/>
    </row>
    <row r="7" ht="14.25" customHeight="1" s="107">
      <c r="G7" s="54" t="n"/>
      <c r="H7" s="55" t="n"/>
    </row>
    <row r="8" ht="15.75" customHeight="1" s="107">
      <c r="C8" s="56" t="n"/>
      <c r="D8" s="57" t="n"/>
      <c r="E8" s="58" t="n"/>
      <c r="F8" s="59" t="n"/>
      <c r="G8" s="60" t="n"/>
      <c r="H8" s="61" t="n"/>
    </row>
    <row r="9" ht="38.25" customHeight="1" s="107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80" t="n"/>
    </row>
    <row r="10" ht="40.5" customHeight="1" s="107">
      <c r="A10" s="182" t="n"/>
      <c r="B10" s="182" t="n"/>
      <c r="C10" s="182" t="n"/>
      <c r="D10" s="182" t="n"/>
      <c r="E10" s="182" t="n"/>
      <c r="F10" s="182" t="n"/>
      <c r="G10" s="141" t="inlineStr">
        <is>
          <t>на ед.изм.</t>
        </is>
      </c>
      <c r="H10" s="141" t="inlineStr">
        <is>
          <t>общая</t>
        </is>
      </c>
    </row>
    <row r="11" ht="15.75" customHeight="1" s="107">
      <c r="A11" s="141" t="n">
        <v>1</v>
      </c>
      <c r="B11" s="62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62" t="n">
        <v>6</v>
      </c>
      <c r="H11" s="62" t="n">
        <v>7</v>
      </c>
    </row>
    <row r="12" ht="15" customHeight="1" s="107">
      <c r="A12" s="146" t="inlineStr">
        <is>
          <t>Затраты труда рабочих</t>
        </is>
      </c>
      <c r="B12" s="179" t="n"/>
      <c r="C12" s="179" t="n"/>
      <c r="D12" s="180" t="n"/>
      <c r="E12" s="63" t="n"/>
      <c r="F12" s="79">
        <f>SUM(F13:F13)</f>
        <v/>
      </c>
      <c r="G12" s="63" t="n"/>
      <c r="H12" s="80">
        <f>SUM(H13:H13)</f>
        <v/>
      </c>
    </row>
    <row r="13">
      <c r="A13" s="131" t="inlineStr">
        <is>
          <t>1</t>
        </is>
      </c>
      <c r="B13" s="131" t="n"/>
      <c r="C13" s="68" t="inlineStr">
        <is>
          <t>1-3-9</t>
        </is>
      </c>
      <c r="D13" s="85" t="inlineStr">
        <is>
          <t>Затраты труда рабочих (ср 3,9)</t>
        </is>
      </c>
      <c r="E13" s="86" t="inlineStr">
        <is>
          <t>чел.час</t>
        </is>
      </c>
      <c r="F13" s="83" t="n">
        <v>104.3796</v>
      </c>
      <c r="G13" s="64" t="n">
        <v>9.51</v>
      </c>
      <c r="H13" s="5">
        <f>ROUND(F13*G13,2)</f>
        <v/>
      </c>
      <c r="J13" s="66" t="n"/>
      <c r="K13" s="65" t="n"/>
      <c r="L13" s="65" t="n"/>
    </row>
    <row r="14">
      <c r="A14" s="185" t="inlineStr">
        <is>
          <t>Затраты труда машинистов</t>
        </is>
      </c>
      <c r="B14" s="183" t="n"/>
      <c r="C14" s="183" t="n"/>
      <c r="D14" s="184" t="n"/>
      <c r="E14" s="177" t="n"/>
      <c r="F14" s="68" t="n"/>
      <c r="G14" s="64" t="n"/>
      <c r="H14" s="81">
        <f>H15</f>
        <v/>
      </c>
      <c r="L14" s="65" t="n"/>
    </row>
    <row r="15">
      <c r="A15" s="131">
        <f>A13+1</f>
        <v/>
      </c>
      <c r="B15" s="78" t="n"/>
      <c r="C15" s="131" t="n">
        <v>2</v>
      </c>
      <c r="D15" s="155" t="inlineStr">
        <is>
          <t>Затраты труда машинистов</t>
        </is>
      </c>
      <c r="E15" s="156" t="inlineStr">
        <is>
          <t>чел.час</t>
        </is>
      </c>
      <c r="F15" s="87" t="n">
        <v>60.02</v>
      </c>
      <c r="G15" s="176" t="n"/>
      <c r="H15" s="88" t="n">
        <v>638.5700000000001</v>
      </c>
    </row>
    <row r="16" ht="15" customHeight="1" s="107">
      <c r="A16" s="146" t="inlineStr">
        <is>
          <t>Машины и механизмы</t>
        </is>
      </c>
      <c r="B16" s="179" t="n"/>
      <c r="C16" s="179" t="n"/>
      <c r="D16" s="180" t="n"/>
      <c r="E16" s="63" t="n"/>
      <c r="F16" s="63" t="n"/>
      <c r="G16" s="63" t="n"/>
      <c r="H16" s="82">
        <f>SUM(H17:H21)</f>
        <v/>
      </c>
      <c r="K16" s="65" t="n"/>
    </row>
    <row r="17">
      <c r="A17" s="156">
        <f>A15+1</f>
        <v/>
      </c>
      <c r="B17" s="131" t="n"/>
      <c r="C17" s="131" t="inlineStr">
        <is>
          <t>91.06.06-011</t>
        </is>
      </c>
      <c r="D17" s="155" t="inlineStr">
        <is>
          <t>Автогидроподъемники высотой подъема: 12 м</t>
        </is>
      </c>
      <c r="E17" s="156" t="inlineStr">
        <is>
          <t>маш.час</t>
        </is>
      </c>
      <c r="F17" s="156" t="n">
        <v>39.06</v>
      </c>
      <c r="G17" s="158" t="n">
        <v>82.22</v>
      </c>
      <c r="H17" s="5">
        <f>ROUND(F17*G17,2)</f>
        <v/>
      </c>
      <c r="I17" s="69">
        <f>H17/$H$16</f>
        <v/>
      </c>
    </row>
    <row r="18" ht="25.5" customHeight="1" s="107">
      <c r="A18" s="156">
        <f>A17+1</f>
        <v/>
      </c>
      <c r="B18" s="131" t="n"/>
      <c r="C18" s="131" t="inlineStr">
        <is>
          <t>91.06.03-057</t>
        </is>
      </c>
      <c r="D18" s="155" t="inlineStr">
        <is>
          <t>Лебедки электрические тяговым усилием: 122,62 кН (12,5 т)</t>
        </is>
      </c>
      <c r="E18" s="156" t="inlineStr">
        <is>
          <t>маш.час</t>
        </is>
      </c>
      <c r="F18" s="156" t="n">
        <v>19.12</v>
      </c>
      <c r="G18" s="158" t="n">
        <v>80.73999999999999</v>
      </c>
      <c r="H18" s="5">
        <f>ROUND(F18*G18,2)</f>
        <v/>
      </c>
      <c r="I18" s="69">
        <f>H18/$H$16</f>
        <v/>
      </c>
    </row>
    <row r="19" ht="25.5" customHeight="1" s="107">
      <c r="A19" s="156">
        <f>A18+1</f>
        <v/>
      </c>
      <c r="B19" s="131" t="n"/>
      <c r="C19" s="131" t="inlineStr">
        <is>
          <t>91.05.05-014</t>
        </is>
      </c>
      <c r="D19" s="155" t="inlineStr">
        <is>
          <t>Краны на автомобильном ходу, грузоподъемность 10 т</t>
        </is>
      </c>
      <c r="E19" s="156" t="inlineStr">
        <is>
          <t>маш.час</t>
        </is>
      </c>
      <c r="F19" s="156" t="n">
        <v>1.31</v>
      </c>
      <c r="G19" s="158" t="n">
        <v>111.99</v>
      </c>
      <c r="H19" s="5">
        <f>ROUND(F19*G19,2)</f>
        <v/>
      </c>
      <c r="I19" s="69">
        <f>H19/$H$16</f>
        <v/>
      </c>
    </row>
    <row r="20">
      <c r="A20" s="156">
        <f>A19+1</f>
        <v/>
      </c>
      <c r="B20" s="131" t="n"/>
      <c r="C20" s="131" t="inlineStr">
        <is>
          <t>91.14.02-001</t>
        </is>
      </c>
      <c r="D20" s="155" t="inlineStr">
        <is>
          <t>Автомобили бортовые, грузоподъемность: до 5 т</t>
        </is>
      </c>
      <c r="E20" s="156" t="inlineStr">
        <is>
          <t>маш.час</t>
        </is>
      </c>
      <c r="F20" s="156" t="n">
        <v>0.53</v>
      </c>
      <c r="G20" s="158" t="n">
        <v>65.70999999999999</v>
      </c>
      <c r="H20" s="5">
        <f>ROUND(F20*G20,2)</f>
        <v/>
      </c>
      <c r="I20" s="69">
        <f>H20/$H$16</f>
        <v/>
      </c>
    </row>
    <row r="21">
      <c r="A21" s="156">
        <f>A20+1</f>
        <v/>
      </c>
      <c r="B21" s="131" t="n"/>
      <c r="C21" s="131" t="inlineStr">
        <is>
          <t>91.06.01-002</t>
        </is>
      </c>
      <c r="D21" s="155" t="inlineStr">
        <is>
          <t>Домкраты гидравлические, грузоподъемность 6,3-25 т</t>
        </is>
      </c>
      <c r="E21" s="156" t="inlineStr">
        <is>
          <t>маш.час</t>
        </is>
      </c>
      <c r="F21" s="156" t="n">
        <v>15.62</v>
      </c>
      <c r="G21" s="158" t="n">
        <v>0.48</v>
      </c>
      <c r="H21" s="5">
        <f>ROUND(F21*G21,2)</f>
        <v/>
      </c>
      <c r="I21" s="69" t="n"/>
    </row>
    <row r="22" ht="15" customHeight="1" s="107">
      <c r="A22" s="147" t="inlineStr">
        <is>
          <t>Оборудование</t>
        </is>
      </c>
      <c r="B22" s="179" t="n"/>
      <c r="C22" s="179" t="n"/>
      <c r="D22" s="180" t="n"/>
      <c r="E22" s="70" t="n"/>
      <c r="F22" s="71" t="n"/>
      <c r="G22" s="64" t="n"/>
      <c r="H22" s="84" t="n"/>
      <c r="I22" s="69" t="n"/>
    </row>
    <row r="23" ht="15" customHeight="1" s="107">
      <c r="A23" s="146" t="inlineStr">
        <is>
          <t>Материалы</t>
        </is>
      </c>
      <c r="B23" s="179" t="n"/>
      <c r="C23" s="179" t="n"/>
      <c r="D23" s="180" t="n"/>
      <c r="E23" s="77" t="n"/>
      <c r="F23" s="77" t="n"/>
      <c r="G23" s="63" t="n"/>
      <c r="H23" s="82">
        <f>SUM(H24:H28)</f>
        <v/>
      </c>
    </row>
    <row r="24" ht="25.5" customHeight="1" s="107">
      <c r="A24" s="156" t="n">
        <v>8</v>
      </c>
      <c r="B24" s="131" t="n"/>
      <c r="C24" s="131" t="inlineStr">
        <is>
          <t>Прайс из СД ОП</t>
        </is>
      </c>
      <c r="D24" s="155" t="inlineStr">
        <is>
          <t>Провода изолированные для воздушных линий  СИП-4 2х50</t>
        </is>
      </c>
      <c r="E24" s="156" t="inlineStr">
        <is>
          <t>км</t>
        </is>
      </c>
      <c r="F24" s="156" t="n">
        <v>1</v>
      </c>
      <c r="G24" s="158" t="n">
        <v>14609.73</v>
      </c>
      <c r="H24" s="5">
        <f>ROUND(F24*G24,2)</f>
        <v/>
      </c>
      <c r="I24" s="69">
        <f>H24/$H$23</f>
        <v/>
      </c>
    </row>
    <row r="25" ht="15" customHeight="1" s="107">
      <c r="A25" s="156" t="n">
        <v>9</v>
      </c>
      <c r="B25" s="146" t="n"/>
      <c r="C25" s="131" t="inlineStr">
        <is>
          <t>25.2.02.04-0003</t>
        </is>
      </c>
      <c r="D25" s="155" t="inlineStr">
        <is>
          <t>Комплект промежуточной подвески (СИП) ES 1500E</t>
        </is>
      </c>
      <c r="E25" s="156" t="inlineStr">
        <is>
          <t>компл.</t>
        </is>
      </c>
      <c r="F25" s="156" t="n">
        <v>29</v>
      </c>
      <c r="G25" s="158" t="n">
        <v>168.71</v>
      </c>
      <c r="H25" s="5">
        <f>ROUND(F25*G25,2)</f>
        <v/>
      </c>
      <c r="I25" s="69">
        <f>H25/$H$23</f>
        <v/>
      </c>
    </row>
    <row r="26" ht="40.5" customHeight="1" s="107">
      <c r="A26" s="156" t="n">
        <v>10</v>
      </c>
      <c r="B26" s="131" t="n"/>
      <c r="C26" s="131" t="inlineStr">
        <is>
          <t>25.2.02.11-0021</t>
        </is>
      </c>
      <c r="D26" s="1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156" t="inlineStr">
        <is>
          <t>шт</t>
        </is>
      </c>
      <c r="F26" s="156" t="n">
        <v>1.8</v>
      </c>
      <c r="G26" s="158" t="n">
        <v>943.0599999999999</v>
      </c>
      <c r="H26" s="5">
        <f>ROUND(F26*G26,2)</f>
        <v/>
      </c>
      <c r="I26" s="69">
        <f>H26/$H$23</f>
        <v/>
      </c>
    </row>
    <row r="27" ht="25.5" customHeight="1" s="107">
      <c r="A27" s="156">
        <f>A26+1</f>
        <v/>
      </c>
      <c r="B27" s="131" t="n"/>
      <c r="C27" s="131" t="inlineStr">
        <is>
          <t>25.2.02.04-0002</t>
        </is>
      </c>
      <c r="D27" s="155" t="inlineStr">
        <is>
          <t>Комплект для простого анкерного крепления ЕА1500-3 в составе: кронштейн CS10.3, зажим РА1500</t>
        </is>
      </c>
      <c r="E27" s="156" t="inlineStr">
        <is>
          <t>компл.</t>
        </is>
      </c>
      <c r="F27" s="156" t="n">
        <v>2</v>
      </c>
      <c r="G27" s="158" t="n">
        <v>242.4</v>
      </c>
      <c r="H27" s="5">
        <f>ROUND(F27*G27,2)</f>
        <v/>
      </c>
      <c r="I27" s="69">
        <f>H27/$H$23</f>
        <v/>
      </c>
    </row>
    <row r="28">
      <c r="A28" s="156">
        <f>A27+1</f>
        <v/>
      </c>
      <c r="B28" s="131" t="n"/>
      <c r="C28" s="131" t="inlineStr">
        <is>
          <t>25.2.02.11-0051</t>
        </is>
      </c>
      <c r="D28" s="155" t="inlineStr">
        <is>
          <t>Скрепа размером 20 мм NC20 (СИП)</t>
        </is>
      </c>
      <c r="E28" s="156" t="inlineStr">
        <is>
          <t>100 шт</t>
        </is>
      </c>
      <c r="F28" s="156" t="n">
        <v>0.62</v>
      </c>
      <c r="G28" s="158" t="n">
        <v>582</v>
      </c>
      <c r="H28" s="5">
        <f>ROUND(F28*G28,2)</f>
        <v/>
      </c>
      <c r="I28" s="69">
        <f>H28/$H$23</f>
        <v/>
      </c>
    </row>
    <row r="29">
      <c r="C29" s="59" t="n"/>
      <c r="D29" s="57" t="n"/>
      <c r="E29" s="58" t="n"/>
      <c r="F29" s="58" t="n"/>
      <c r="G29" s="60" t="n"/>
      <c r="H29" s="75" t="n"/>
    </row>
    <row r="30" ht="25.5" customHeight="1" s="107">
      <c r="B30" s="72" t="inlineStr">
        <is>
          <t xml:space="preserve">Примечание: </t>
        </is>
      </c>
      <c r="C30" s="1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73" t="n"/>
    </row>
    <row r="34" ht="14.25" customFormat="1" customHeight="1" s="117">
      <c r="A34" s="108" t="inlineStr">
        <is>
          <t>Составил ______________________    Д.Ю. Нефедова</t>
        </is>
      </c>
    </row>
    <row r="35" ht="14.25" customFormat="1" customHeight="1" s="117">
      <c r="A35" s="118" t="inlineStr">
        <is>
          <t xml:space="preserve">                         (подпись, инициалы, фамилия)</t>
        </is>
      </c>
    </row>
    <row r="36" ht="14.25" customFormat="1" customHeight="1" s="117">
      <c r="A36" s="108" t="n"/>
    </row>
    <row r="37" ht="14.25" customFormat="1" customHeight="1" s="117">
      <c r="A37" s="108" t="inlineStr">
        <is>
          <t>Проверил ______________________        А.В. Костянецкая</t>
        </is>
      </c>
    </row>
    <row r="38" ht="14.25" customFormat="1" customHeight="1" s="117">
      <c r="A38" s="118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9.140625" customWidth="1" style="107" min="6" max="6"/>
    <col width="12.85546875" customWidth="1" style="107" min="7" max="7"/>
    <col width="9.140625" customWidth="1" style="107" min="8" max="11"/>
    <col width="13.5703125" customWidth="1" style="107" min="12" max="12"/>
    <col width="9.140625" customWidth="1" style="107" min="13" max="13"/>
  </cols>
  <sheetData>
    <row r="1">
      <c r="B1" s="108" t="n"/>
      <c r="C1" s="108" t="n"/>
      <c r="D1" s="108" t="n"/>
      <c r="E1" s="108" t="n"/>
    </row>
    <row r="2">
      <c r="B2" s="108" t="n"/>
      <c r="C2" s="108" t="n"/>
      <c r="D2" s="108" t="n"/>
      <c r="E2" s="172" t="inlineStr">
        <is>
          <t>Приложение № 4</t>
        </is>
      </c>
    </row>
    <row r="3">
      <c r="B3" s="108" t="n"/>
      <c r="C3" s="108" t="n"/>
      <c r="D3" s="108" t="n"/>
      <c r="E3" s="108" t="n"/>
    </row>
    <row r="4">
      <c r="B4" s="108" t="n"/>
      <c r="C4" s="108" t="n"/>
      <c r="D4" s="108" t="n"/>
      <c r="E4" s="108" t="n"/>
    </row>
    <row r="5">
      <c r="B5" s="152" t="inlineStr">
        <is>
          <t>Ресурсная модель</t>
        </is>
      </c>
    </row>
    <row r="6">
      <c r="B6" s="39" t="n"/>
      <c r="C6" s="108" t="n"/>
      <c r="D6" s="108" t="n"/>
      <c r="E6" s="108" t="n"/>
    </row>
    <row r="7" ht="25.5" customHeight="1" s="107">
      <c r="B7" s="153" t="inlineStr">
        <is>
          <t>Наименование разрабатываемого показателя УНЦ — УНЦ провода СИП ВЛ 0,4-35 кВ (СИП-4)</t>
        </is>
      </c>
    </row>
    <row r="8">
      <c r="B8" s="154" t="inlineStr">
        <is>
          <t>Единица измерения  — 1 км</t>
        </is>
      </c>
    </row>
    <row r="9">
      <c r="B9" s="39" t="n"/>
      <c r="C9" s="108" t="n"/>
      <c r="D9" s="108" t="n"/>
      <c r="E9" s="108" t="n"/>
    </row>
    <row r="10" ht="51" customHeight="1" s="107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3">
        <f>'Прил.5 Расчет СМР и ОБ'!J15</f>
        <v/>
      </c>
      <c r="D11" s="41">
        <f>C11/$C$24</f>
        <v/>
      </c>
      <c r="E11" s="41">
        <f>C11/$C$40</f>
        <v/>
      </c>
    </row>
    <row r="12">
      <c r="B12" s="9" t="inlineStr">
        <is>
          <t>Эксплуатация машин основных</t>
        </is>
      </c>
      <c r="C12" s="113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9" t="inlineStr">
        <is>
          <t>Эксплуатация машин прочих</t>
        </is>
      </c>
      <c r="C13" s="113">
        <f>'Прил.5 Расчет СМР и ОБ'!J26</f>
        <v/>
      </c>
      <c r="D13" s="41">
        <f>C13/$C$24</f>
        <v/>
      </c>
      <c r="E13" s="41">
        <f>C13/$C$40</f>
        <v/>
      </c>
    </row>
    <row r="14">
      <c r="B14" s="9" t="inlineStr">
        <is>
          <t>ЭКСПЛУАТАЦИЯ МАШИН, ВСЕГО:</t>
        </is>
      </c>
      <c r="C14" s="113">
        <f>C13+C12</f>
        <v/>
      </c>
      <c r="D14" s="41">
        <f>C14/$C$24</f>
        <v/>
      </c>
      <c r="E14" s="41">
        <f>C14/$C$40</f>
        <v/>
      </c>
    </row>
    <row r="15">
      <c r="B15" s="9" t="inlineStr">
        <is>
          <t>в том числе зарплата машинистов</t>
        </is>
      </c>
      <c r="C15" s="113">
        <f>'Прил.5 Расчет СМР и ОБ'!J17</f>
        <v/>
      </c>
      <c r="D15" s="41">
        <f>C15/$C$24</f>
        <v/>
      </c>
      <c r="E15" s="41">
        <f>C15/$C$40</f>
        <v/>
      </c>
    </row>
    <row r="16">
      <c r="B16" s="9" t="inlineStr">
        <is>
          <t>Материалы основные</t>
        </is>
      </c>
      <c r="C16" s="113">
        <f>'Прил.5 Расчет СМР и ОБ'!J38</f>
        <v/>
      </c>
      <c r="D16" s="41">
        <f>C16/$C$24</f>
        <v/>
      </c>
      <c r="E16" s="41">
        <f>C16/$C$40</f>
        <v/>
      </c>
    </row>
    <row r="17">
      <c r="B17" s="9" t="inlineStr">
        <is>
          <t>Материалы прочие</t>
        </is>
      </c>
      <c r="C17" s="113">
        <f>'Прил.5 Расчет СМР и ОБ'!J42</f>
        <v/>
      </c>
      <c r="D17" s="41">
        <f>C17/$C$24</f>
        <v/>
      </c>
      <c r="E17" s="41">
        <f>C17/$C$40</f>
        <v/>
      </c>
      <c r="G17" s="42" t="n"/>
    </row>
    <row r="18">
      <c r="B18" s="9" t="inlineStr">
        <is>
          <t>МАТЕРИАЛЫ, ВСЕГО:</t>
        </is>
      </c>
      <c r="C18" s="113">
        <f>C17+C16</f>
        <v/>
      </c>
      <c r="D18" s="41">
        <f>C18/$C$24</f>
        <v/>
      </c>
      <c r="E18" s="41">
        <f>C18/$C$40</f>
        <v/>
      </c>
    </row>
    <row r="19">
      <c r="B19" s="9" t="inlineStr">
        <is>
          <t>ИТОГО</t>
        </is>
      </c>
      <c r="C19" s="113">
        <f>C18+C14+C11</f>
        <v/>
      </c>
      <c r="D19" s="41" t="n"/>
      <c r="E19" s="9" t="n"/>
    </row>
    <row r="20">
      <c r="B20" s="9" t="inlineStr">
        <is>
          <t>Сметная прибыль, руб.</t>
        </is>
      </c>
      <c r="C20" s="113">
        <f>ROUND(C21*(C11+C15),2)</f>
        <v/>
      </c>
      <c r="D20" s="41">
        <f>C20/$C$24</f>
        <v/>
      </c>
      <c r="E20" s="41">
        <f>C20/$C$40</f>
        <v/>
      </c>
    </row>
    <row r="21">
      <c r="B21" s="9" t="inlineStr">
        <is>
          <t>Сметная прибыль, %</t>
        </is>
      </c>
      <c r="C21" s="43">
        <f>'Прил.5 Расчет СМР и ОБ'!D46</f>
        <v/>
      </c>
      <c r="D21" s="41" t="n"/>
      <c r="E21" s="9" t="n"/>
    </row>
    <row r="22">
      <c r="B22" s="9" t="inlineStr">
        <is>
          <t>Накладные расходы, руб.</t>
        </is>
      </c>
      <c r="C22" s="113">
        <f>ROUND(C23*(C11+C15),2)</f>
        <v/>
      </c>
      <c r="D22" s="41">
        <f>C22/$C$24</f>
        <v/>
      </c>
      <c r="E22" s="41">
        <f>C22/$C$40</f>
        <v/>
      </c>
    </row>
    <row r="23">
      <c r="B23" s="9" t="inlineStr">
        <is>
          <t>Накладные расходы, %</t>
        </is>
      </c>
      <c r="C23" s="43">
        <f>'Прил.5 Расчет СМР и ОБ'!D45</f>
        <v/>
      </c>
      <c r="D23" s="41" t="n"/>
      <c r="E23" s="9" t="n"/>
    </row>
    <row r="24">
      <c r="B24" s="9" t="inlineStr">
        <is>
          <t>ВСЕГО СМР с НР и СП</t>
        </is>
      </c>
      <c r="C24" s="113">
        <f>C19+C20+C22</f>
        <v/>
      </c>
      <c r="D24" s="41">
        <f>C24/$C$24</f>
        <v/>
      </c>
      <c r="E24" s="41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113">
        <f>'Прил.5 Расчет СМР и ОБ'!J32</f>
        <v/>
      </c>
      <c r="D25" s="41" t="n"/>
      <c r="E25" s="41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113">
        <f>C25</f>
        <v/>
      </c>
      <c r="D26" s="41" t="n"/>
      <c r="E26" s="41">
        <f>C26/$C$40</f>
        <v/>
      </c>
    </row>
    <row r="27">
      <c r="B27" s="9" t="inlineStr">
        <is>
          <t>ИТОГО (СМР + ОБОРУДОВАНИЕ)</t>
        </is>
      </c>
      <c r="C27" s="44">
        <f>C24+C25</f>
        <v/>
      </c>
      <c r="D27" s="41" t="n"/>
      <c r="E27" s="41">
        <f>C27/$C$40</f>
        <v/>
      </c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44">
        <f>ROUND(C24*2.5%,2)</f>
        <v/>
      </c>
      <c r="D29" s="9" t="n"/>
      <c r="E29" s="41" t="n">
        <v>0.025</v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- 1,9%</t>
        </is>
      </c>
      <c r="C30" s="44">
        <f>ROUND((C24+C29)*1.9%,2)</f>
        <v/>
      </c>
      <c r="D30" s="9" t="n"/>
      <c r="E30" s="41" t="n">
        <v>0.019</v>
      </c>
    </row>
    <row r="31" ht="25.5" customHeight="1" s="107">
      <c r="B31" s="9" t="inlineStr">
        <is>
          <t>Пусконаладочные работы (на основании СД ОП)</t>
        </is>
      </c>
      <c r="C31" s="44" t="n">
        <v>0</v>
      </c>
      <c r="D31" s="9" t="n"/>
      <c r="E31" s="41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44" t="n">
        <v>0</v>
      </c>
      <c r="D32" s="9" t="n"/>
      <c r="E32" s="41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44" t="n">
        <v>0</v>
      </c>
      <c r="D33" s="9" t="n"/>
      <c r="E33" s="41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4" t="n">
        <v>0</v>
      </c>
      <c r="D34" s="9" t="n"/>
      <c r="E34" s="41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4" t="n">
        <v>0</v>
      </c>
      <c r="D35" s="9" t="n"/>
      <c r="E35" s="41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44">
        <f>ROUND((C27+C32+C33+C34+C35+C29+C31+C30)*2.14%,2)</f>
        <v/>
      </c>
      <c r="D36" s="9" t="n"/>
      <c r="E36" s="41">
        <f>C36/$C$40</f>
        <v/>
      </c>
      <c r="L36" s="45" t="n"/>
    </row>
    <row r="37">
      <c r="B37" s="9" t="inlineStr">
        <is>
          <t>Авторский надзор - 0,2%</t>
        </is>
      </c>
      <c r="C37" s="44">
        <f>ROUND((C27+C32+C33+C34+C35+C29+C31+C30)*0.2%,2)</f>
        <v/>
      </c>
      <c r="D37" s="9" t="n"/>
      <c r="E37" s="41">
        <f>C37/$C$40</f>
        <v/>
      </c>
      <c r="L37" s="45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113">
        <f>C27+C32+C33+C34+C35+C29+C31+C30+C36+C37</f>
        <v/>
      </c>
      <c r="D38" s="9" t="n"/>
      <c r="E38" s="41">
        <f>C38/$C$40</f>
        <v/>
      </c>
    </row>
    <row r="39" ht="13.5" customHeight="1" s="107">
      <c r="B39" s="9" t="inlineStr">
        <is>
          <t>Непредвиденные расходы</t>
        </is>
      </c>
      <c r="C39" s="113">
        <f>ROUND(C38*3%,2)</f>
        <v/>
      </c>
      <c r="D39" s="9" t="n"/>
      <c r="E39" s="41">
        <f>C39/$C$38</f>
        <v/>
      </c>
    </row>
    <row r="40">
      <c r="B40" s="9" t="inlineStr">
        <is>
          <t>ВСЕГО:</t>
        </is>
      </c>
      <c r="C40" s="113">
        <f>C39+C38</f>
        <v/>
      </c>
      <c r="D40" s="9" t="n"/>
      <c r="E40" s="41">
        <f>C40/$C$40</f>
        <v/>
      </c>
    </row>
    <row r="41">
      <c r="B41" s="9" t="inlineStr">
        <is>
          <t>ИТОГО ПОКАЗАТЕЛЬ НА ЕД. ИЗМ.</t>
        </is>
      </c>
      <c r="C41" s="113">
        <f>C40/'Прил.5 Расчет СМР и ОБ'!E49</f>
        <v/>
      </c>
      <c r="D41" s="9" t="n"/>
      <c r="E41" s="9" t="n"/>
    </row>
    <row r="42">
      <c r="B42" s="114" t="n"/>
      <c r="C42" s="108" t="n"/>
      <c r="D42" s="108" t="n"/>
      <c r="E42" s="108" t="n"/>
    </row>
    <row r="43">
      <c r="B43" s="114" t="inlineStr">
        <is>
          <t>Составил ____________________________ Д.Ю. Нефедова</t>
        </is>
      </c>
      <c r="C43" s="108" t="n"/>
      <c r="D43" s="108" t="n"/>
      <c r="E43" s="108" t="n"/>
    </row>
    <row r="44">
      <c r="B44" s="114" t="inlineStr">
        <is>
          <t xml:space="preserve">(должность, подпись, инициалы, фамилия) </t>
        </is>
      </c>
      <c r="C44" s="108" t="n"/>
      <c r="D44" s="108" t="n"/>
      <c r="E44" s="108" t="n"/>
    </row>
    <row r="45">
      <c r="B45" s="114" t="n"/>
      <c r="C45" s="108" t="n"/>
      <c r="D45" s="108" t="n"/>
      <c r="E45" s="108" t="n"/>
    </row>
    <row r="46">
      <c r="B46" s="114" t="inlineStr">
        <is>
          <t>Проверил ____________________________ А.В. Костянецкая</t>
        </is>
      </c>
      <c r="C46" s="108" t="n"/>
      <c r="D46" s="108" t="n"/>
      <c r="E46" s="108" t="n"/>
    </row>
    <row r="47">
      <c r="B47" s="154" t="inlineStr">
        <is>
          <t>(должность, подпись, инициалы, фамилия)</t>
        </is>
      </c>
      <c r="D47" s="108" t="n"/>
      <c r="E47" s="108" t="n"/>
    </row>
    <row r="49">
      <c r="B49" s="108" t="n"/>
      <c r="C49" s="108" t="n"/>
      <c r="D49" s="108" t="n"/>
      <c r="E49" s="108" t="n"/>
    </row>
    <row r="50">
      <c r="B50" s="108" t="n"/>
      <c r="C50" s="108" t="n"/>
      <c r="D50" s="108" t="n"/>
      <c r="E50" s="1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0.710937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9.85546875" customWidth="1" style="117" min="9" max="9"/>
    <col width="17.5703125" customWidth="1" style="117" min="10" max="10"/>
    <col width="21.42578125" customWidth="1" style="117" min="11" max="11"/>
    <col width="9.140625" customWidth="1" style="117" min="12" max="12"/>
  </cols>
  <sheetData>
    <row r="1">
      <c r="M1" s="117" t="n"/>
      <c r="N1" s="117" t="n"/>
    </row>
    <row r="2" ht="15.75" customHeight="1" s="107">
      <c r="H2" s="165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8">
      <c r="A4" s="152" t="inlineStr">
        <is>
          <t>Расчет стоимости СМР и оборудования</t>
        </is>
      </c>
    </row>
    <row r="5" ht="12.75" customFormat="1" customHeight="1" s="108">
      <c r="A5" s="152" t="n"/>
      <c r="B5" s="152" t="n"/>
      <c r="C5" s="101" t="n"/>
      <c r="D5" s="152" t="n"/>
      <c r="E5" s="152" t="n"/>
      <c r="F5" s="152" t="n"/>
      <c r="G5" s="152" t="n"/>
      <c r="H5" s="152" t="n"/>
      <c r="I5" s="152" t="n"/>
      <c r="J5" s="152" t="n"/>
    </row>
    <row r="6" ht="25.5" customFormat="1" customHeight="1" s="108">
      <c r="A6" s="103" t="inlineStr">
        <is>
          <t>Наименование разрабатываемого показателя УНЦ</t>
        </is>
      </c>
      <c r="B6" s="102" t="n"/>
      <c r="C6" s="102" t="n"/>
      <c r="D6" s="171" t="inlineStr">
        <is>
          <t>Провод СИП ВЛ 0,4-35 кВ, тип провода СИП-4, количество фазных проводов 2 шт., сечение фазного провода 50 мм2</t>
        </is>
      </c>
    </row>
    <row r="7" ht="12.75" customFormat="1" customHeight="1" s="108">
      <c r="A7" s="166" t="inlineStr">
        <is>
          <t>Единица измерения  — 1 км.</t>
        </is>
      </c>
      <c r="I7" s="153" t="n"/>
      <c r="J7" s="153" t="n"/>
    </row>
    <row r="8" ht="13.5" customFormat="1" customHeight="1" s="108">
      <c r="A8" s="166" t="n"/>
    </row>
    <row r="9" ht="13.15" customFormat="1" customHeight="1" s="108"/>
    <row r="10" ht="27" customHeight="1" s="107">
      <c r="A10" s="156" t="inlineStr">
        <is>
          <t>№ пп.</t>
        </is>
      </c>
      <c r="B10" s="156" t="inlineStr">
        <is>
          <t>Код ресурса</t>
        </is>
      </c>
      <c r="C10" s="156" t="inlineStr">
        <is>
          <t>Наименование</t>
        </is>
      </c>
      <c r="D10" s="156" t="inlineStr">
        <is>
          <t>Ед. изм.</t>
        </is>
      </c>
      <c r="E10" s="156" t="inlineStr">
        <is>
          <t>Кол-во единиц по проектным данным</t>
        </is>
      </c>
      <c r="F10" s="156" t="inlineStr">
        <is>
          <t>Сметная стоимость в ценах на 01.01.2000 (руб.)</t>
        </is>
      </c>
      <c r="G10" s="180" t="n"/>
      <c r="H10" s="156" t="inlineStr">
        <is>
          <t>Удельный вес, %</t>
        </is>
      </c>
      <c r="I10" s="156" t="inlineStr">
        <is>
          <t>Сметная стоимость в ценах на 01.01.2023 (руб.)</t>
        </is>
      </c>
      <c r="J10" s="180" t="n"/>
      <c r="M10" s="117" t="n"/>
      <c r="N10" s="117" t="n"/>
    </row>
    <row r="11" ht="28.5" customHeight="1" s="107">
      <c r="A11" s="182" t="n"/>
      <c r="B11" s="182" t="n"/>
      <c r="C11" s="182" t="n"/>
      <c r="D11" s="182" t="n"/>
      <c r="E11" s="182" t="n"/>
      <c r="F11" s="156" t="inlineStr">
        <is>
          <t>на ед. изм.</t>
        </is>
      </c>
      <c r="G11" s="156" t="inlineStr">
        <is>
          <t>общая</t>
        </is>
      </c>
      <c r="H11" s="182" t="n"/>
      <c r="I11" s="156" t="inlineStr">
        <is>
          <t>на ед. изм.</t>
        </is>
      </c>
      <c r="J11" s="156" t="inlineStr">
        <is>
          <t>общая</t>
        </is>
      </c>
      <c r="M11" s="117" t="n"/>
      <c r="N11" s="117" t="n"/>
    </row>
    <row r="12">
      <c r="A12" s="156" t="n">
        <v>1</v>
      </c>
      <c r="B12" s="156" t="n">
        <v>2</v>
      </c>
      <c r="C12" s="156" t="n">
        <v>3</v>
      </c>
      <c r="D12" s="156" t="n">
        <v>4</v>
      </c>
      <c r="E12" s="156" t="n">
        <v>5</v>
      </c>
      <c r="F12" s="156" t="n">
        <v>6</v>
      </c>
      <c r="G12" s="156" t="n">
        <v>7</v>
      </c>
      <c r="H12" s="156" t="n">
        <v>8</v>
      </c>
      <c r="I12" s="169" t="n">
        <v>9</v>
      </c>
      <c r="J12" s="169" t="n">
        <v>10</v>
      </c>
      <c r="M12" s="117" t="n"/>
      <c r="N12" s="117" t="n"/>
    </row>
    <row r="13">
      <c r="A13" s="156" t="n"/>
      <c r="B13" s="160" t="inlineStr">
        <is>
          <t>Затраты труда рабочих-строителей</t>
        </is>
      </c>
      <c r="C13" s="179" t="n"/>
      <c r="D13" s="179" t="n"/>
      <c r="E13" s="179" t="n"/>
      <c r="F13" s="179" t="n"/>
      <c r="G13" s="179" t="n"/>
      <c r="H13" s="180" t="n"/>
      <c r="I13" s="50" t="n"/>
      <c r="J13" s="50" t="n"/>
    </row>
    <row r="14" ht="25.5" customHeight="1" s="107">
      <c r="A14" s="156" t="n">
        <v>1</v>
      </c>
      <c r="B14" s="131" t="inlineStr">
        <is>
          <t>1-3-9</t>
        </is>
      </c>
      <c r="C14" s="155" t="inlineStr">
        <is>
          <t>Затраты труда рабочих-строителей среднего разряда (3,9)</t>
        </is>
      </c>
      <c r="D14" s="156" t="inlineStr">
        <is>
          <t>чел.-ч.</t>
        </is>
      </c>
      <c r="E14" s="90">
        <f>G14/F14</f>
        <v/>
      </c>
      <c r="F14" s="5" t="n">
        <v>9.51</v>
      </c>
      <c r="G14" s="5">
        <f>'Прил. 3'!H13</f>
        <v/>
      </c>
      <c r="H14" s="91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117">
      <c r="A15" s="156" t="n"/>
      <c r="B15" s="156" t="n"/>
      <c r="C15" s="160" t="inlineStr">
        <is>
          <t>Итого по разделу "Затраты труда рабочих-строителей"</t>
        </is>
      </c>
      <c r="D15" s="156" t="inlineStr">
        <is>
          <t>чел.-ч.</t>
        </is>
      </c>
      <c r="E15" s="90">
        <f>SUM(E14:E14)</f>
        <v/>
      </c>
      <c r="F15" s="5" t="n"/>
      <c r="G15" s="5">
        <f>SUM(G14:G14)</f>
        <v/>
      </c>
      <c r="H15" s="159" t="n">
        <v>1</v>
      </c>
      <c r="I15" s="50" t="n"/>
      <c r="J15" s="5">
        <f>SUM(J14:J14)</f>
        <v/>
      </c>
    </row>
    <row r="16" ht="14.25" customFormat="1" customHeight="1" s="117">
      <c r="A16" s="156" t="n"/>
      <c r="B16" s="155" t="inlineStr">
        <is>
          <t>Затраты труда машинистов</t>
        </is>
      </c>
      <c r="C16" s="179" t="n"/>
      <c r="D16" s="179" t="n"/>
      <c r="E16" s="179" t="n"/>
      <c r="F16" s="179" t="n"/>
      <c r="G16" s="179" t="n"/>
      <c r="H16" s="180" t="n"/>
      <c r="I16" s="50" t="n"/>
      <c r="J16" s="50" t="n"/>
    </row>
    <row r="17" ht="14.25" customFormat="1" customHeight="1" s="117">
      <c r="A17" s="156" t="n">
        <v>2</v>
      </c>
      <c r="B17" s="156" t="n">
        <v>2</v>
      </c>
      <c r="C17" s="155" t="inlineStr">
        <is>
          <t>Затраты труда машинистов</t>
        </is>
      </c>
      <c r="D17" s="156" t="inlineStr">
        <is>
          <t>чел.-ч.</t>
        </is>
      </c>
      <c r="E17" s="90" t="n">
        <v>60.02</v>
      </c>
      <c r="F17" s="5">
        <f>G17/E17</f>
        <v/>
      </c>
      <c r="G17" s="5" t="n">
        <v>638.5700000000001</v>
      </c>
      <c r="H17" s="159" t="n">
        <v>1</v>
      </c>
      <c r="I17" s="5">
        <f>ROUND(F17*'Прил. 10'!D11,2)</f>
        <v/>
      </c>
      <c r="J17" s="5">
        <f>ROUND(I17*E17,2)</f>
        <v/>
      </c>
    </row>
    <row r="18" ht="14.25" customFormat="1" customHeight="1" s="117">
      <c r="A18" s="156" t="n"/>
      <c r="B18" s="160" t="inlineStr">
        <is>
          <t>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50" t="n"/>
      <c r="J18" s="50" t="n"/>
    </row>
    <row r="19" ht="14.25" customFormat="1" customHeight="1" s="117">
      <c r="A19" s="156" t="n"/>
      <c r="B19" s="155" t="inlineStr">
        <is>
          <t>Основные машины и механизмы</t>
        </is>
      </c>
      <c r="C19" s="179" t="n"/>
      <c r="D19" s="179" t="n"/>
      <c r="E19" s="179" t="n"/>
      <c r="F19" s="179" t="n"/>
      <c r="G19" s="179" t="n"/>
      <c r="H19" s="180" t="n"/>
      <c r="I19" s="50" t="n"/>
      <c r="J19" s="50" t="n"/>
    </row>
    <row r="20" ht="25.5" customFormat="1" customHeight="1" s="117">
      <c r="A20" s="156" t="n">
        <v>3</v>
      </c>
      <c r="B20" s="131" t="inlineStr">
        <is>
          <t>91.06.06-011</t>
        </is>
      </c>
      <c r="C20" s="155" t="inlineStr">
        <is>
          <t>Автогидроподъемники высотой подъема: 12 м</t>
        </is>
      </c>
      <c r="D20" s="156" t="inlineStr">
        <is>
          <t>маш.час</t>
        </is>
      </c>
      <c r="E20" s="92" t="n">
        <v>39.06</v>
      </c>
      <c r="F20" s="158" t="n">
        <v>82.22</v>
      </c>
      <c r="G20" s="5">
        <f>ROUND(E20*F20,2)</f>
        <v/>
      </c>
      <c r="H20" s="91">
        <f>G20/$G$27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17">
      <c r="A21" s="156" t="n">
        <v>4</v>
      </c>
      <c r="B21" s="131" t="inlineStr">
        <is>
          <t>91.06.03-057</t>
        </is>
      </c>
      <c r="C21" s="155" t="inlineStr">
        <is>
          <t>Лебедки электрические тяговым усилием: 122,62 кН (12,5 т)</t>
        </is>
      </c>
      <c r="D21" s="156" t="inlineStr">
        <is>
          <t>маш.час</t>
        </is>
      </c>
      <c r="E21" s="92" t="n">
        <v>19.12</v>
      </c>
      <c r="F21" s="158" t="n">
        <v>80.73999999999999</v>
      </c>
      <c r="G21" s="5">
        <f>ROUND(E21*F21,2)</f>
        <v/>
      </c>
      <c r="H21" s="91">
        <f>G21/$G$27</f>
        <v/>
      </c>
      <c r="I21" s="5">
        <f>ROUND(F21*'Прил. 10'!D12,2)</f>
        <v/>
      </c>
      <c r="J21" s="5">
        <f>ROUND(I21*E21,2)</f>
        <v/>
      </c>
    </row>
    <row r="22" ht="14.25" customFormat="1" customHeight="1" s="117">
      <c r="A22" s="156" t="n"/>
      <c r="B22" s="156" t="n"/>
      <c r="C22" s="155" t="inlineStr">
        <is>
          <t>Итого основные машины и механизмы</t>
        </is>
      </c>
      <c r="D22" s="156" t="n"/>
      <c r="E22" s="90" t="n"/>
      <c r="F22" s="5" t="n"/>
      <c r="G22" s="5">
        <f>SUM(G20:G21)</f>
        <v/>
      </c>
      <c r="H22" s="159">
        <f>G22/G27</f>
        <v/>
      </c>
      <c r="I22" s="93" t="n"/>
      <c r="J22" s="5">
        <f>SUM(J20:J21)</f>
        <v/>
      </c>
    </row>
    <row r="23" outlineLevel="1" ht="25.5" customFormat="1" customHeight="1" s="117">
      <c r="A23" s="156" t="n">
        <v>5</v>
      </c>
      <c r="B23" s="131" t="inlineStr">
        <is>
          <t>91.05.05-014</t>
        </is>
      </c>
      <c r="C23" s="155" t="inlineStr">
        <is>
          <t>Краны на автомобильном ходу, грузоподъемность 10 т</t>
        </is>
      </c>
      <c r="D23" s="156" t="inlineStr">
        <is>
          <t>маш.час</t>
        </is>
      </c>
      <c r="E23" s="92" t="n">
        <v>1.31</v>
      </c>
      <c r="F23" s="158" t="n">
        <v>111.99</v>
      </c>
      <c r="G23" s="5">
        <f>ROUND(E23*F23,2)</f>
        <v/>
      </c>
      <c r="H23" s="91">
        <f>G23/$G$27</f>
        <v/>
      </c>
      <c r="I23" s="5">
        <f>ROUND(F23*'Прил. 10'!$D$12,2)</f>
        <v/>
      </c>
      <c r="J23" s="5">
        <f>ROUND(I23*E23,2)</f>
        <v/>
      </c>
    </row>
    <row r="24" outlineLevel="1" ht="25.5" customFormat="1" customHeight="1" s="117">
      <c r="A24" s="156" t="n">
        <v>6</v>
      </c>
      <c r="B24" s="131" t="inlineStr">
        <is>
          <t>91.14.02-001</t>
        </is>
      </c>
      <c r="C24" s="155" t="inlineStr">
        <is>
          <t>Автомобили бортовые, грузоподъемность: до 5 т</t>
        </is>
      </c>
      <c r="D24" s="156" t="inlineStr">
        <is>
          <t>маш.час</t>
        </is>
      </c>
      <c r="E24" s="92" t="n">
        <v>0.53</v>
      </c>
      <c r="F24" s="158" t="n">
        <v>65.70999999999999</v>
      </c>
      <c r="G24" s="5">
        <f>ROUND(E24*F24,2)</f>
        <v/>
      </c>
      <c r="H24" s="91">
        <f>G24/$G$27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117">
      <c r="A25" s="156" t="n">
        <v>7</v>
      </c>
      <c r="B25" s="131" t="inlineStr">
        <is>
          <t>91.06.01-002</t>
        </is>
      </c>
      <c r="C25" s="155" t="inlineStr">
        <is>
          <t>Домкраты гидравлические, грузоподъемность 6,3-25 т</t>
        </is>
      </c>
      <c r="D25" s="156" t="inlineStr">
        <is>
          <t>маш.час</t>
        </is>
      </c>
      <c r="E25" s="92" t="n">
        <v>15.62</v>
      </c>
      <c r="F25" s="158" t="n">
        <v>0.48</v>
      </c>
      <c r="G25" s="5">
        <f>ROUND(E25*F25,2)</f>
        <v/>
      </c>
      <c r="H25" s="91">
        <f>G25/$G$27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117">
      <c r="A26" s="156" t="n"/>
      <c r="B26" s="156" t="n"/>
      <c r="C26" s="155" t="inlineStr">
        <is>
          <t>Итого прочие машины и механизмы</t>
        </is>
      </c>
      <c r="D26" s="156" t="n"/>
      <c r="E26" s="157" t="n"/>
      <c r="F26" s="5" t="n"/>
      <c r="G26" s="93">
        <f>SUM(G23:G25)</f>
        <v/>
      </c>
      <c r="H26" s="91">
        <f>G26/G27</f>
        <v/>
      </c>
      <c r="I26" s="5" t="n"/>
      <c r="J26" s="5">
        <f>SUM(J23:J25)</f>
        <v/>
      </c>
    </row>
    <row r="27" ht="25.5" customFormat="1" customHeight="1" s="117">
      <c r="A27" s="156" t="n"/>
      <c r="B27" s="156" t="n"/>
      <c r="C27" s="160" t="inlineStr">
        <is>
          <t>Итого по разделу «Машины и механизмы»</t>
        </is>
      </c>
      <c r="D27" s="156" t="n"/>
      <c r="E27" s="157" t="n"/>
      <c r="F27" s="5" t="n"/>
      <c r="G27" s="5">
        <f>G26+G22</f>
        <v/>
      </c>
      <c r="H27" s="94" t="n">
        <v>1</v>
      </c>
      <c r="I27" s="95" t="n"/>
      <c r="J27" s="96">
        <f>J26+J22</f>
        <v/>
      </c>
    </row>
    <row r="28" ht="14.25" customFormat="1" customHeight="1" s="117">
      <c r="A28" s="156" t="n"/>
      <c r="B28" s="160" t="inlineStr">
        <is>
          <t>Оборудование</t>
        </is>
      </c>
      <c r="C28" s="179" t="n"/>
      <c r="D28" s="179" t="n"/>
      <c r="E28" s="179" t="n"/>
      <c r="F28" s="179" t="n"/>
      <c r="G28" s="179" t="n"/>
      <c r="H28" s="180" t="n"/>
      <c r="I28" s="50" t="n"/>
      <c r="J28" s="50" t="n"/>
    </row>
    <row r="29">
      <c r="A29" s="156" t="n"/>
      <c r="B29" s="155" t="inlineStr">
        <is>
          <t>Основное оборудование</t>
        </is>
      </c>
      <c r="C29" s="179" t="n"/>
      <c r="D29" s="179" t="n"/>
      <c r="E29" s="179" t="n"/>
      <c r="F29" s="179" t="n"/>
      <c r="G29" s="179" t="n"/>
      <c r="H29" s="180" t="n"/>
      <c r="I29" s="50" t="n"/>
      <c r="J29" s="50" t="n"/>
    </row>
    <row r="30">
      <c r="A30" s="156" t="n"/>
      <c r="B30" s="156" t="n"/>
      <c r="C30" s="155" t="inlineStr">
        <is>
          <t>Итого основное оборудование</t>
        </is>
      </c>
      <c r="D30" s="156" t="n"/>
      <c r="E30" s="90" t="n"/>
      <c r="F30" s="158" t="n"/>
      <c r="G30" s="5" t="n">
        <v>0</v>
      </c>
      <c r="H30" s="159" t="n">
        <v>0</v>
      </c>
      <c r="I30" s="93" t="n"/>
      <c r="J30" s="5" t="n">
        <v>0</v>
      </c>
    </row>
    <row r="31">
      <c r="A31" s="156" t="n"/>
      <c r="B31" s="156" t="n"/>
      <c r="C31" s="155" t="inlineStr">
        <is>
          <t>Итого прочее оборудование</t>
        </is>
      </c>
      <c r="D31" s="156" t="n"/>
      <c r="E31" s="90" t="n"/>
      <c r="F31" s="158" t="n"/>
      <c r="G31" s="5" t="n">
        <v>0</v>
      </c>
      <c r="H31" s="159" t="n">
        <v>0</v>
      </c>
      <c r="I31" s="93" t="n"/>
      <c r="J31" s="5" t="n">
        <v>0</v>
      </c>
    </row>
    <row r="32">
      <c r="A32" s="156" t="n"/>
      <c r="B32" s="156" t="n"/>
      <c r="C32" s="160" t="inlineStr">
        <is>
          <t>Итого по разделу «Оборудование»</t>
        </is>
      </c>
      <c r="D32" s="156" t="n"/>
      <c r="E32" s="157" t="n"/>
      <c r="F32" s="158" t="n"/>
      <c r="G32" s="5">
        <f>G30+G31</f>
        <v/>
      </c>
      <c r="H32" s="159" t="n">
        <v>0</v>
      </c>
      <c r="I32" s="93" t="n"/>
      <c r="J32" s="5">
        <f>J31+J30</f>
        <v/>
      </c>
    </row>
    <row r="33" ht="25.5" customHeight="1" s="107">
      <c r="A33" s="156" t="n"/>
      <c r="B33" s="156" t="n"/>
      <c r="C33" s="155" t="inlineStr">
        <is>
          <t>в том числе технологическое оборудование</t>
        </is>
      </c>
      <c r="D33" s="156" t="n"/>
      <c r="E33" s="97" t="n"/>
      <c r="F33" s="158" t="n"/>
      <c r="G33" s="5">
        <f>G32</f>
        <v/>
      </c>
      <c r="H33" s="159" t="n"/>
      <c r="I33" s="93" t="n"/>
      <c r="J33" s="5">
        <f>J32</f>
        <v/>
      </c>
    </row>
    <row r="34" ht="14.25" customFormat="1" customHeight="1" s="117">
      <c r="A34" s="156" t="n"/>
      <c r="B34" s="160" t="inlineStr">
        <is>
          <t>Материалы</t>
        </is>
      </c>
      <c r="C34" s="179" t="n"/>
      <c r="D34" s="179" t="n"/>
      <c r="E34" s="179" t="n"/>
      <c r="F34" s="179" t="n"/>
      <c r="G34" s="179" t="n"/>
      <c r="H34" s="180" t="n"/>
      <c r="I34" s="50" t="n"/>
      <c r="J34" s="50" t="n"/>
    </row>
    <row r="35" ht="14.25" customFormat="1" customHeight="1" s="117">
      <c r="A35" s="156" t="n"/>
      <c r="B35" s="155" t="inlineStr">
        <is>
          <t>Основные материалы</t>
        </is>
      </c>
      <c r="C35" s="179" t="n"/>
      <c r="D35" s="179" t="n"/>
      <c r="E35" s="179" t="n"/>
      <c r="F35" s="179" t="n"/>
      <c r="G35" s="179" t="n"/>
      <c r="H35" s="180" t="n"/>
      <c r="I35" s="50" t="n"/>
      <c r="J35" s="50" t="n"/>
    </row>
    <row r="36" ht="25.5" customFormat="1" customHeight="1" s="117">
      <c r="A36" s="156" t="n">
        <v>8</v>
      </c>
      <c r="B36" s="131" t="inlineStr">
        <is>
          <t>БЦ.103.162</t>
        </is>
      </c>
      <c r="C36" s="155" t="inlineStr">
        <is>
          <t>Провода изолированные для воздушных линий  СИП-4 2х50</t>
        </is>
      </c>
      <c r="D36" s="98" t="inlineStr">
        <is>
          <t>км</t>
        </is>
      </c>
      <c r="E36" s="92" t="n">
        <v>1</v>
      </c>
      <c r="F36" s="99">
        <f>ROUND(I36/'Прил. 10'!D13,2)</f>
        <v/>
      </c>
      <c r="G36" s="5">
        <f>ROUND(E36*F36,2)</f>
        <v/>
      </c>
      <c r="H36" s="159">
        <f>G36/$G$43</f>
        <v/>
      </c>
      <c r="I36" s="5" t="n">
        <v>106678.6</v>
      </c>
      <c r="J36" s="5">
        <f>ROUND(I36*E36,2)</f>
        <v/>
      </c>
    </row>
    <row r="37" ht="25.5" customFormat="1" customHeight="1" s="117">
      <c r="A37" s="156" t="n">
        <v>9</v>
      </c>
      <c r="B37" s="131" t="inlineStr">
        <is>
          <t>25.2.02.04-0003</t>
        </is>
      </c>
      <c r="C37" s="155" t="inlineStr">
        <is>
          <t>Комплект промежуточной подвески (СИП) ES 1500E</t>
        </is>
      </c>
      <c r="D37" s="156" t="inlineStr">
        <is>
          <t>компл.</t>
        </is>
      </c>
      <c r="E37" s="92" t="n">
        <v>29</v>
      </c>
      <c r="F37" s="158" t="n">
        <v>168.71</v>
      </c>
      <c r="G37" s="5">
        <f>ROUND(E37*F37,2)</f>
        <v/>
      </c>
      <c r="H37" s="91">
        <f>G37/$G$43</f>
        <v/>
      </c>
      <c r="I37" s="5">
        <f>ROUND(F37*'Прил. 10'!$D$13,2)</f>
        <v/>
      </c>
      <c r="J37" s="5">
        <f>ROUND(I37*E37,2)</f>
        <v/>
      </c>
    </row>
    <row r="38" ht="14.25" customFormat="1" customHeight="1" s="117">
      <c r="A38" s="156" t="n"/>
      <c r="B38" s="131" t="n"/>
      <c r="C38" s="155" t="inlineStr">
        <is>
          <t>Итого основные материалы</t>
        </is>
      </c>
      <c r="D38" s="156" t="n"/>
      <c r="E38" s="90" t="n"/>
      <c r="F38" s="5" t="n"/>
      <c r="G38" s="5">
        <f>SUM(G36:G37)</f>
        <v/>
      </c>
      <c r="H38" s="91">
        <f>G38/$G$43</f>
        <v/>
      </c>
      <c r="I38" s="96" t="n"/>
      <c r="J38" s="5">
        <f>SUM(J36:J37)</f>
        <v/>
      </c>
    </row>
    <row r="39" outlineLevel="1" ht="51" customFormat="1" customHeight="1" s="117">
      <c r="A39" s="156" t="n">
        <v>10</v>
      </c>
      <c r="B39" s="131" t="inlineStr">
        <is>
          <t>25.2.02.11-0021</t>
        </is>
      </c>
      <c r="C39" s="1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156" t="inlineStr">
        <is>
          <t>шт</t>
        </is>
      </c>
      <c r="E39" s="92" t="n">
        <v>1.8</v>
      </c>
      <c r="F39" s="158" t="n">
        <v>943.0599999999999</v>
      </c>
      <c r="G39" s="5">
        <f>ROUND(E39*F39,2)</f>
        <v/>
      </c>
      <c r="H39" s="91">
        <f>G39/$G$43</f>
        <v/>
      </c>
      <c r="I39" s="5">
        <f>ROUND(F39*'Прил. 10'!$D$13,2)</f>
        <v/>
      </c>
      <c r="J39" s="5">
        <f>ROUND(I39*E39,2)</f>
        <v/>
      </c>
    </row>
    <row r="40" outlineLevel="1" ht="38.25" customFormat="1" customHeight="1" s="117">
      <c r="A40" s="156" t="n">
        <v>11</v>
      </c>
      <c r="B40" s="131" t="inlineStr">
        <is>
          <t>25.2.02.04-0002</t>
        </is>
      </c>
      <c r="C40" s="155" t="inlineStr">
        <is>
          <t>Комплект для простого анкерного крепления ЕА1500-3 в составе: кронштейн CS10.3, зажим РА1500</t>
        </is>
      </c>
      <c r="D40" s="156" t="inlineStr">
        <is>
          <t>компл.</t>
        </is>
      </c>
      <c r="E40" s="92" t="n">
        <v>2</v>
      </c>
      <c r="F40" s="158" t="n">
        <v>242.4</v>
      </c>
      <c r="G40" s="5">
        <f>ROUND(E40*F40,2)</f>
        <v/>
      </c>
      <c r="H40" s="91">
        <f>G40/$G$43</f>
        <v/>
      </c>
      <c r="I40" s="5">
        <f>ROUND(F40*'Прил. 10'!$D$13,2)</f>
        <v/>
      </c>
      <c r="J40" s="5">
        <f>ROUND(I40*E40,2)</f>
        <v/>
      </c>
    </row>
    <row r="41" outlineLevel="1" ht="14.25" customFormat="1" customHeight="1" s="117">
      <c r="A41" s="156" t="n">
        <v>12</v>
      </c>
      <c r="B41" s="131" t="inlineStr">
        <is>
          <t>25.2.02.11-0051</t>
        </is>
      </c>
      <c r="C41" s="155" t="inlineStr">
        <is>
          <t>Скрепа размером 20 мм NC20 (СИП)</t>
        </is>
      </c>
      <c r="D41" s="156" t="inlineStr">
        <is>
          <t>100 шт</t>
        </is>
      </c>
      <c r="E41" s="92" t="n">
        <v>0.62</v>
      </c>
      <c r="F41" s="158" t="n">
        <v>582</v>
      </c>
      <c r="G41" s="5">
        <f>ROUND(E41*F41,2)</f>
        <v/>
      </c>
      <c r="H41" s="91">
        <f>G41/$G$43</f>
        <v/>
      </c>
      <c r="I41" s="5">
        <f>ROUND(F41*'Прил. 10'!$D$13,2)</f>
        <v/>
      </c>
      <c r="J41" s="5">
        <f>ROUND(I41*E41,2)</f>
        <v/>
      </c>
    </row>
    <row r="42" ht="14.25" customFormat="1" customHeight="1" s="117">
      <c r="A42" s="156" t="n"/>
      <c r="B42" s="156" t="n"/>
      <c r="C42" s="155" t="inlineStr">
        <is>
          <t>Итого прочие материалы</t>
        </is>
      </c>
      <c r="D42" s="156" t="n"/>
      <c r="E42" s="157" t="n"/>
      <c r="F42" s="158" t="n"/>
      <c r="G42" s="5">
        <f>SUM(G39:G41)</f>
        <v/>
      </c>
      <c r="H42" s="91">
        <f>G42/$G$43</f>
        <v/>
      </c>
      <c r="I42" s="5" t="n"/>
      <c r="J42" s="5">
        <f>SUM(J39:J41)</f>
        <v/>
      </c>
    </row>
    <row r="43" ht="14.25" customFormat="1" customHeight="1" s="117">
      <c r="A43" s="156" t="n"/>
      <c r="B43" s="156" t="n"/>
      <c r="C43" s="160" t="inlineStr">
        <is>
          <t>Итого по разделу «Материалы»</t>
        </is>
      </c>
      <c r="D43" s="156" t="n"/>
      <c r="E43" s="157" t="n"/>
      <c r="F43" s="158" t="n"/>
      <c r="G43" s="5">
        <f>G38+G42</f>
        <v/>
      </c>
      <c r="H43" s="159" t="n">
        <v>1</v>
      </c>
      <c r="I43" s="5" t="n"/>
      <c r="J43" s="5">
        <f>J38+J42</f>
        <v/>
      </c>
    </row>
    <row r="44" ht="14.25" customFormat="1" customHeight="1" s="117">
      <c r="A44" s="156" t="n"/>
      <c r="B44" s="156" t="n"/>
      <c r="C44" s="155" t="inlineStr">
        <is>
          <t>ИТОГО ПО РМ</t>
        </is>
      </c>
      <c r="D44" s="156" t="n"/>
      <c r="E44" s="157" t="n"/>
      <c r="F44" s="158" t="n"/>
      <c r="G44" s="5">
        <f>G15+G27+G43</f>
        <v/>
      </c>
      <c r="H44" s="159" t="n"/>
      <c r="I44" s="5" t="n"/>
      <c r="J44" s="5">
        <f>J15+J27+J43</f>
        <v/>
      </c>
    </row>
    <row r="45" ht="14.25" customFormat="1" customHeight="1" s="117">
      <c r="A45" s="156" t="n"/>
      <c r="B45" s="156" t="n"/>
      <c r="C45" s="155" t="inlineStr">
        <is>
          <t>Накладные расходы</t>
        </is>
      </c>
      <c r="D45" s="51">
        <f>ROUND(G45/(G$17+$G$15),2)</f>
        <v/>
      </c>
      <c r="E45" s="157" t="n"/>
      <c r="F45" s="158" t="n"/>
      <c r="G45" s="5" t="n">
        <v>1712.78</v>
      </c>
      <c r="H45" s="159" t="n"/>
      <c r="I45" s="5" t="n"/>
      <c r="J45" s="5">
        <f>ROUND(D45*(J15+J17),2)</f>
        <v/>
      </c>
    </row>
    <row r="46" ht="14.25" customFormat="1" customHeight="1" s="117">
      <c r="A46" s="156" t="n"/>
      <c r="B46" s="156" t="n"/>
      <c r="C46" s="155" t="inlineStr">
        <is>
          <t>Сметная прибыль</t>
        </is>
      </c>
      <c r="D46" s="51">
        <f>ROUND(G46/(G$15+G$17),2)</f>
        <v/>
      </c>
      <c r="E46" s="157" t="n"/>
      <c r="F46" s="158" t="n"/>
      <c r="G46" s="5" t="n">
        <v>978.73</v>
      </c>
      <c r="H46" s="159" t="n"/>
      <c r="I46" s="5" t="n"/>
      <c r="J46" s="5">
        <f>ROUND(D46*(J15+J17),2)</f>
        <v/>
      </c>
    </row>
    <row r="47" ht="14.25" customFormat="1" customHeight="1" s="117">
      <c r="A47" s="156" t="n"/>
      <c r="B47" s="156" t="n"/>
      <c r="C47" s="155" t="inlineStr">
        <is>
          <t>Итого СМР (с НР и СП)</t>
        </is>
      </c>
      <c r="D47" s="156" t="n"/>
      <c r="E47" s="157" t="n"/>
      <c r="F47" s="158" t="n"/>
      <c r="G47" s="5">
        <f>G15+G27+G43+G45+G46</f>
        <v/>
      </c>
      <c r="H47" s="159" t="n"/>
      <c r="I47" s="5" t="n"/>
      <c r="J47" s="5">
        <f>J15+J27+J43+J45+J46</f>
        <v/>
      </c>
    </row>
    <row r="48" ht="14.25" customFormat="1" customHeight="1" s="117">
      <c r="A48" s="156" t="n"/>
      <c r="B48" s="156" t="n"/>
      <c r="C48" s="155" t="inlineStr">
        <is>
          <t>ВСЕГО СМР + ОБОРУДОВАНИЕ</t>
        </is>
      </c>
      <c r="D48" s="156" t="n"/>
      <c r="E48" s="157" t="n"/>
      <c r="F48" s="158" t="n"/>
      <c r="G48" s="5">
        <f>G47+G32</f>
        <v/>
      </c>
      <c r="H48" s="159" t="n"/>
      <c r="I48" s="5" t="n"/>
      <c r="J48" s="5">
        <f>J47+J32</f>
        <v/>
      </c>
    </row>
    <row r="49" ht="34.5" customFormat="1" customHeight="1" s="117">
      <c r="A49" s="156" t="n"/>
      <c r="B49" s="156" t="n"/>
      <c r="C49" s="155" t="inlineStr">
        <is>
          <t>ИТОГО ПОКАЗАТЕЛЬ НА ЕД. ИЗМ.</t>
        </is>
      </c>
      <c r="D49" s="156" t="inlineStr">
        <is>
          <t>ед.</t>
        </is>
      </c>
      <c r="E49" s="157" t="n">
        <v>1</v>
      </c>
      <c r="F49" s="158" t="n"/>
      <c r="G49" s="5">
        <f>G48/E49</f>
        <v/>
      </c>
      <c r="H49" s="159" t="n"/>
      <c r="I49" s="5" t="n"/>
      <c r="J49" s="5">
        <f>J48/E49</f>
        <v/>
      </c>
      <c r="K49" s="130" t="n"/>
    </row>
    <row r="51" ht="14.25" customFormat="1" customHeight="1" s="117">
      <c r="A51" s="108" t="inlineStr">
        <is>
          <t>Составил ______________________    Д.Ю. Нефедова</t>
        </is>
      </c>
    </row>
    <row r="52" ht="14.25" customFormat="1" customHeight="1" s="117">
      <c r="A52" s="118" t="inlineStr">
        <is>
          <t xml:space="preserve">                         (подпись, инициалы, фамилия)</t>
        </is>
      </c>
    </row>
    <row r="53" ht="14.25" customFormat="1" customHeight="1" s="117">
      <c r="A53" s="108" t="n"/>
    </row>
    <row r="54" ht="14.25" customFormat="1" customHeight="1" s="117">
      <c r="A54" s="108" t="inlineStr">
        <is>
          <t>Проверил ______________________        А.В. Костянецкая</t>
        </is>
      </c>
    </row>
    <row r="55" ht="14.25" customFormat="1" customHeight="1" s="117">
      <c r="A55" s="1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72" t="inlineStr">
        <is>
          <t>Приложение №6</t>
        </is>
      </c>
    </row>
    <row r="2" ht="21.75" customHeight="1" s="107">
      <c r="A2" s="172" t="n"/>
      <c r="B2" s="172" t="n"/>
      <c r="C2" s="172" t="n"/>
      <c r="D2" s="172" t="n"/>
      <c r="E2" s="172" t="n"/>
      <c r="F2" s="172" t="n"/>
      <c r="G2" s="172" t="n"/>
    </row>
    <row r="3">
      <c r="A3" s="152" t="inlineStr">
        <is>
          <t>Расчет стоимости оборудования</t>
        </is>
      </c>
    </row>
    <row r="4" ht="25.5" customHeight="1" s="107">
      <c r="A4" s="166" t="inlineStr">
        <is>
          <t>Наименование разрабатываемого показателя УНЦ — УНЦ провода СИП ВЛ 0,4-35 кВ (СИП-4)</t>
        </is>
      </c>
    </row>
    <row r="5">
      <c r="A5" s="108" t="n"/>
      <c r="B5" s="108" t="n"/>
      <c r="C5" s="108" t="n"/>
      <c r="D5" s="108" t="n"/>
      <c r="E5" s="108" t="n"/>
      <c r="F5" s="108" t="n"/>
      <c r="G5" s="108" t="n"/>
    </row>
    <row r="6" ht="30" customHeight="1" s="107">
      <c r="A6" s="177" t="inlineStr">
        <is>
          <t>№ пп.</t>
        </is>
      </c>
      <c r="B6" s="177" t="inlineStr">
        <is>
          <t>Код ресурса</t>
        </is>
      </c>
      <c r="C6" s="177" t="inlineStr">
        <is>
          <t>Наименование</t>
        </is>
      </c>
      <c r="D6" s="177" t="inlineStr">
        <is>
          <t>Ед. изм.</t>
        </is>
      </c>
      <c r="E6" s="156" t="inlineStr">
        <is>
          <t>Кол-во единиц по проектным данным</t>
        </is>
      </c>
      <c r="F6" s="177" t="inlineStr">
        <is>
          <t>Сметная стоимость в ценах на 01.01.2000 (руб.)</t>
        </is>
      </c>
      <c r="G6" s="180" t="n"/>
    </row>
    <row r="7">
      <c r="A7" s="182" t="n"/>
      <c r="B7" s="182" t="n"/>
      <c r="C7" s="182" t="n"/>
      <c r="D7" s="182" t="n"/>
      <c r="E7" s="182" t="n"/>
      <c r="F7" s="156" t="inlineStr">
        <is>
          <t>на ед. изм.</t>
        </is>
      </c>
      <c r="G7" s="156" t="inlineStr">
        <is>
          <t>общая</t>
        </is>
      </c>
    </row>
    <row r="8">
      <c r="A8" s="156" t="n">
        <v>1</v>
      </c>
      <c r="B8" s="156" t="n">
        <v>2</v>
      </c>
      <c r="C8" s="156" t="n">
        <v>3</v>
      </c>
      <c r="D8" s="156" t="n">
        <v>4</v>
      </c>
      <c r="E8" s="156" t="n">
        <v>5</v>
      </c>
      <c r="F8" s="156" t="n">
        <v>6</v>
      </c>
      <c r="G8" s="156" t="n">
        <v>7</v>
      </c>
    </row>
    <row r="9" ht="15" customHeight="1" s="107">
      <c r="A9" s="9" t="n"/>
      <c r="B9" s="155" t="inlineStr">
        <is>
          <t>ИНЖЕНЕРНОЕ ОБОРУДОВАНИЕ</t>
        </is>
      </c>
      <c r="C9" s="179" t="n"/>
      <c r="D9" s="179" t="n"/>
      <c r="E9" s="179" t="n"/>
      <c r="F9" s="179" t="n"/>
      <c r="G9" s="180" t="n"/>
    </row>
    <row r="10" ht="27" customHeight="1" s="107">
      <c r="A10" s="156" t="n"/>
      <c r="B10" s="160" t="n"/>
      <c r="C10" s="155" t="inlineStr">
        <is>
          <t>ИТОГО ИНЖЕНЕРНОЕ ОБОРУДОВАНИЕ</t>
        </is>
      </c>
      <c r="D10" s="160" t="n"/>
      <c r="E10" s="10" t="n"/>
      <c r="F10" s="158" t="n"/>
      <c r="G10" s="158" t="n">
        <v>0</v>
      </c>
    </row>
    <row r="11">
      <c r="A11" s="156" t="n"/>
      <c r="B11" s="155" t="inlineStr">
        <is>
          <t>ТЕХНОЛОГИЧЕСКОЕ ОБОРУДОВАНИЕ</t>
        </is>
      </c>
      <c r="C11" s="179" t="n"/>
      <c r="D11" s="179" t="n"/>
      <c r="E11" s="179" t="n"/>
      <c r="F11" s="179" t="n"/>
      <c r="G11" s="180" t="n"/>
    </row>
    <row r="12">
      <c r="A12" s="156" t="n">
        <v>1</v>
      </c>
      <c r="B12" s="155" t="n"/>
      <c r="C12" s="155" t="n"/>
      <c r="D12" s="156" t="n"/>
      <c r="E12" s="156" t="n"/>
      <c r="F12" s="158" t="n"/>
      <c r="G12" s="5" t="n"/>
    </row>
    <row r="13" ht="25.5" customHeight="1" s="107">
      <c r="A13" s="156" t="n"/>
      <c r="B13" s="155" t="n"/>
      <c r="C13" s="155" t="inlineStr">
        <is>
          <t>ИТОГО ТЕХНОЛОГИЧЕСКОЕ ОБОРУДОВАНИЕ</t>
        </is>
      </c>
      <c r="D13" s="155" t="n"/>
      <c r="E13" s="176" t="n"/>
      <c r="F13" s="158" t="n"/>
      <c r="G13" s="5">
        <f>SUM(G12:G12)</f>
        <v/>
      </c>
    </row>
    <row r="14" ht="19.5" customHeight="1" s="107">
      <c r="A14" s="156" t="n"/>
      <c r="B14" s="155" t="n"/>
      <c r="C14" s="155" t="inlineStr">
        <is>
          <t>Всего по разделу «Оборудование»</t>
        </is>
      </c>
      <c r="D14" s="155" t="n"/>
      <c r="E14" s="176" t="n"/>
      <c r="F14" s="158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8" t="inlineStr">
        <is>
          <t>Составил ______________________    Д.Ю. Нефедова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8" t="n"/>
      <c r="B18" s="117" t="n"/>
      <c r="C18" s="117" t="n"/>
      <c r="D18" s="115" t="n"/>
      <c r="E18" s="115" t="n"/>
      <c r="F18" s="115" t="n"/>
      <c r="G18" s="115" t="n"/>
    </row>
    <row r="19">
      <c r="A19" s="108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07" min="1" max="1"/>
    <col width="29.7109375" customWidth="1" style="107" min="2" max="2"/>
    <col width="39.140625" customWidth="1" style="107" min="3" max="3"/>
    <col width="24.5703125" customWidth="1" style="107" min="4" max="4"/>
    <col width="24.85546875" customWidth="1" style="107" min="5" max="5"/>
    <col width="8.85546875" customWidth="1" style="107" min="6" max="6"/>
  </cols>
  <sheetData>
    <row r="1">
      <c r="B1" s="108" t="n"/>
      <c r="C1" s="108" t="n"/>
      <c r="D1" s="172" t="inlineStr">
        <is>
          <t>Приложение №7</t>
        </is>
      </c>
    </row>
    <row r="2">
      <c r="A2" s="172" t="n"/>
      <c r="B2" s="172" t="n"/>
      <c r="C2" s="172" t="n"/>
      <c r="D2" s="172" t="n"/>
    </row>
    <row r="3" ht="24.75" customHeight="1" s="107">
      <c r="A3" s="152" t="inlineStr">
        <is>
          <t>Расчет показателя УНЦ</t>
        </is>
      </c>
    </row>
    <row r="4" ht="24.75" customHeight="1" s="107">
      <c r="A4" s="152" t="n"/>
      <c r="B4" s="152" t="n"/>
      <c r="C4" s="152" t="n"/>
      <c r="D4" s="152" t="n"/>
    </row>
    <row r="5" ht="63.75" customHeight="1" s="107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</f>
        <v/>
      </c>
    </row>
    <row r="6" ht="19.9" customHeight="1" s="107">
      <c r="A6" s="166" t="inlineStr">
        <is>
          <t>Единица измерения  — 1 км</t>
        </is>
      </c>
      <c r="D6" s="166" t="n"/>
    </row>
    <row r="7">
      <c r="A7" s="108" t="n"/>
      <c r="B7" s="108" t="n"/>
      <c r="C7" s="108" t="n"/>
      <c r="D7" s="108" t="n"/>
    </row>
    <row r="8" ht="14.45" customHeight="1" s="107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 ht="15" customHeight="1" s="107">
      <c r="A9" s="182" t="n"/>
      <c r="B9" s="182" t="n"/>
      <c r="C9" s="182" t="n"/>
      <c r="D9" s="182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07">
      <c r="A11" s="156" t="inlineStr">
        <is>
          <t>Л7-13-4</t>
        </is>
      </c>
      <c r="B11" s="156" t="inlineStr">
        <is>
          <t xml:space="preserve">УНЦ провода СИП ВЛ 0,4 - 35 кВ </t>
        </is>
      </c>
      <c r="C11" s="113">
        <f>D5</f>
        <v/>
      </c>
      <c r="D11" s="119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08" t="inlineStr">
        <is>
          <t>Составил ______________________      Д.Ю. Нефедова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8" t="n"/>
      <c r="B15" s="117" t="n"/>
      <c r="C15" s="117" t="n"/>
      <c r="D15" s="115" t="n"/>
    </row>
    <row r="16">
      <c r="A16" s="108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4" zoomScale="60" zoomScaleNormal="85" workbookViewId="0">
      <selection activeCell="B29" sqref="B29"/>
    </sheetView>
  </sheetViews>
  <sheetFormatPr baseColWidth="8" defaultRowHeight="15"/>
  <cols>
    <col width="9.140625" customWidth="1" style="107" min="1" max="1"/>
    <col width="40.7109375" customWidth="1" style="107" min="2" max="2"/>
    <col width="37" customWidth="1" style="107" min="3" max="3"/>
    <col width="32" customWidth="1" style="107" min="4" max="4"/>
    <col width="9.140625" customWidth="1" style="107" min="5" max="5"/>
  </cols>
  <sheetData>
    <row r="4" ht="15.75" customHeight="1" s="107">
      <c r="B4" s="134" t="inlineStr">
        <is>
          <t>Приложение № 10</t>
        </is>
      </c>
    </row>
    <row r="5" ht="18.75" customHeight="1" s="107">
      <c r="B5" s="37" t="n"/>
    </row>
    <row r="6" ht="15.75" customHeight="1" s="107">
      <c r="B6" s="140" t="inlineStr">
        <is>
          <t>Используемые индексы изменений сметной стоимости и нормы сопутствующих затрат</t>
        </is>
      </c>
    </row>
    <row r="7">
      <c r="B7" s="178" t="inlineStr">
        <is>
          <t>*Стоимость ПНР принята на основании СД ОП</t>
        </is>
      </c>
    </row>
    <row r="8">
      <c r="B8" s="178" t="n"/>
      <c r="C8" s="178" t="n"/>
      <c r="D8" s="178" t="n"/>
      <c r="E8" s="178" t="n"/>
    </row>
    <row r="9" ht="47.25" customHeight="1" s="107">
      <c r="B9" s="141" t="inlineStr">
        <is>
          <t>Наименование индекса / норм сопутствующих затрат</t>
        </is>
      </c>
      <c r="C9" s="141" t="inlineStr">
        <is>
          <t>Дата применения и обоснование индекса / норм сопутствующих затрат</t>
        </is>
      </c>
      <c r="D9" s="141" t="inlineStr">
        <is>
          <t>Размер индекса / норма сопутствующих затрат</t>
        </is>
      </c>
    </row>
    <row r="10" ht="15.75" customHeight="1" s="107">
      <c r="B10" s="141" t="n">
        <v>1</v>
      </c>
      <c r="C10" s="141" t="n">
        <v>2</v>
      </c>
      <c r="D10" s="141" t="n">
        <v>3</v>
      </c>
    </row>
    <row r="11" ht="45" customHeight="1" s="107">
      <c r="B11" s="141" t="inlineStr">
        <is>
          <t xml:space="preserve">Индекс изменения сметной стоимости на 1 квартал 2023 года. ОЗП </t>
        </is>
      </c>
      <c r="C11" s="141" t="inlineStr">
        <is>
          <t>Письмо Минстроя России от 30.03.2023г. №17106-ИФ/09  прил.1</t>
        </is>
      </c>
      <c r="D11" s="141" t="n">
        <v>44.29</v>
      </c>
    </row>
    <row r="12" ht="29.25" customHeight="1" s="107">
      <c r="B12" s="141" t="inlineStr">
        <is>
          <t>Индекс изменения сметной стоимости на 1 квартал 2023 года. ЭМ</t>
        </is>
      </c>
      <c r="C12" s="141" t="inlineStr">
        <is>
          <t>Письмо Минстроя России от 30.03.2023г. №17106-ИФ/099  прил.1</t>
        </is>
      </c>
      <c r="D12" s="141" t="n">
        <v>11.72</v>
      </c>
    </row>
    <row r="13" ht="29.25" customHeight="1" s="107">
      <c r="B13" s="141" t="inlineStr">
        <is>
          <t>Индекс изменения сметной стоимости на 1 квартал 2023 года. МАТ</t>
        </is>
      </c>
      <c r="C13" s="141" t="inlineStr">
        <is>
          <t>Письмо Минстроя России от 30.03.2023г. №17106-ИФ/09  прил.1</t>
        </is>
      </c>
      <c r="D13" s="141" t="n">
        <v>7.74</v>
      </c>
    </row>
    <row r="14" ht="30.75" customHeight="1" s="107">
      <c r="B14" s="141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141" t="n">
        <v>6.26</v>
      </c>
    </row>
    <row r="15" ht="89.25" customHeight="1" s="107">
      <c r="B15" s="141" t="inlineStr">
        <is>
          <t>Временные здания и сооружения</t>
        </is>
      </c>
      <c r="C15" s="1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.75" customHeight="1" s="107">
      <c r="B16" s="141" t="inlineStr">
        <is>
          <t>Дополнительные затраты при производстве строительно-монтажных работ в зимнее время</t>
        </is>
      </c>
      <c r="C16" s="141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0.019</v>
      </c>
    </row>
    <row r="17" ht="34.5" customHeight="1" s="107">
      <c r="B17" s="141" t="n"/>
      <c r="C17" s="141" t="n"/>
      <c r="D17" s="141" t="n"/>
    </row>
    <row r="18" ht="31.5" customHeight="1" s="107">
      <c r="B18" s="141" t="inlineStr">
        <is>
          <t>Строительный контроль</t>
        </is>
      </c>
      <c r="C18" s="141" t="inlineStr">
        <is>
          <t>Постановление Правительства РФ от 21.06.10 г. № 468</t>
        </is>
      </c>
      <c r="D18" s="38" t="n">
        <v>0.0214</v>
      </c>
    </row>
    <row r="19" ht="31.5" customHeight="1" s="107">
      <c r="B19" s="141" t="inlineStr">
        <is>
          <t>Авторский надзор - 0,2%</t>
        </is>
      </c>
      <c r="C19" s="141" t="inlineStr">
        <is>
          <t>Приказ от 4.08.2020 № 421/пр п.173</t>
        </is>
      </c>
      <c r="D19" s="38" t="n">
        <v>0.002</v>
      </c>
    </row>
    <row r="20" ht="24" customHeight="1" s="107">
      <c r="B20" s="141" t="inlineStr">
        <is>
          <t>Непредвиденные расходы</t>
        </is>
      </c>
      <c r="C20" s="141" t="inlineStr">
        <is>
          <t>Приказ от 4.08.2020 № 421/пр п.179</t>
        </is>
      </c>
      <c r="D20" s="38" t="n">
        <v>0.03</v>
      </c>
    </row>
    <row r="21" ht="18.75" customHeight="1" s="107">
      <c r="B21" s="16" t="n"/>
    </row>
    <row r="22" ht="18.75" customHeight="1" s="107">
      <c r="B22" s="16" t="n"/>
    </row>
    <row r="23" ht="18.75" customHeight="1" s="107">
      <c r="B23" s="16" t="n"/>
    </row>
    <row r="24" ht="18.75" customHeight="1" s="107">
      <c r="B24" s="16" t="n"/>
    </row>
    <row r="27">
      <c r="B27" s="108" t="inlineStr">
        <is>
          <t>Составил ______________________        Д.Ю. Нефедова</t>
        </is>
      </c>
      <c r="C27" s="117" t="n"/>
    </row>
    <row r="28">
      <c r="B28" s="118" t="inlineStr">
        <is>
          <t xml:space="preserve">                         (подпись, инициалы, фамилия)</t>
        </is>
      </c>
      <c r="C28" s="117" t="n"/>
    </row>
    <row r="29">
      <c r="B29" s="108" t="n"/>
      <c r="C29" s="117" t="n"/>
    </row>
    <row r="30">
      <c r="B30" s="108" t="inlineStr">
        <is>
          <t>Проверил ______________________        А.В. Костянецкая</t>
        </is>
      </c>
      <c r="C30" s="117" t="n"/>
    </row>
    <row r="31">
      <c r="B31" s="118" t="inlineStr">
        <is>
          <t xml:space="preserve">                        (подпись, инициалы, фамилия)</t>
        </is>
      </c>
      <c r="C31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4" workbookViewId="0">
      <selection activeCell="C17" sqref="C17"/>
    </sheetView>
  </sheetViews>
  <sheetFormatPr baseColWidth="8" defaultRowHeight="15"/>
  <cols>
    <col width="9.140625" customWidth="1" style="107" min="1" max="1"/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43.85546875" customWidth="1" style="107" min="6" max="6"/>
    <col width="9.140625" customWidth="1" style="107" min="7" max="7"/>
  </cols>
  <sheetData>
    <row r="2" ht="17.25" customHeight="1" s="107">
      <c r="A2" s="1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7">
      <c r="A4" s="24" t="inlineStr">
        <is>
          <t>Составлен в уровне цен на 01.01.2023 г.</t>
        </is>
      </c>
      <c r="B4" s="25" t="n"/>
      <c r="C4" s="25" t="n"/>
      <c r="D4" s="25" t="n"/>
      <c r="E4" s="25" t="n"/>
      <c r="F4" s="25" t="n"/>
      <c r="G4" s="25" t="n"/>
    </row>
    <row r="5" ht="15.75" customHeight="1" s="10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5" t="n"/>
    </row>
    <row r="6" ht="15.75" customHeight="1" s="10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5" t="n"/>
    </row>
    <row r="7" ht="110.25" customHeight="1" s="107">
      <c r="A7" s="27" t="inlineStr">
        <is>
          <t>1.1</t>
        </is>
      </c>
      <c r="B7" s="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32" t="n">
        <v>47872.94</v>
      </c>
      <c r="F7" s="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" t="n"/>
    </row>
    <row r="8" ht="31.5" customHeight="1" s="107">
      <c r="A8" s="27" t="inlineStr">
        <is>
          <t>1.2</t>
        </is>
      </c>
      <c r="B8" s="28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29">
        <f>1973/12</f>
        <v/>
      </c>
      <c r="F8" s="28" t="inlineStr">
        <is>
          <t>Производственный календарь 2023 год
(40-часов.неделя)</t>
        </is>
      </c>
      <c r="G8" s="30" t="n"/>
    </row>
    <row r="9" ht="15.75" customHeight="1" s="107">
      <c r="A9" s="27" t="inlineStr">
        <is>
          <t>1.3</t>
        </is>
      </c>
      <c r="B9" s="28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29" t="n">
        <v>1</v>
      </c>
      <c r="F9" s="28" t="n"/>
      <c r="G9" s="30" t="n"/>
    </row>
    <row r="10" ht="15.75" customHeight="1" s="107">
      <c r="A10" s="27" t="inlineStr">
        <is>
          <t>1.4</t>
        </is>
      </c>
      <c r="B10" s="28" t="inlineStr">
        <is>
          <t>Средний разряд работ</t>
        </is>
      </c>
      <c r="C10" s="141" t="n"/>
      <c r="D10" s="141" t="n"/>
      <c r="E10" s="31" t="n">
        <v>3.9</v>
      </c>
      <c r="F10" s="28" t="inlineStr">
        <is>
          <t>РТМ</t>
        </is>
      </c>
      <c r="G10" s="30" t="n"/>
    </row>
    <row r="11" ht="78.75" customHeight="1" s="107">
      <c r="A11" s="27" t="inlineStr">
        <is>
          <t>1.5</t>
        </is>
      </c>
      <c r="B11" s="28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32" t="n">
        <v>1.324</v>
      </c>
      <c r="F11" s="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" t="n"/>
    </row>
    <row r="12" ht="78.75" customHeight="1" s="107">
      <c r="A12" s="27" t="inlineStr">
        <is>
          <t>1.6</t>
        </is>
      </c>
      <c r="B12" s="18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33" t="n">
        <v>1.139</v>
      </c>
      <c r="F12" s="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7">
      <c r="A13" s="27" t="inlineStr">
        <is>
          <t>1.7</t>
        </is>
      </c>
      <c r="B13" s="35" t="inlineStr">
        <is>
          <t>Размер средств на оплату труда рабочих-строителей в текущем уровне цен (ФОТр.тек.), руб/чел.-ч</t>
        </is>
      </c>
      <c r="C13" s="141" t="inlineStr">
        <is>
          <t>ФОТр.тек.</t>
        </is>
      </c>
      <c r="D13" s="141" t="inlineStr">
        <is>
          <t>(С1ср/tср*КТ*Т*Кув)*Кинф</t>
        </is>
      </c>
      <c r="E13" s="36">
        <f>((E7*E9/E8)*E11)*E12</f>
        <v/>
      </c>
      <c r="F13" s="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2025-01-24T12:10:31Z</dcterms:modified>
  <cp:lastModifiedBy>Danil</cp:lastModifiedBy>
  <cp:lastPrinted>2023-11-28T13:48:27Z</cp:lastPrinted>
</cp:coreProperties>
</file>