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4000" windowHeight="9735" tabRatio="924" firstSheet="3" autoFilterDateGrouping="1"/>
  </bookViews>
  <sheets>
    <sheet name="Прил.1 Сравнит табл" sheetId="1" state="visible" r:id="rId1"/>
    <sheet name="Прил.2 Расч стоим" sheetId="2" state="visible" r:id="rId2"/>
    <sheet name="Прил. 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 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urs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Iквартал2014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mes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лрмб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гат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тер">#REF!</definedName>
    <definedName name="веше">#REF!</definedName>
    <definedName name="вика">#REF!</definedName>
    <definedName name="вирваы">#REF!</definedName>
    <definedName name="вкпвп">#REF!</definedName>
    <definedName name="ВЛ110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здушные_линии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осстановление_покрытий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РучБур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ключатели">#REF!</definedName>
    <definedName name="Вып_ОФ_с_пц">#REF!</definedName>
    <definedName name="Вып_с_новых_ОФ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к">#REF!</definedName>
    <definedName name="глрп">#REF!</definedName>
    <definedName name="гном">#REF!</definedName>
    <definedName name="го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монтаж_ВЛ">#REF!</definedName>
    <definedName name="Демонтаж_ВЛ_0_4_10_кВ_поопорно">#REF!</definedName>
    <definedName name="Демонтаж_ж_б_опор_ВЛ_35_220_кВ__тыс._руб._за_1_м3">#REF!</definedName>
    <definedName name="Демонтаж_оборудования_ПС">#REF!</definedName>
    <definedName name="Демонтаж_стальных_опор_ВЛ_35_220_кВ__тыс._руб._за_1_т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ж">#REF!</definedName>
    <definedName name="дж1">#REF!</definedName>
    <definedName name="диапазон">#REF!</definedName>
    <definedName name="дир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Должность">#REF!</definedName>
    <definedName name="ЗаказИмя">#REF!</definedName>
    <definedName name="Заказчик">#REF!</definedName>
    <definedName name="Закрытые_подстанции_в_целом">#REF!</definedName>
    <definedName name="Затраты_на_вырубку_просеки">#REF!</definedName>
    <definedName name="Затраты_на_устройство_лежневых_дорог">#REF!</definedName>
    <definedName name="Здания_КРУЭ__ЗРУ__укомплектованных_оборудованием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ны">#REF!</definedName>
    <definedName name="зощр">#REF!</definedName>
    <definedName name="ЗЮзя">#REF!</definedName>
    <definedName name="й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йцйу3йк">#REF!</definedName>
    <definedName name="йцйц">NA()</definedName>
    <definedName name="Ицпп">#REF!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бельные_линии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">#REF!</definedName>
    <definedName name="КВАРТАЛ2">#REF!</definedName>
    <definedName name="Кварталы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енсаторы">#REF!</definedName>
    <definedName name="комплект">#REF!</definedName>
    <definedName name="Комплектные_трансформаторные_устройства">#REF!</definedName>
    <definedName name="конкурс">#REF!</definedName>
    <definedName name="КонПериода">#REF!</definedName>
    <definedName name="Контрагент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4">#REF!</definedName>
    <definedName name="КоэфБезПоля">#REF!</definedName>
    <definedName name="КоэфГорЗак">#REF!</definedName>
    <definedName name="КоэфГорЗаказ">#REF!</definedName>
    <definedName name="КоэфУдорожания">#REF!</definedName>
    <definedName name="КОЭФФ1">#REF!</definedName>
    <definedName name="Коэффициент">#REF!</definedName>
    <definedName name="кп">#REF!</definedName>
    <definedName name="Кра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к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ичм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_строительства__стадии_проектирования__Разработка_проекта_реконструкции_автомобильной_дороги__М_10__Скандинавия__от_Санкт_Петербурга_через_Выборг_до_госграницы_с_Финляндией__на_участках_км_196_000___таможенный_пункт__Торфяновка__км_198_000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йки">#REF!</definedName>
    <definedName name="Наименование_строительства">#REF!</definedName>
    <definedName name="накладные">#REF!</definedName>
    <definedName name="науки">#REF!</definedName>
    <definedName name="НачПериода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е_ОФ_2003">#REF!</definedName>
    <definedName name="новые_ОФ_2004">#REF!</definedName>
    <definedName name="новые_ОФ_а_всего">#REF!</definedName>
    <definedName name="новые_ОФ_всего">#REF!</definedName>
    <definedName name="новые_ОФ_п_всего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Договора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">#REF!</definedName>
    <definedName name="ОбъектАдрес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краска_05">#REF!</definedName>
    <definedName name="окраска_06">#REF!</definedName>
    <definedName name="окраска_07">#REF!</definedName>
    <definedName name="окраска_08">#REF!</definedName>
    <definedName name="окраска_09">#REF!</definedName>
    <definedName name="окраска_10">#REF!</definedName>
    <definedName name="окраска_11">#REF!</definedName>
    <definedName name="окраска_12">#REF!</definedName>
    <definedName name="окраска_13">#REF!</definedName>
    <definedName name="окраска_14">#REF!</definedName>
    <definedName name="окраска_15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ганизация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РУ_по_блочным_и_мостиковым_схемам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вод_земель_ПС_20">#REF!</definedName>
    <definedName name="Отвод_земель_ПС_35_220">#REF!</definedName>
    <definedName name="Открытые_подстанции_35_220_кВ_в_целом__элегазовое_и_зарубежное_оборудование">#REF!</definedName>
    <definedName name="Открытые_подстанции_в_целом">#REF!</definedName>
    <definedName name="ОтпускИзЕНЭС">#REF!</definedName>
    <definedName name="Отчетный_период__учет_выполненных_работ">#REF!</definedName>
    <definedName name="ОФ_а_с_пц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ет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бв">#REF!</definedName>
    <definedName name="пов">#REF!</definedName>
    <definedName name="Под_напр_ВЛ">#REF!</definedName>
    <definedName name="Под_напр_КЛ">#REF!</definedName>
    <definedName name="Подвеска_ВОЛС_на_существующих_опорах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рядДолжн">#REF!</definedName>
    <definedName name="ПодрядИмя">#REF!</definedName>
    <definedName name="Подрядчик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стоянная_часть_закрытых_ПС">#REF!</definedName>
    <definedName name="Постоянная_часть_открытых_ПС">#REF!</definedName>
    <definedName name="Постоянный_отвод_земель_ВЛ">#REF!</definedName>
    <definedName name="Постоянный_отвод_земель_под_КЛ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">#REF!</definedName>
    <definedName name="пппппппппппппппппппппппа">#REF!</definedName>
    <definedName name="ПР">#REF!</definedName>
    <definedName name="правоп">#REF!</definedName>
    <definedName name="прайс">#REF!</definedName>
    <definedName name="прд">#REF!</definedName>
    <definedName name="прдо">#REF!</definedName>
    <definedName name="прер">#REF!</definedName>
    <definedName name="приб">#REF!</definedName>
    <definedName name="прибл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гноз_Вып_пц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кладка_ВОЛС_в_траншее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ивоаварийная_автоматика_ПС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">#REF!</definedName>
    <definedName name="Псковская_область">#REF!</definedName>
    <definedName name="псрл">#REF!</definedName>
    <definedName name="пус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_реконструкции">#REF!</definedName>
    <definedName name="расчет1">#REF!</definedName>
    <definedName name="Расчёт1">#REF!</definedName>
    <definedName name="расш">#REF!</definedName>
    <definedName name="расш.">#REF!</definedName>
    <definedName name="Расширение_ПС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акторы">#REF!</definedName>
    <definedName name="Регион__вводит_пользователь_программы_из_контекстного_списка">#REF!</definedName>
    <definedName name="Регионы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Всм">#REF!</definedName>
    <definedName name="СДП">#REF!</definedName>
    <definedName name="се">#REF!</definedName>
    <definedName name="сев">#REF!</definedName>
    <definedName name="сег1">#REF!</definedName>
    <definedName name="Сегменты">#REF!</definedName>
    <definedName name="Сегодня">#REF!</definedName>
    <definedName name="Сейсмика_зданий">#REF!</definedName>
    <definedName name="Сейсмика_линий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ЗИТ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а3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">#REF!</definedName>
    <definedName name="Стадия_проектирования">#REF!</definedName>
    <definedName name="Станц10">#REF!</definedName>
    <definedName name="СТЕП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оимость_специальных_переходов">#REF!</definedName>
    <definedName name="стороны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блица_индексов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п_ПС">#REF!</definedName>
    <definedName name="титул">#REF!</definedName>
    <definedName name="ТолькоРучЛаб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ансформаторы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овия_ВЛ">#REF!</definedName>
    <definedName name="Условия_КЛ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10">#REF!</definedName>
    <definedName name="Ф100">#REF!</definedName>
    <definedName name="Ф2">#REF!</definedName>
    <definedName name="Ф5">#REF!</definedName>
    <definedName name="Ф5.1">#REF!</definedName>
    <definedName name="Ф51">#REF!</definedName>
    <definedName name="Ф6">#REF!</definedName>
    <definedName name="Ф7">#REF!</definedName>
    <definedName name="Ф8">#REF!</definedName>
    <definedName name="Ф9">#REF!</definedName>
    <definedName name="Ф90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_а_н_пц">#REF!</definedName>
    <definedName name="фо_а_с_пц">#REF!</definedName>
    <definedName name="фо_н_03">#REF!</definedName>
    <definedName name="фо_н_04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Обслед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Toc132270798" localSheetId="0">'Прил.1 Сравнит табл'!$B$4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0">{#N/A,#N/A,FALSE,"Aging Summary";#N/A,#N/A,FALSE,"Ratio Analysis";#N/A,#N/A,FALSE,"Test 120 Day Accts";#N/A,#N/A,FALSE,"Tickmarks"}</definedName>
    <definedName name="корр" localSheetId="0">{#N/A,#N/A,FALSE,"Шаблон_Спец1"}</definedName>
    <definedName name="мил" localSheetId="0">{0,"овz";1,"z";2,"аz";5,"овz"}</definedName>
    <definedName name="нр" localSheetId="0">граж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С" localSheetId="0">{#N/A,#N/A,FALSE,"Шаблон_Спец1"}</definedName>
    <definedName name="тыс" localSheetId="0">{0,"тысячz";1,"тысячаz";2,"тысячиz";5,"тысячz"}</definedName>
    <definedName name="ЭКСПО" localSheetId="0">граж</definedName>
    <definedName name="ЭКСПОФОРУМ" localSheetId="0">граж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Hlk133322969" localSheetId="1">'Прил.2 Расч стоим'!$B$4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1">{#N/A,#N/A,FALSE,"Aging Summary";#N/A,#N/A,FALSE,"Ratio Analysis";#N/A,#N/A,FALSE,"Test 120 Day Accts";#N/A,#N/A,FALSE,"Tickmarks"}</definedName>
    <definedName name="корр" localSheetId="1">{#N/A,#N/A,FALSE,"Шаблон_Спец1"}</definedName>
    <definedName name="мил" localSheetId="1">{0,"овz";1,"z";2,"аz";5,"овz"}</definedName>
    <definedName name="нр" localSheetId="1">граж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С" localSheetId="1">{#N/A,#N/A,FALSE,"Шаблон_Спец1"}</definedName>
    <definedName name="тыс" localSheetId="1">{0,"тысячz";1,"тысячаz";2,"тысячиz";5,"тысячz"}</definedName>
    <definedName name="ЭКСПО" localSheetId="1">граж</definedName>
    <definedName name="ЭКСПОФОРУМ" localSheetId="1">граж</definedName>
    <definedName name="_xlnm.Print_Titles" localSheetId="2">'Прил. 3'!$9:$11</definedName>
    <definedName name="_xlnm.Print_Area" localSheetId="2">'Прил. 3'!$A$1:$H$38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корр" localSheetId="3">{#N/A,#N/A,FALSE,"Шаблон_Спец1"}</definedName>
    <definedName name="мил" localSheetId="3">{0,"овz";1,"z";2,"аz";5,"овz"}</definedName>
    <definedName name="нр" localSheetId="3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С" localSheetId="3">{#N/A,#N/A,FALSE,"Шаблон_Спец1"}</definedName>
    <definedName name="тыс" localSheetId="3">{0,"тысячz";1,"тысячаz";2,"тысячиz";5,"тысячz"}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й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йки" localSheetId="4">#REF!</definedName>
    <definedName name="Наименование_строительства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ОБ'!$10:$12</definedName>
    <definedName name="_xlnm.Print_Area" localSheetId="4">'Прил.5 Расчет СМР и ОБ'!$A$1:$J$55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IF('Прил. 10'!n_3=1,'Прил. 10'!n_2,'Прил. 10'!n_3&amp;'Прил. 10'!n_1)</definedName>
    <definedName name="n1x" localSheetId="7">IF('Прил. 10'!n_3=1,'Прил. 10'!n_2,'Прил. 10'!n_3&amp;'Прил. 10'!n_5)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  <definedName name="_def2000г" localSheetId="8">#REF!</definedName>
    <definedName name="_def2001г" localSheetId="8">#REF!</definedName>
    <definedName name="_def2002г" localSheetId="8">#REF!</definedName>
    <definedName name="_inf2000" localSheetId="8">#REF!</definedName>
    <definedName name="_inf2001" localSheetId="8">#REF!</definedName>
    <definedName name="_inf2002" localSheetId="8">#REF!</definedName>
    <definedName name="_inf2003" localSheetId="8">#REF!</definedName>
    <definedName name="_inf2004" localSheetId="8">#REF!</definedName>
    <definedName name="_inf2005" localSheetId="8">#REF!</definedName>
    <definedName name="_inf2006" localSheetId="8">#REF!</definedName>
    <definedName name="_inf2007" localSheetId="8">#REF!</definedName>
    <definedName name="_inf2008" localSheetId="8">#REF!</definedName>
    <definedName name="_inf2009" localSheetId="8">#REF!</definedName>
    <definedName name="_inf2010" localSheetId="8">#REF!</definedName>
    <definedName name="_inf2011" localSheetId="8">#REF!</definedName>
    <definedName name="_inf2012" localSheetId="8">#REF!</definedName>
    <definedName name="_inf2013" localSheetId="8">#REF!</definedName>
    <definedName name="_inf2014" localSheetId="8">#REF!</definedName>
    <definedName name="_inf2015" localSheetId="8">#REF!</definedName>
    <definedName name="a04t" localSheetId="8">#REF!</definedName>
    <definedName name="DOLL" localSheetId="8">#REF!</definedName>
    <definedName name="Excel_BuiltIn_Print_Area_1" localSheetId="8">#REF!</definedName>
    <definedName name="Excel_BuiltIn_Print_Area_4" localSheetId="8">#REF!</definedName>
    <definedName name="Excel_BuiltIn_Print_Area_5" localSheetId="8">#REF!</definedName>
    <definedName name="ff" localSheetId="8">#REF!</definedName>
    <definedName name="gggg" localSheetId="8">#REF!</definedName>
    <definedName name="Global.MNULL" localSheetId="8">#REF!</definedName>
    <definedName name="Global.NULL" localSheetId="8">#REF!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8">{"","одинz","дваz","триz","четыреz","пятьz","шестьz","семьz","восемьz","девятьz"}</definedName>
    <definedName name="n_2" localSheetId="8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8">{"";1;"двадцатьz";"тридцатьz";"сорокz";"пятьдесятz";"шестьдесятz";"семьдесятz";"восемьдесятz";"девяностоz"}</definedName>
    <definedName name="n_4" localSheetId="8">{"","стоz","двестиz","тристаz","четырестаz","пятьсотz","шестьсотz","семьсотz","восемьсотz","девятьсотz"}</definedName>
    <definedName name="n_5" localSheetId="8">{"","однаz","двеz","триz","четыреz","пятьz","шестьz","семьz","восемьz","девятьz"}</definedName>
    <definedName name="n0x" localSheetId="8">IF(ФОТр.тек.!n_3=1,ФОТр.тек.!n_2,ФОТр.тек.!n_3&amp;ФОТр.тек.!n_1)</definedName>
    <definedName name="n1x" localSheetId="8">IF(ФОТр.тек.!n_3=1,ФОТр.тек.!n_2,ФОТр.тек.!n_3&amp;ФОТр.тек.!n_5)</definedName>
    <definedName name="time" localSheetId="8">#REF!</definedName>
    <definedName name="wrn.1." localSheetId="8">{#N/A,#N/A,FALSE,"Шаблон_Спец1"}</definedName>
    <definedName name="wrn.Aging._.and._.Trend._.Analysis." localSheetId="8">{#N/A,#N/A,FALSE,"Aging Summary";#N/A,#N/A,FALSE,"Ratio Analysis";#N/A,#N/A,FALSE,"Test 120 Day Accts";#N/A,#N/A,FALSE,"Tickmarks"}</definedName>
    <definedName name="wrn.Aging.and._Trend._.Analysis.2" localSheetId="8">{#N/A,#N/A,FALSE,"Aging Summary";#N/A,#N/A,FALSE,"Ratio Analysis";#N/A,#N/A,FALSE,"Test 120 Day Accts";#N/A,#N/A,FALSE,"Tickmarks"}</definedName>
    <definedName name="wrn.basicfin." localSheetId="8">{"assets",#N/A,FALSE,"historicBS";"liab",#N/A,FALSE,"historicBS";"is",#N/A,FALSE,"historicIS";"ratios",#N/A,FALSE,"ratios"}</definedName>
    <definedName name="wrn.basicfin.2" localSheetId="8">{"assets",#N/A,FALSE,"historicBS";"liab",#N/A,FALSE,"historicBS";"is",#N/A,FALSE,"historicIS";"ratios",#N/A,FALSE,"ratios"}</definedName>
    <definedName name="wrn.Departmentals." localSheetId="8">{#N/A,#N/A,TRUE,"Engineering Dept";#N/A,#N/A,TRUE,"Sales Dept";#N/A,#N/A,TRUE,"Marketing Dept";#N/A,#N/A,TRUE,"Admin Dept"}</definedName>
    <definedName name="wrn.Departments." localSheetId="8">{#N/A,#N/A,FALSE,"Engineering Dept";#N/A,#N/A,FALSE,"Sales Dept";#N/A,#N/A,FALSE,"Marketing Dept";#N/A,#N/A,FALSE,"Admin Dept";#N/A,#N/A,FALSE,"Total Operating Expenses"}</definedName>
    <definedName name="wrn.Financials." localSheetId="8">{#N/A,#N/A,TRUE,"Balance Sheet";#N/A,#N/A,TRUE,"Income Statement";#N/A,#N/A,TRUE,"Statement of Cash Flows";#N/A,#N/A,TRUE,"Key Indicators"}</definedName>
    <definedName name="wrn.glc." localSheetId="8">{"glcbs",#N/A,FALSE,"GLCBS";"glccsbs",#N/A,FALSE,"GLCCSBS";"glcis",#N/A,FALSE,"GLCIS";"glccsis",#N/A,FALSE,"GLCCSIS";"glcrat1",#N/A,FALSE,"GLC-ratios1"}</definedName>
    <definedName name="wrn.print.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" localSheetId="8">#REF!</definedName>
    <definedName name="вввввввв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8">{#N/A,#N/A,FALSE,"Aging Summary";#N/A,#N/A,FALSE,"Ratio Analysis";#N/A,#N/A,FALSE,"Test 120 Day Accts";#N/A,#N/A,FALSE,"Tickmarks"}</definedName>
    <definedName name="д" localSheetId="8">#REF!</definedName>
    <definedName name="дд" localSheetId="8">#REF!</definedName>
    <definedName name="дддд" localSheetId="8">#REF!</definedName>
    <definedName name="де" localSheetId="8">#REF!</definedName>
    <definedName name="дефл." localSheetId="8">#REF!</definedName>
    <definedName name="до" localSheetId="8">#REF!</definedName>
    <definedName name="дол" localSheetId="8">#REF!</definedName>
    <definedName name="ДС" localSheetId="8">#REF!</definedName>
    <definedName name="ж" localSheetId="8">#REF!</definedName>
    <definedName name="зз" localSheetId="8">#REF!</definedName>
    <definedName name="иии" localSheetId="8">#REF!</definedName>
    <definedName name="кк" localSheetId="8">#REF!</definedName>
    <definedName name="корр" localSheetId="8">{#N/A,#N/A,FALSE,"Шаблон_Спец1"}</definedName>
    <definedName name="лд" localSheetId="8">#REF!</definedName>
    <definedName name="лдд" localSheetId="8">#REF!</definedName>
    <definedName name="лл" localSheetId="8">#REF!</definedName>
    <definedName name="ллл" localSheetId="8">#REF!</definedName>
    <definedName name="мил" localSheetId="8">{0,"овz";1,"z";2,"аz";5,"овz"}</definedName>
    <definedName name="Модель2" localSheetId="8">#REF!</definedName>
    <definedName name="нн" localSheetId="8">#REF!</definedName>
    <definedName name="нр" localSheetId="8">граж</definedName>
    <definedName name="ол" localSheetId="8">#REF!</definedName>
    <definedName name="ооо" localSheetId="8">#REF!</definedName>
    <definedName name="ппп" localSheetId="8">#REF!</definedName>
    <definedName name="Разработка_проекта__Строительство_подземного_пешеходного_перехода_у_ст._метро__Гражданский_проспект" localSheetId="8">граж</definedName>
    <definedName name="С" localSheetId="8">{#N/A,#N/A,FALSE,"Шаблон_Спец1"}</definedName>
    <definedName name="ттт" localSheetId="8">#REF!</definedName>
    <definedName name="тыс" localSheetId="8">{0,"тысячz";1,"тысячаz";2,"тысячиz";5,"тысячz"}</definedName>
    <definedName name="ффф" localSheetId="8">#REF!</definedName>
    <definedName name="хх" localSheetId="8">#REF!</definedName>
    <definedName name="цц" localSheetId="8">#REF!</definedName>
    <definedName name="шш" localSheetId="8">#REF!</definedName>
    <definedName name="щщ" localSheetId="8">#REF!</definedName>
    <definedName name="ььь" localSheetId="8">#REF!</definedName>
    <definedName name="э" localSheetId="8">#REF!</definedName>
    <definedName name="ЭКСПО" localSheetId="8">граж</definedName>
    <definedName name="ЭКСПОФОРУМ" localSheetId="8">граж</definedName>
    <definedName name="юююю" localSheetId="8">#REF!</definedName>
    <definedName name="_xlnm.Print_Area" localSheetId="8">'ФОТр.тек.'!$A$1:$F$13</definedName>
  </definedNames>
  <calcPr calcId="999999" fullCalcOnLoad="1"/>
</workbook>
</file>

<file path=xl/styles.xml><?xml version="1.0" encoding="utf-8"?>
<styleSheet xmlns="http://schemas.openxmlformats.org/spreadsheetml/2006/main">
  <numFmts count="9">
    <numFmt numFmtId="164" formatCode="_-* #,##0\ _₽_-;\-* #,##0\ _₽_-;_-* &quot;-&quot;??\ _₽_-;_-@_-"/>
    <numFmt numFmtId="165" formatCode="_-* #,##0.00_-;\-* #,##0.00_-;_-* &quot;-&quot;??_-;_-@_-"/>
    <numFmt numFmtId="166" formatCode="#,##0.0"/>
    <numFmt numFmtId="167" formatCode="#,##0.000"/>
    <numFmt numFmtId="168" formatCode="0.0000"/>
    <numFmt numFmtId="169" formatCode="0.0"/>
    <numFmt numFmtId="170" formatCode="#,##0.00\ _₽"/>
    <numFmt numFmtId="171" formatCode="#,##0.0000"/>
    <numFmt numFmtId="172" formatCode="#,##0.00000"/>
  </numFmts>
  <fonts count="32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4"/>
    </font>
    <font>
      <name val="Times New Roman"/>
      <color rgb="FF000000"/>
      <sz val="12"/>
    </font>
    <font>
      <name val="Times New Roman"/>
      <color rgb="FF0563C1"/>
      <sz val="12"/>
      <u val="single"/>
    </font>
    <font>
      <name val="Times New Roman"/>
      <b val="1"/>
      <color rgb="FF000000"/>
      <sz val="12"/>
    </font>
    <font>
      <name val="Times New Roman"/>
      <color rgb="FF000000"/>
      <sz val="10"/>
    </font>
    <font>
      <name val="Arial Cyr"/>
      <b val="1"/>
      <i val="1"/>
      <color rgb="FF000000"/>
      <sz val="10"/>
    </font>
    <font>
      <name val="Arial Cyr"/>
      <b val="1"/>
      <color rgb="FF000000"/>
      <sz val="10"/>
    </font>
    <font>
      <name val="Arial"/>
      <b val="1"/>
      <color rgb="FF000000"/>
      <sz val="12"/>
    </font>
    <font>
      <name val="Times New Roman"/>
      <b val="1"/>
      <color rgb="FF000000"/>
      <sz val="14"/>
    </font>
    <font>
      <name val="Arial"/>
      <color rgb="FF000000"/>
      <sz val="10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4" fillId="0" borderId="0" applyAlignment="1" pivotButton="0" quotePrefix="0" xfId="0">
      <alignment horizont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10" fontId="4" fillId="0" borderId="0" pivotButton="0" quotePrefix="0" xfId="0"/>
    <xf numFmtId="10" fontId="1" fillId="0" borderId="1" applyAlignment="1" pivotButton="0" quotePrefix="0" xfId="0">
      <alignment horizontal="right" vertical="center"/>
    </xf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textRotation="90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4" fontId="14" fillId="2" borderId="1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165" fontId="6" fillId="0" borderId="0" applyAlignment="1" pivotButton="0" quotePrefix="0" xfId="0">
      <alignment vertical="center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8" fillId="0" borderId="0" applyAlignment="1" pivotButton="0" quotePrefix="0" xfId="0">
      <alignment horizontal="right"/>
    </xf>
    <xf numFmtId="0" fontId="1" fillId="0" borderId="5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5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7" fillId="0" borderId="1" applyAlignment="1" pivotButton="0" quotePrefix="0" xfId="0">
      <alignment horizontal="center" vertical="center" wrapText="1"/>
    </xf>
    <xf numFmtId="0" fontId="17" fillId="0" borderId="1" applyAlignment="1" pivotButton="0" quotePrefix="0" xfId="0">
      <alignment vertical="center" wrapText="1"/>
    </xf>
    <xf numFmtId="0" fontId="17" fillId="0" borderId="1" applyAlignment="1" pivotButton="0" quotePrefix="0" xfId="0">
      <alignment horizontal="justify" vertical="center" wrapText="1"/>
    </xf>
    <xf numFmtId="49" fontId="17" fillId="0" borderId="1" applyAlignment="1" pivotButton="0" quotePrefix="0" xfId="0">
      <alignment horizontal="center" vertical="center" wrapText="1"/>
    </xf>
    <xf numFmtId="0" fontId="17" fillId="0" borderId="0" applyAlignment="1" pivotButton="0" quotePrefix="0" xfId="0">
      <alignment vertical="center"/>
    </xf>
    <xf numFmtId="0" fontId="15" fillId="0" borderId="0" pivotButton="0" quotePrefix="0" xfId="0"/>
    <xf numFmtId="0" fontId="17" fillId="0" borderId="0" applyAlignment="1" pivotButton="0" quotePrefix="0" xfId="0">
      <alignment horizontal="center" vertical="center"/>
    </xf>
    <xf numFmtId="49" fontId="17" fillId="0" borderId="0" applyAlignment="1" pivotButton="0" quotePrefix="0" xfId="0">
      <alignment horizontal="left" vertical="center"/>
    </xf>
    <xf numFmtId="0" fontId="17" fillId="0" borderId="0" pivotButton="0" quotePrefix="0" xfId="0"/>
    <xf numFmtId="0" fontId="17" fillId="0" borderId="1" applyAlignment="1" pivotButton="0" quotePrefix="0" xfId="0">
      <alignment horizontal="center" vertical="center"/>
    </xf>
    <xf numFmtId="49" fontId="17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horizontal="left" vertical="center" wrapText="1"/>
    </xf>
    <xf numFmtId="4" fontId="17" fillId="0" borderId="1" applyAlignment="1" pivotButton="0" quotePrefix="0" xfId="0">
      <alignment horizontal="center" vertical="center"/>
    </xf>
    <xf numFmtId="0" fontId="18" fillId="0" borderId="0" applyAlignment="1" pivotButton="0" quotePrefix="0" xfId="0">
      <alignment vertical="center"/>
    </xf>
    <xf numFmtId="166" fontId="17" fillId="0" borderId="1" applyAlignment="1" pivotButton="0" quotePrefix="0" xfId="0">
      <alignment horizontal="center" vertical="center"/>
    </xf>
    <xf numFmtId="167" fontId="17" fillId="0" borderId="1" applyAlignment="1" pivotButton="0" quotePrefix="0" xfId="0">
      <alignment horizontal="center" vertical="center"/>
    </xf>
    <xf numFmtId="168" fontId="17" fillId="4" borderId="1" applyAlignment="1" pivotButton="0" quotePrefix="0" xfId="0">
      <alignment horizontal="center" vertical="center"/>
    </xf>
    <xf numFmtId="0" fontId="17" fillId="0" borderId="1" applyAlignment="1" pivotButton="0" quotePrefix="0" xfId="0">
      <alignment wrapText="1"/>
    </xf>
    <xf numFmtId="0" fontId="19" fillId="0" borderId="1" applyAlignment="1" pivotButton="0" quotePrefix="0" xfId="0">
      <alignment vertical="center" wrapText="1"/>
    </xf>
    <xf numFmtId="4" fontId="19" fillId="0" borderId="1" applyAlignment="1" pivotButton="0" quotePrefix="0" xfId="0">
      <alignment horizontal="center" vertical="center"/>
    </xf>
    <xf numFmtId="0" fontId="16" fillId="0" borderId="0" applyAlignment="1" pivotButton="0" quotePrefix="0" xfId="0">
      <alignment horizontal="right" vertical="center"/>
    </xf>
    <xf numFmtId="10" fontId="17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/>
    </xf>
    <xf numFmtId="4" fontId="1" fillId="0" borderId="1" applyAlignment="1" pivotButton="0" quotePrefix="0" xfId="0">
      <alignment vertical="center" wrapText="1"/>
    </xf>
    <xf numFmtId="165" fontId="0" fillId="0" borderId="0" pivotButton="0" quotePrefix="0" xfId="0"/>
    <xf numFmtId="4" fontId="0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10" fontId="20" fillId="0" borderId="1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 vertical="top" wrapText="1"/>
    </xf>
    <xf numFmtId="49" fontId="1" fillId="0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right" vertical="top" wrapText="1"/>
    </xf>
    <xf numFmtId="0" fontId="15" fillId="0" borderId="1" applyAlignment="1" pivotButton="0" quotePrefix="0" xfId="0">
      <alignment horizontal="center" vertical="center" wrapText="1"/>
    </xf>
    <xf numFmtId="0" fontId="2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right" vertical="top" wrapText="1"/>
    </xf>
    <xf numFmtId="49" fontId="0" fillId="0" borderId="0" pivotButton="0" quotePrefix="0" xfId="0"/>
    <xf numFmtId="169" fontId="0" fillId="0" borderId="0" pivotButton="0" quotePrefix="0" xfId="0"/>
    <xf numFmtId="0" fontId="1" fillId="0" borderId="1" applyAlignment="1" pivotButton="0" quotePrefix="0" xfId="0">
      <alignment horizontal="center" vertical="top" wrapText="1"/>
    </xf>
    <xf numFmtId="49" fontId="1" fillId="0" borderId="1" applyAlignment="1" pivotButton="0" quotePrefix="0" xfId="0">
      <alignment horizontal="center" vertical="top" wrapText="1"/>
    </xf>
    <xf numFmtId="10" fontId="0" fillId="0" borderId="0" pivotButton="0" quotePrefix="0" xfId="0"/>
    <xf numFmtId="0" fontId="12" fillId="0" borderId="4" applyAlignment="1" pivotButton="0" quotePrefix="0" xfId="0">
      <alignment horizontal="left" vertical="center" wrapText="1"/>
    </xf>
    <xf numFmtId="0" fontId="12" fillId="0" borderId="4" applyAlignment="1" pivotButton="0" quotePrefix="0" xfId="0">
      <alignment horizontal="right" vertical="center" wrapText="1"/>
    </xf>
    <xf numFmtId="0" fontId="11" fillId="0" borderId="0" applyAlignment="1" pivotButton="0" quotePrefix="0" xfId="0">
      <alignment vertical="top"/>
    </xf>
    <xf numFmtId="2" fontId="0" fillId="0" borderId="0" pivotButton="0" quotePrefix="0" xfId="0"/>
    <xf numFmtId="0" fontId="0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right" vertical="top" wrapText="1"/>
    </xf>
    <xf numFmtId="49" fontId="1" fillId="0" borderId="1" applyAlignment="1" pivotButton="0" quotePrefix="0" xfId="0">
      <alignment horizontal="center" vertical="center" wrapText="1"/>
    </xf>
    <xf numFmtId="0" fontId="21" fillId="0" borderId="1" applyAlignment="1" pivotButton="0" quotePrefix="0" xfId="0">
      <alignment horizontal="center" vertical="center" wrapText="1"/>
    </xf>
    <xf numFmtId="49" fontId="1" fillId="0" borderId="5" applyAlignment="1" pivotButton="0" quotePrefix="0" xfId="0">
      <alignment horizontal="center" vertical="center" wrapText="1"/>
    </xf>
    <xf numFmtId="168" fontId="22" fillId="0" borderId="1" applyAlignment="1" pivotButton="0" quotePrefix="0" xfId="0">
      <alignment horizontal="center" vertical="center" wrapText="1"/>
    </xf>
    <xf numFmtId="2" fontId="22" fillId="0" borderId="1" applyAlignment="1" pivotButton="0" quotePrefix="0" xfId="0">
      <alignment horizontal="right" vertical="center" wrapText="1"/>
    </xf>
    <xf numFmtId="170" fontId="2" fillId="0" borderId="1" applyAlignment="1" pivotButton="0" quotePrefix="0" xfId="0">
      <alignment horizontal="right" vertical="center" wrapText="1"/>
    </xf>
    <xf numFmtId="170" fontId="22" fillId="0" borderId="1" applyAlignment="1" pivotButton="0" quotePrefix="0" xfId="0">
      <alignment vertical="center" wrapText="1"/>
    </xf>
    <xf numFmtId="168" fontId="1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top" wrapText="1"/>
    </xf>
    <xf numFmtId="2" fontId="1" fillId="0" borderId="1" applyAlignment="1" pivotButton="0" quotePrefix="0" xfId="0">
      <alignment horizontal="center" vertical="top" wrapText="1"/>
    </xf>
    <xf numFmtId="2" fontId="1" fillId="0" borderId="1" applyAlignment="1" pivotButton="0" quotePrefix="0" xfId="0">
      <alignment horizontal="right" vertical="top" wrapText="1"/>
    </xf>
    <xf numFmtId="49" fontId="2" fillId="0" borderId="1" applyAlignment="1" pivotButton="0" quotePrefix="0" xfId="0">
      <alignment horizontal="left" vertical="center" wrapText="1"/>
    </xf>
    <xf numFmtId="171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0">
      <alignment horizontal="right" vertical="center" wrapText="1"/>
    </xf>
    <xf numFmtId="172" fontId="1" fillId="0" borderId="1" applyAlignment="1" pivotButton="0" quotePrefix="0" xfId="0">
      <alignment horizontal="center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168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2" fontId="1" fillId="0" borderId="0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vertical="center" wrapText="1"/>
    </xf>
    <xf numFmtId="4" fontId="1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vertical="center" wrapText="1"/>
    </xf>
    <xf numFmtId="0" fontId="1" fillId="0" borderId="0" pivotButton="0" quotePrefix="0" xfId="0"/>
    <xf numFmtId="0" fontId="4" fillId="0" borderId="0" pivotButton="0" quotePrefix="0" xfId="0"/>
    <xf numFmtId="0" fontId="8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left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right"/>
    </xf>
    <xf numFmtId="0" fontId="3" fillId="0" borderId="0" applyAlignment="1" pivotButton="0" quotePrefix="0" xfId="0">
      <alignment vertical="center"/>
    </xf>
    <xf numFmtId="0" fontId="20" fillId="0" borderId="1" applyAlignment="1" pivotButton="0" quotePrefix="0" xfId="0">
      <alignment horizontal="center" vertical="center" wrapText="1"/>
    </xf>
    <xf numFmtId="2" fontId="20" fillId="0" borderId="1" applyAlignment="1" pivotButton="0" quotePrefix="0" xfId="0">
      <alignment horizontal="center" vertical="center" wrapText="1"/>
    </xf>
    <xf numFmtId="4" fontId="20" fillId="0" borderId="1" applyAlignment="1" pivotButton="0" quotePrefix="0" xfId="0">
      <alignment horizontal="center" vertical="center" wrapText="1"/>
    </xf>
    <xf numFmtId="0" fontId="17" fillId="4" borderId="1" applyAlignment="1" pivotButton="0" quotePrefix="0" xfId="0">
      <alignment horizontal="center" vertical="center" wrapText="1"/>
    </xf>
    <xf numFmtId="49" fontId="17" fillId="4" borderId="1" applyAlignment="1" pivotButton="0" quotePrefix="0" xfId="0">
      <alignment horizontal="center" vertical="center" wrapText="1"/>
    </xf>
    <xf numFmtId="0" fontId="17" fillId="4" borderId="1" applyAlignment="1" pivotButton="0" quotePrefix="0" xfId="0">
      <alignment vertical="center" wrapText="1"/>
    </xf>
    <xf numFmtId="165" fontId="17" fillId="4" borderId="1" applyAlignment="1" pivotButton="0" quotePrefix="0" xfId="0">
      <alignment vertical="center" wrapText="1"/>
    </xf>
    <xf numFmtId="2" fontId="17" fillId="4" borderId="1" applyAlignment="1" pivotButton="0" quotePrefix="0" xfId="0">
      <alignment vertical="center" wrapText="1"/>
    </xf>
    <xf numFmtId="2" fontId="19" fillId="0" borderId="4" applyAlignment="1" pivotButton="0" quotePrefix="0" xfId="0">
      <alignment vertical="center" wrapText="1"/>
    </xf>
    <xf numFmtId="2" fontId="19" fillId="0" borderId="1" applyAlignment="1" pivotButton="0" quotePrefix="0" xfId="0">
      <alignment vertical="center" wrapText="1"/>
    </xf>
    <xf numFmtId="0" fontId="23" fillId="0" borderId="0" applyAlignment="1" pivotButton="0" quotePrefix="0" xfId="0">
      <alignment horizontal="center" vertical="center"/>
    </xf>
    <xf numFmtId="2" fontId="2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 wrapText="1"/>
    </xf>
    <xf numFmtId="2" fontId="4" fillId="0" borderId="0" applyAlignment="1" pivotButton="0" quotePrefix="0" xfId="0">
      <alignment vertical="top" wrapText="1"/>
    </xf>
    <xf numFmtId="49" fontId="1" fillId="0" borderId="0" applyAlignment="1" pivotButton="0" quotePrefix="0" xfId="0">
      <alignment horizontal="right" vertical="top" wrapText="1"/>
    </xf>
    <xf numFmtId="2" fontId="1" fillId="0" borderId="0" applyAlignment="1" pivotButton="0" quotePrefix="0" xfId="0">
      <alignment horizontal="right" vertical="top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right" vertical="center"/>
    </xf>
    <xf numFmtId="0" fontId="24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justify" vertical="center" wrapText="1"/>
    </xf>
    <xf numFmtId="0" fontId="19" fillId="0" borderId="4" applyAlignment="1" pivotButton="0" quotePrefix="0" xfId="0">
      <alignment horizontal="right" vertical="center" wrapText="1"/>
    </xf>
    <xf numFmtId="0" fontId="19" fillId="0" borderId="1" applyAlignment="1" pivotButton="0" quotePrefix="0" xfId="0">
      <alignment horizontal="right" vertical="center" wrapText="1"/>
    </xf>
    <xf numFmtId="0" fontId="19" fillId="0" borderId="0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left" vertical="center" wrapText="1"/>
    </xf>
    <xf numFmtId="49" fontId="2" fillId="0" borderId="6" applyAlignment="1" pivotButton="0" quotePrefix="0" xfId="0">
      <alignment horizontal="left" vertical="center" wrapText="1"/>
    </xf>
    <xf numFmtId="49" fontId="2" fillId="0" borderId="7" applyAlignment="1" pivotButton="0" quotePrefix="0" xfId="0">
      <alignment horizontal="left" vertical="center" wrapText="1"/>
    </xf>
    <xf numFmtId="49" fontId="2" fillId="0" borderId="8" applyAlignment="1" pivotButton="0" quotePrefix="0" xfId="0">
      <alignment horizontal="left" vertical="center" wrapText="1"/>
    </xf>
    <xf numFmtId="49" fontId="2" fillId="0" borderId="1" applyAlignment="1" pivotButton="0" quotePrefix="0" xfId="0">
      <alignment horizontal="left" vertical="center" wrapText="1"/>
    </xf>
    <xf numFmtId="49" fontId="2" fillId="0" borderId="1" applyAlignment="1" pivotButton="0" quotePrefix="0" xfId="0">
      <alignment horizontal="left" vertical="top" wrapText="1"/>
    </xf>
    <xf numFmtId="4" fontId="4" fillId="0" borderId="0" applyAlignment="1" pivotButton="0" quotePrefix="0" xfId="0">
      <alignment horizontal="left" vertical="center" wrapText="1"/>
    </xf>
    <xf numFmtId="49" fontId="2" fillId="0" borderId="2" applyAlignment="1" pivotButton="0" quotePrefix="0" xfId="0">
      <alignment horizontal="left" vertical="center" wrapText="1"/>
    </xf>
    <xf numFmtId="49" fontId="1" fillId="0" borderId="0" applyAlignment="1" pivotButton="0" quotePrefix="0" xfId="0">
      <alignment horizontal="left" vertical="top" wrapText="1"/>
    </xf>
    <xf numFmtId="49" fontId="1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/>
    </xf>
    <xf numFmtId="0" fontId="2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7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7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pivotButton="0" quotePrefix="0" xfId="0">
      <alignment horizontal="center" vertical="center" wrapText="1"/>
    </xf>
    <xf numFmtId="0" fontId="26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9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center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27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7" applyAlignment="1" pivotButton="0" quotePrefix="0" xfId="0">
      <alignment horizontal="center" vertical="center" wrapText="1"/>
    </xf>
    <xf numFmtId="0" fontId="0" fillId="4" borderId="8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14" pivotButton="0" quotePrefix="0" xfId="0"/>
    <xf numFmtId="49" fontId="2" fillId="0" borderId="4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D31"/>
  <sheetViews>
    <sheetView view="pageBreakPreview" topLeftCell="A18" zoomScale="70" zoomScaleNormal="70" workbookViewId="0">
      <selection activeCell="C27" sqref="C27"/>
    </sheetView>
  </sheetViews>
  <sheetFormatPr baseColWidth="8" defaultRowHeight="15"/>
  <cols>
    <col width="36.85546875" customWidth="1" style="199" min="3" max="3"/>
    <col width="43.85546875" customWidth="1" style="199" min="4" max="4"/>
  </cols>
  <sheetData>
    <row r="3" ht="15.75" customHeight="1" s="199">
      <c r="B3" s="231" t="inlineStr">
        <is>
          <t>Приложение № 1</t>
        </is>
      </c>
    </row>
    <row r="4" ht="18.75" customHeight="1" s="199">
      <c r="B4" s="232" t="inlineStr">
        <is>
          <t>Сравнительная таблица отбора объекта-представителя</t>
        </is>
      </c>
    </row>
    <row r="5" ht="84" customHeight="1" s="199">
      <c r="B5" s="233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199">
      <c r="B6" s="116" t="n"/>
      <c r="C6" s="116" t="n"/>
      <c r="D6" s="116" t="n"/>
    </row>
    <row r="7" ht="42" customHeight="1" s="199">
      <c r="B7" s="234" t="inlineStr">
        <is>
          <t>Наименование разрабатываемого показателя УНЦ — УНЦ провода СИП ВЛ 0,4-35 кВ (СИП-4)</t>
        </is>
      </c>
    </row>
    <row r="8" ht="31.5" customHeight="1" s="199">
      <c r="B8" s="230" t="inlineStr">
        <is>
          <t>Сопоставимый уровень цен: 4 кв. 2017 г.</t>
        </is>
      </c>
    </row>
    <row r="9" ht="15.75" customHeight="1" s="199">
      <c r="B9" s="230" t="inlineStr">
        <is>
          <t>Единица измерения  — 1 км</t>
        </is>
      </c>
    </row>
    <row r="10" ht="18.75" customHeight="1" s="199">
      <c r="B10" s="117" t="n"/>
    </row>
    <row r="11" ht="15.75" customHeight="1" s="199">
      <c r="B11" s="238" t="inlineStr">
        <is>
          <t>№ п/п</t>
        </is>
      </c>
      <c r="C11" s="238" t="inlineStr">
        <is>
          <t>Параметр</t>
        </is>
      </c>
      <c r="D11" s="238" t="inlineStr">
        <is>
          <t>Объект-представитель</t>
        </is>
      </c>
    </row>
    <row r="12" ht="41.25" customHeight="1" s="199">
      <c r="B12" s="238" t="n">
        <v>1</v>
      </c>
      <c r="C12" s="119" t="inlineStr">
        <is>
          <t>Наименование объекта-представителя</t>
        </is>
      </c>
      <c r="D12" s="207" t="inlineStr">
        <is>
          <t>Вывод из эксплуатации ПС 60 кВ О-7 Приморск и строительство ПС 110 кВ Морская</t>
        </is>
      </c>
    </row>
    <row r="13" ht="31.5" customHeight="1" s="199">
      <c r="B13" s="238" t="n">
        <v>2</v>
      </c>
      <c r="C13" s="119" t="inlineStr">
        <is>
          <t>Наименование субъекта Российской Федерации</t>
        </is>
      </c>
      <c r="D13" s="207" t="inlineStr">
        <is>
          <t>Калининградская область</t>
        </is>
      </c>
    </row>
    <row r="14" ht="15.75" customHeight="1" s="199">
      <c r="B14" s="238" t="n">
        <v>3</v>
      </c>
      <c r="C14" s="119" t="inlineStr">
        <is>
          <t>Климатический район и подрайон</t>
        </is>
      </c>
      <c r="D14" s="207" t="inlineStr">
        <is>
          <t>IIВ</t>
        </is>
      </c>
    </row>
    <row r="15" ht="15.75" customHeight="1" s="199">
      <c r="B15" s="238" t="n">
        <v>4</v>
      </c>
      <c r="C15" s="119" t="inlineStr">
        <is>
          <t>Мощность объекта</t>
        </is>
      </c>
      <c r="D15" s="207" t="n">
        <v>1</v>
      </c>
    </row>
    <row r="16" ht="107.25" customHeight="1" s="199">
      <c r="B16" s="238" t="n">
        <v>5</v>
      </c>
      <c r="C16" s="120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238" t="inlineStr">
        <is>
          <t>СИП-3 1х70-35</t>
        </is>
      </c>
    </row>
    <row r="17" ht="95.25" customHeight="1" s="199">
      <c r="B17" s="238" t="n">
        <v>6</v>
      </c>
      <c r="C17" s="120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208">
        <f>SUM(D18:D21)</f>
        <v/>
      </c>
    </row>
    <row r="18" ht="15.75" customHeight="1" s="199">
      <c r="B18" s="121" t="inlineStr">
        <is>
          <t>6.1</t>
        </is>
      </c>
      <c r="C18" s="119" t="inlineStr">
        <is>
          <t>строительно-монтажные работы</t>
        </is>
      </c>
      <c r="D18" s="209">
        <f>17265.718+1899.7416</f>
        <v/>
      </c>
    </row>
    <row r="19" ht="15.75" customHeight="1" s="199">
      <c r="B19" s="121" t="inlineStr">
        <is>
          <t>6.2</t>
        </is>
      </c>
      <c r="C19" s="119" t="inlineStr">
        <is>
          <t>оборудование и инвентарь</t>
        </is>
      </c>
      <c r="D19" s="208" t="n">
        <v>1394.29764</v>
      </c>
    </row>
    <row r="20" ht="15.75" customHeight="1" s="199">
      <c r="B20" s="121" t="inlineStr">
        <is>
          <t>6.3</t>
        </is>
      </c>
      <c r="C20" s="119" t="inlineStr">
        <is>
          <t>пусконаладочные работы</t>
        </is>
      </c>
      <c r="D20" s="208">
        <f>D19/(101470.7*4.61)*123206*20.23</f>
        <v/>
      </c>
    </row>
    <row r="21" ht="31.5" customHeight="1" s="199">
      <c r="B21" s="121" t="inlineStr">
        <is>
          <t>6.4</t>
        </is>
      </c>
      <c r="C21" s="119" t="inlineStr">
        <is>
          <t>прочие и лимитированные затраты</t>
        </is>
      </c>
      <c r="D21" s="208">
        <f>D18*3.9%+(D18+D18*3.9%)*0.4%*1.2*1.05</f>
        <v/>
      </c>
    </row>
    <row r="22" ht="15.75" customHeight="1" s="199">
      <c r="B22" s="238" t="n">
        <v>7</v>
      </c>
      <c r="C22" s="119" t="inlineStr">
        <is>
          <t>Сопоставимый уровень цен</t>
        </is>
      </c>
      <c r="D22" s="207" t="inlineStr">
        <is>
          <t>4 кв. 2017 г.</t>
        </is>
      </c>
    </row>
    <row r="23" ht="110.25" customHeight="1" s="199">
      <c r="B23" s="238" t="n">
        <v>8</v>
      </c>
      <c r="C23" s="120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208">
        <f>(D18+D21)/3.8*5.65+D19/4.44*4.44+D20/13.38*19.31</f>
        <v/>
      </c>
    </row>
    <row r="24" ht="61.5" customHeight="1" s="199">
      <c r="B24" s="238" t="n">
        <v>9</v>
      </c>
      <c r="C24" s="120" t="inlineStr">
        <is>
          <t>Приведенная сметная стоимость на единицу мощности, тыс. руб. (строка 8/строку 4)</t>
        </is>
      </c>
      <c r="D24" s="208">
        <f>D23/D15</f>
        <v/>
      </c>
    </row>
    <row r="25" ht="37.5" customHeight="1" s="199">
      <c r="B25" s="122" t="n"/>
      <c r="C25" s="123" t="n"/>
      <c r="D25" s="123" t="n"/>
    </row>
    <row r="26">
      <c r="B26" s="196" t="inlineStr">
        <is>
          <t>Составил ______________________        Д.Ю. Нефедова</t>
        </is>
      </c>
      <c r="C26" s="197" t="n"/>
    </row>
    <row r="27">
      <c r="B27" s="206" t="inlineStr">
        <is>
          <t xml:space="preserve">                         (подпись, инициалы, фамилия)</t>
        </is>
      </c>
      <c r="C27" s="197" t="n"/>
    </row>
    <row r="28">
      <c r="B28" s="196" t="n"/>
      <c r="C28" s="197" t="n"/>
    </row>
    <row r="29">
      <c r="B29" s="196" t="inlineStr">
        <is>
          <t>Проверил ______________________        А.В. Костянецкая</t>
        </is>
      </c>
      <c r="C29" s="197" t="n"/>
    </row>
    <row r="30">
      <c r="B30" s="206" t="inlineStr">
        <is>
          <t xml:space="preserve">                        (подпись, инициалы, фамилия)</t>
        </is>
      </c>
      <c r="C30" s="197" t="n"/>
    </row>
    <row r="31" ht="15.75" customHeight="1" s="199">
      <c r="B31" s="123" t="n"/>
      <c r="C31" s="123" t="n"/>
      <c r="D31" s="123" t="n"/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78" cellComments="atEnd"/>
  <colBreaks count="1" manualBreakCount="1">
    <brk id="0" min="0" max="16383" man="1"/>
  </colBreaks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B3:J22"/>
  <sheetViews>
    <sheetView view="pageBreakPreview" zoomScale="115" workbookViewId="0">
      <selection activeCell="C16" sqref="C16"/>
    </sheetView>
  </sheetViews>
  <sheetFormatPr baseColWidth="8" defaultRowHeight="15"/>
  <cols>
    <col width="5.5703125" customWidth="1" style="199" min="1" max="1"/>
    <col width="35.28515625" customWidth="1" style="199" min="3" max="3"/>
    <col width="13.85546875" customWidth="1" style="199" min="4" max="4"/>
    <col width="17.42578125" customWidth="1" style="199" min="5" max="5"/>
    <col width="12.7109375" customWidth="1" style="199" min="6" max="6"/>
    <col width="14.85546875" customWidth="1" style="199" min="7" max="7"/>
    <col width="16.7109375" customWidth="1" style="199" min="8" max="8"/>
    <col width="13" customWidth="1" style="199" min="9" max="10"/>
  </cols>
  <sheetData>
    <row r="3" ht="15.75" customHeight="1" s="199">
      <c r="B3" s="231" t="inlineStr">
        <is>
          <t>Приложение № 2</t>
        </is>
      </c>
    </row>
    <row r="4" ht="15.75" customHeight="1" s="199">
      <c r="B4" s="237" t="inlineStr">
        <is>
          <t>Расчет стоимости основных видов работ для выбора объекта-представителя</t>
        </is>
      </c>
    </row>
    <row r="5" ht="15.75" customHeight="1" s="199">
      <c r="B5" s="124" t="n"/>
      <c r="C5" s="124" t="n"/>
      <c r="D5" s="124" t="n"/>
      <c r="E5" s="124" t="n"/>
      <c r="F5" s="124" t="n"/>
      <c r="G5" s="124" t="n"/>
      <c r="H5" s="124" t="n"/>
      <c r="I5" s="124" t="n"/>
      <c r="J5" s="124" t="n"/>
    </row>
    <row r="6" ht="15.75" customHeight="1" s="199">
      <c r="B6" s="230" t="inlineStr">
        <is>
          <t>Наименование разрабатываемого показателя УНЦ — УНЦ провода СИП ВЛ 0,4-35 кВ (СИП-4)</t>
        </is>
      </c>
    </row>
    <row r="7" ht="15.75" customHeight="1" s="199">
      <c r="B7" s="230" t="inlineStr">
        <is>
          <t>Единица измерения  — 1 км</t>
        </is>
      </c>
    </row>
    <row r="8" ht="18.75" customHeight="1" s="199">
      <c r="B8" s="117" t="n"/>
    </row>
    <row r="9" ht="15.75" customHeight="1" s="199">
      <c r="B9" s="238" t="inlineStr">
        <is>
          <t>№ п/п</t>
        </is>
      </c>
      <c r="C9" s="238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238" t="inlineStr">
        <is>
          <t>Объект-представитель 1</t>
        </is>
      </c>
      <c r="E9" s="319" t="n"/>
      <c r="F9" s="319" t="n"/>
      <c r="G9" s="319" t="n"/>
      <c r="H9" s="319" t="n"/>
      <c r="I9" s="319" t="n"/>
      <c r="J9" s="320" t="n"/>
    </row>
    <row r="10" ht="15.75" customHeight="1" s="199">
      <c r="B10" s="321" t="n"/>
      <c r="C10" s="321" t="n"/>
      <c r="D10" s="238" t="inlineStr">
        <is>
          <t>Номер сметы</t>
        </is>
      </c>
      <c r="E10" s="238" t="inlineStr">
        <is>
          <t>Наименование сметы</t>
        </is>
      </c>
      <c r="F10" s="238" t="inlineStr">
        <is>
          <t>Сметная стоимость в уровне цен 4 кв. 2017г., тыс. руб.</t>
        </is>
      </c>
      <c r="G10" s="319" t="n"/>
      <c r="H10" s="319" t="n"/>
      <c r="I10" s="319" t="n"/>
      <c r="J10" s="320" t="n"/>
    </row>
    <row r="11" ht="31.5" customHeight="1" s="199">
      <c r="B11" s="322" t="n"/>
      <c r="C11" s="322" t="n"/>
      <c r="D11" s="322" t="n"/>
      <c r="E11" s="322" t="n"/>
      <c r="F11" s="238" t="inlineStr">
        <is>
          <t>Строительные работы</t>
        </is>
      </c>
      <c r="G11" s="238" t="inlineStr">
        <is>
          <t>Монтажные работы</t>
        </is>
      </c>
      <c r="H11" s="238" t="inlineStr">
        <is>
          <t>Оборудование</t>
        </is>
      </c>
      <c r="I11" s="238" t="inlineStr">
        <is>
          <t>Прочее</t>
        </is>
      </c>
      <c r="J11" s="238" t="inlineStr">
        <is>
          <t>Всего</t>
        </is>
      </c>
    </row>
    <row r="12" ht="15.75" customHeight="1" s="199">
      <c r="B12" s="210" t="n">
        <v>1</v>
      </c>
      <c r="C12" s="210" t="inlineStr">
        <is>
          <t>СИП-3 1х70-35</t>
        </is>
      </c>
      <c r="D12" s="211" t="inlineStr">
        <is>
          <t>04-01-01</t>
        </is>
      </c>
      <c r="E12" s="212" t="inlineStr">
        <is>
          <t>ВЛ - 15 кВ</t>
        </is>
      </c>
      <c r="F12" s="213">
        <f>4543610/1000*3.8</f>
        <v/>
      </c>
      <c r="G12" s="213">
        <f>499932/1000*3.8</f>
        <v/>
      </c>
      <c r="H12" s="213">
        <f>314031/1000*4.44</f>
        <v/>
      </c>
      <c r="I12" s="214" t="n"/>
      <c r="J12" s="214">
        <f>SUM(F12:I12)</f>
        <v/>
      </c>
    </row>
    <row r="13" ht="15.75" customHeight="1" s="199">
      <c r="B13" s="235" t="inlineStr">
        <is>
          <t>Всего по объекту:</t>
        </is>
      </c>
      <c r="C13" s="323" t="n"/>
      <c r="D13" s="323" t="n"/>
      <c r="E13" s="324" t="n"/>
      <c r="F13" s="215">
        <f>F12</f>
        <v/>
      </c>
      <c r="G13" s="215">
        <f>G12</f>
        <v/>
      </c>
      <c r="H13" s="215">
        <f>H12</f>
        <v/>
      </c>
      <c r="I13" s="215">
        <f>I12</f>
        <v/>
      </c>
      <c r="J13" s="215">
        <f>SUM(F13:I13)</f>
        <v/>
      </c>
    </row>
    <row r="14" ht="15.75" customHeight="1" s="199">
      <c r="B14" s="236" t="inlineStr">
        <is>
          <t>Всего по объекту в сопоставимом уровне цен 4 кв. 2017г:</t>
        </is>
      </c>
      <c r="C14" s="319" t="n"/>
      <c r="D14" s="319" t="n"/>
      <c r="E14" s="320" t="n"/>
      <c r="F14" s="216">
        <f>F13</f>
        <v/>
      </c>
      <c r="G14" s="216">
        <f>G13</f>
        <v/>
      </c>
      <c r="H14" s="216">
        <f>H13</f>
        <v/>
      </c>
      <c r="I14" s="216">
        <f>I13</f>
        <v/>
      </c>
      <c r="J14" s="216">
        <f>SUM(F14:I14)</f>
        <v/>
      </c>
    </row>
    <row r="15" ht="18.75" customHeight="1" s="199">
      <c r="B15" s="117" t="n"/>
    </row>
    <row r="18">
      <c r="C18" s="196" t="inlineStr">
        <is>
          <t>Составил ______________________    Д.Ю. Нефедова</t>
        </is>
      </c>
      <c r="D18" s="197" t="n"/>
    </row>
    <row r="19">
      <c r="C19" s="206" t="inlineStr">
        <is>
          <t xml:space="preserve">                         (подпись, инициалы, фамилия)</t>
        </is>
      </c>
      <c r="D19" s="197" t="n"/>
    </row>
    <row r="20">
      <c r="C20" s="196" t="n"/>
      <c r="D20" s="197" t="n"/>
    </row>
    <row r="21">
      <c r="C21" s="196" t="inlineStr">
        <is>
          <t>Проверил ______________________        А.В. Костянецкая</t>
        </is>
      </c>
      <c r="D21" s="197" t="n"/>
    </row>
    <row r="22">
      <c r="C22" s="206" t="inlineStr">
        <is>
          <t xml:space="preserve">                        (подпись, инициалы, фамилия)</t>
        </is>
      </c>
      <c r="D22" s="197" t="n"/>
    </row>
  </sheetData>
  <mergeCells count="12">
    <mergeCell ref="B7:J7"/>
    <mergeCell ref="B3:J3"/>
    <mergeCell ref="D10:D11"/>
    <mergeCell ref="D9:J9"/>
    <mergeCell ref="B13:E13"/>
    <mergeCell ref="F10:J10"/>
    <mergeCell ref="B6:J6"/>
    <mergeCell ref="B9:B11"/>
    <mergeCell ref="B4:J4"/>
    <mergeCell ref="E10:E11"/>
    <mergeCell ref="C9:C11"/>
    <mergeCell ref="B14:E14"/>
  </mergeCells>
  <pageMargins left="0.7" right="0.7" top="0.75" bottom="0.75" header="0.3" footer="0.3"/>
  <pageSetup orientation="portrait" paperSize="9" scale="58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L38"/>
  <sheetViews>
    <sheetView view="pageBreakPreview" topLeftCell="A19" workbookViewId="0">
      <selection activeCell="C33" sqref="C33"/>
    </sheetView>
  </sheetViews>
  <sheetFormatPr baseColWidth="8" defaultRowHeight="15"/>
  <cols>
    <col width="8.5703125" customWidth="1" style="199" min="1" max="1"/>
    <col width="12.85546875" customWidth="1" style="199" min="2" max="2"/>
    <col width="16.85546875" customWidth="1" style="199" min="3" max="3"/>
    <col width="49.85546875" customWidth="1" style="199" min="4" max="4"/>
    <col width="12.28515625" customWidth="1" style="199" min="5" max="5"/>
    <col width="19.85546875" customWidth="1" style="199" min="6" max="6"/>
    <col width="17.85546875" customWidth="1" style="199" min="7" max="7"/>
    <col width="19.42578125" customWidth="1" style="165" min="8" max="8"/>
    <col width="10.140625" customWidth="1" style="199" min="9" max="9"/>
  </cols>
  <sheetData>
    <row r="2" ht="15.75" customHeight="1" s="199">
      <c r="A2" s="231" t="inlineStr">
        <is>
          <t xml:space="preserve">Приложение № 3 </t>
        </is>
      </c>
      <c r="I2" s="122" t="n"/>
    </row>
    <row r="3" ht="18.75" customHeight="1" s="199">
      <c r="A3" s="232" t="inlineStr">
        <is>
          <t>Объектная ресурсная ведомость</t>
        </is>
      </c>
    </row>
    <row r="4" ht="25.5" customHeight="1" s="199">
      <c r="B4" s="164" t="n"/>
      <c r="C4" s="247" t="inlineStr">
        <is>
          <t xml:space="preserve">Сметная стоимость ресурсов принята на основании данных по объекту - представителя в ценах на 01.01.2000 </t>
        </is>
      </c>
    </row>
    <row r="5" ht="15.75" customHeight="1" s="199">
      <c r="C5" s="217" t="n"/>
      <c r="D5" s="217" t="n"/>
      <c r="E5" s="217" t="n"/>
      <c r="F5" s="217" t="n"/>
      <c r="G5" s="217" t="n"/>
      <c r="H5" s="218" t="n"/>
    </row>
    <row r="6" ht="15" customHeight="1" s="199">
      <c r="A6" s="245" t="inlineStr">
        <is>
          <t>Наименование разрабатываемого показателя УНЦ — УНЦ провода СИП ВЛ 0,4-35 кВ (СИП-4)</t>
        </is>
      </c>
      <c r="G6" s="219" t="n"/>
      <c r="H6" s="220" t="n"/>
    </row>
    <row r="7" ht="14.25" customHeight="1" s="199">
      <c r="G7" s="219" t="n"/>
      <c r="H7" s="220" t="n"/>
    </row>
    <row r="8" ht="15.75" customHeight="1" s="199">
      <c r="C8" s="221" t="n"/>
      <c r="D8" s="150" t="n"/>
      <c r="E8" s="151" t="n"/>
      <c r="F8" s="152" t="n"/>
      <c r="G8" s="153" t="n"/>
      <c r="H8" s="222" t="n"/>
    </row>
    <row r="9" ht="38.25" customHeight="1" s="199">
      <c r="A9" s="238" t="inlineStr">
        <is>
          <t>п/п</t>
        </is>
      </c>
      <c r="B9" s="238" t="inlineStr">
        <is>
          <t>№ЛСР</t>
        </is>
      </c>
      <c r="C9" s="238" t="inlineStr">
        <is>
          <t>Код ресурса</t>
        </is>
      </c>
      <c r="D9" s="238" t="inlineStr">
        <is>
          <t>Наименование ресурса</t>
        </is>
      </c>
      <c r="E9" s="238" t="inlineStr">
        <is>
          <t>Ед. изм.</t>
        </is>
      </c>
      <c r="F9" s="238" t="inlineStr">
        <is>
          <t>Кол-во единиц по данным объекта-представителя</t>
        </is>
      </c>
      <c r="G9" s="238" t="inlineStr">
        <is>
          <t>Сметная стоимость в ценах на 01.01.2000 (руб.)</t>
        </is>
      </c>
      <c r="H9" s="320" t="n"/>
    </row>
    <row r="10" ht="40.5" customHeight="1" s="199">
      <c r="A10" s="322" t="n"/>
      <c r="B10" s="322" t="n"/>
      <c r="C10" s="322" t="n"/>
      <c r="D10" s="322" t="n"/>
      <c r="E10" s="322" t="n"/>
      <c r="F10" s="322" t="n"/>
      <c r="G10" s="238" t="inlineStr">
        <is>
          <t>на ед.изм.</t>
        </is>
      </c>
      <c r="H10" s="238" t="inlineStr">
        <is>
          <t>общая</t>
        </is>
      </c>
    </row>
    <row r="11" ht="15.75" customHeight="1" s="199">
      <c r="A11" s="238" t="n">
        <v>1</v>
      </c>
      <c r="B11" s="154" t="n"/>
      <c r="C11" s="238" t="n">
        <v>2</v>
      </c>
      <c r="D11" s="238" t="inlineStr">
        <is>
          <t>З</t>
        </is>
      </c>
      <c r="E11" s="238" t="n">
        <v>4</v>
      </c>
      <c r="F11" s="238" t="n">
        <v>5</v>
      </c>
      <c r="G11" s="154" t="n">
        <v>6</v>
      </c>
      <c r="H11" s="154" t="n">
        <v>7</v>
      </c>
    </row>
    <row r="12" ht="15" customHeight="1" s="199">
      <c r="A12" s="243" t="inlineStr">
        <is>
          <t>Затраты труда рабочих</t>
        </is>
      </c>
      <c r="B12" s="319" t="n"/>
      <c r="C12" s="319" t="n"/>
      <c r="D12" s="320" t="n"/>
      <c r="E12" s="155" t="n"/>
      <c r="F12" s="171">
        <f>SUM(F13:F13)</f>
        <v/>
      </c>
      <c r="G12" s="155" t="n"/>
      <c r="H12" s="172">
        <f>SUM(H13:H13)</f>
        <v/>
      </c>
    </row>
    <row r="13">
      <c r="A13" s="168" t="inlineStr">
        <is>
          <t>1</t>
        </is>
      </c>
      <c r="B13" s="168" t="n"/>
      <c r="C13" s="160" t="inlineStr">
        <is>
          <t>1-3-9</t>
        </is>
      </c>
      <c r="D13" s="177" t="inlineStr">
        <is>
          <t>Затраты труда рабочих (ср 3,9)</t>
        </is>
      </c>
      <c r="E13" s="7" t="inlineStr">
        <is>
          <t>чел.час</t>
        </is>
      </c>
      <c r="F13" s="175" t="n">
        <v>104.3796</v>
      </c>
      <c r="G13" s="156" t="n">
        <v>9.51</v>
      </c>
      <c r="H13" s="32">
        <f>ROUND(F13*G13,2)</f>
        <v/>
      </c>
      <c r="J13" s="158" t="n"/>
      <c r="K13" s="157" t="n"/>
      <c r="L13" s="157" t="n"/>
    </row>
    <row r="14">
      <c r="A14" s="325" t="inlineStr">
        <is>
          <t>Затраты труда машинистов</t>
        </is>
      </c>
      <c r="B14" s="323" t="n"/>
      <c r="C14" s="323" t="n"/>
      <c r="D14" s="324" t="n"/>
      <c r="E14" s="274" t="n"/>
      <c r="F14" s="160" t="n"/>
      <c r="G14" s="156" t="n"/>
      <c r="H14" s="173">
        <f>H15</f>
        <v/>
      </c>
      <c r="L14" s="157" t="n"/>
    </row>
    <row r="15">
      <c r="A15" s="168">
        <f>A13+1</f>
        <v/>
      </c>
      <c r="B15" s="170" t="n"/>
      <c r="C15" s="168" t="n">
        <v>2</v>
      </c>
      <c r="D15" s="253" t="inlineStr">
        <is>
          <t>Затраты труда машинистов</t>
        </is>
      </c>
      <c r="E15" s="254" t="inlineStr">
        <is>
          <t>чел.час</t>
        </is>
      </c>
      <c r="F15" s="178" t="n">
        <v>60.02</v>
      </c>
      <c r="G15" s="273" t="n"/>
      <c r="H15" s="179" t="n">
        <v>638.5700000000001</v>
      </c>
    </row>
    <row r="16" ht="15" customHeight="1" s="199">
      <c r="A16" s="243" t="inlineStr">
        <is>
          <t>Машины и механизмы</t>
        </is>
      </c>
      <c r="B16" s="319" t="n"/>
      <c r="C16" s="319" t="n"/>
      <c r="D16" s="320" t="n"/>
      <c r="E16" s="155" t="n"/>
      <c r="F16" s="155" t="n"/>
      <c r="G16" s="155" t="n"/>
      <c r="H16" s="174">
        <f>SUM(H17:H21)</f>
        <v/>
      </c>
      <c r="K16" s="157" t="n"/>
    </row>
    <row r="17">
      <c r="A17" s="254">
        <f>A15+1</f>
        <v/>
      </c>
      <c r="B17" s="168" t="n"/>
      <c r="C17" s="168" t="inlineStr">
        <is>
          <t>91.06.06-011</t>
        </is>
      </c>
      <c r="D17" s="253" t="inlineStr">
        <is>
          <t>Автогидроподъемники высотой подъема: 12 м</t>
        </is>
      </c>
      <c r="E17" s="254" t="inlineStr">
        <is>
          <t>маш.час</t>
        </is>
      </c>
      <c r="F17" s="254" t="n">
        <v>39.06</v>
      </c>
      <c r="G17" s="256" t="n">
        <v>82.22</v>
      </c>
      <c r="H17" s="32">
        <f>ROUND(F17*G17,2)</f>
        <v/>
      </c>
      <c r="I17" s="161">
        <f>H17/$H$16</f>
        <v/>
      </c>
    </row>
    <row r="18" ht="25.5" customHeight="1" s="199">
      <c r="A18" s="254">
        <f>A17+1</f>
        <v/>
      </c>
      <c r="B18" s="168" t="n"/>
      <c r="C18" s="168" t="inlineStr">
        <is>
          <t>91.06.03-057</t>
        </is>
      </c>
      <c r="D18" s="253" t="inlineStr">
        <is>
          <t>Лебедки электрические тяговым усилием: 122,62 кН (12,5 т)</t>
        </is>
      </c>
      <c r="E18" s="254" t="inlineStr">
        <is>
          <t>маш.час</t>
        </is>
      </c>
      <c r="F18" s="254" t="n">
        <v>19.12</v>
      </c>
      <c r="G18" s="256" t="n">
        <v>80.73999999999999</v>
      </c>
      <c r="H18" s="32">
        <f>ROUND(F18*G18,2)</f>
        <v/>
      </c>
      <c r="I18" s="161">
        <f>H18/$H$16</f>
        <v/>
      </c>
    </row>
    <row r="19" ht="25.5" customHeight="1" s="199">
      <c r="A19" s="254">
        <f>A18+1</f>
        <v/>
      </c>
      <c r="B19" s="168" t="n"/>
      <c r="C19" s="168" t="inlineStr">
        <is>
          <t>91.05.05-014</t>
        </is>
      </c>
      <c r="D19" s="253" t="inlineStr">
        <is>
          <t>Краны на автомобильном ходу, грузоподъемность 10 т</t>
        </is>
      </c>
      <c r="E19" s="254" t="inlineStr">
        <is>
          <t>маш.час</t>
        </is>
      </c>
      <c r="F19" s="254" t="n">
        <v>1.31</v>
      </c>
      <c r="G19" s="256" t="n">
        <v>111.99</v>
      </c>
      <c r="H19" s="32">
        <f>ROUND(F19*G19,2)</f>
        <v/>
      </c>
      <c r="I19" s="161">
        <f>H19/$H$16</f>
        <v/>
      </c>
    </row>
    <row r="20">
      <c r="A20" s="254">
        <f>A19+1</f>
        <v/>
      </c>
      <c r="B20" s="168" t="n"/>
      <c r="C20" s="168" t="inlineStr">
        <is>
          <t>91.14.02-001</t>
        </is>
      </c>
      <c r="D20" s="253" t="inlineStr">
        <is>
          <t>Автомобили бортовые, грузоподъемность: до 5 т</t>
        </is>
      </c>
      <c r="E20" s="254" t="inlineStr">
        <is>
          <t>маш.час</t>
        </is>
      </c>
      <c r="F20" s="254" t="n">
        <v>0.53</v>
      </c>
      <c r="G20" s="256" t="n">
        <v>65.70999999999999</v>
      </c>
      <c r="H20" s="32">
        <f>ROUND(F20*G20,2)</f>
        <v/>
      </c>
      <c r="I20" s="161">
        <f>H20/$H$16</f>
        <v/>
      </c>
    </row>
    <row r="21">
      <c r="A21" s="254">
        <f>A20+1</f>
        <v/>
      </c>
      <c r="B21" s="168" t="n"/>
      <c r="C21" s="168" t="inlineStr">
        <is>
          <t>91.06.01-002</t>
        </is>
      </c>
      <c r="D21" s="253" t="inlineStr">
        <is>
          <t>Домкраты гидравлические, грузоподъемность 6,3-25 т</t>
        </is>
      </c>
      <c r="E21" s="254" t="inlineStr">
        <is>
          <t>маш.час</t>
        </is>
      </c>
      <c r="F21" s="254" t="n">
        <v>15.62</v>
      </c>
      <c r="G21" s="256" t="n">
        <v>0.48</v>
      </c>
      <c r="H21" s="32">
        <f>ROUND(F21*G21,2)</f>
        <v/>
      </c>
      <c r="I21" s="161" t="n"/>
    </row>
    <row r="22" ht="15" customHeight="1" s="199">
      <c r="A22" s="244" t="inlineStr">
        <is>
          <t>Оборудование</t>
        </is>
      </c>
      <c r="B22" s="319" t="n"/>
      <c r="C22" s="319" t="n"/>
      <c r="D22" s="320" t="n"/>
      <c r="E22" s="162" t="n"/>
      <c r="F22" s="163" t="n"/>
      <c r="G22" s="156" t="n"/>
      <c r="H22" s="176" t="n"/>
      <c r="I22" s="161" t="n"/>
    </row>
    <row r="23" ht="15" customHeight="1" s="199">
      <c r="A23" s="243" t="inlineStr">
        <is>
          <t>Материалы</t>
        </is>
      </c>
      <c r="B23" s="319" t="n"/>
      <c r="C23" s="319" t="n"/>
      <c r="D23" s="320" t="n"/>
      <c r="E23" s="169" t="n"/>
      <c r="F23" s="169" t="n"/>
      <c r="G23" s="155" t="n"/>
      <c r="H23" s="174">
        <f>SUM(H24:H28)</f>
        <v/>
      </c>
    </row>
    <row r="24" ht="25.5" customHeight="1" s="199">
      <c r="A24" s="254" t="n">
        <v>8</v>
      </c>
      <c r="B24" s="168" t="n"/>
      <c r="C24" s="168" t="inlineStr">
        <is>
          <t>Прайс из СД ОП</t>
        </is>
      </c>
      <c r="D24" s="253" t="inlineStr">
        <is>
          <t>Провода изолированные для воздушных линий  СИП-4 4х16</t>
        </is>
      </c>
      <c r="E24" s="254" t="inlineStr">
        <is>
          <t>км</t>
        </is>
      </c>
      <c r="F24" s="254" t="n">
        <v>1</v>
      </c>
      <c r="G24" s="256" t="n">
        <v>11636.98</v>
      </c>
      <c r="H24" s="32">
        <f>ROUND(F24*G24,2)</f>
        <v/>
      </c>
      <c r="I24" s="161">
        <f>H24/$H$23</f>
        <v/>
      </c>
    </row>
    <row r="25" ht="15" customHeight="1" s="199">
      <c r="A25" s="254" t="n">
        <v>9</v>
      </c>
      <c r="B25" s="243" t="n"/>
      <c r="C25" s="168" t="inlineStr">
        <is>
          <t>25.2.02.04-0003</t>
        </is>
      </c>
      <c r="D25" s="253" t="inlineStr">
        <is>
          <t>Комплект промежуточной подвески (СИП) ES 1500E</t>
        </is>
      </c>
      <c r="E25" s="254" t="inlineStr">
        <is>
          <t>компл.</t>
        </is>
      </c>
      <c r="F25" s="254" t="n">
        <v>29</v>
      </c>
      <c r="G25" s="256" t="n">
        <v>168.71</v>
      </c>
      <c r="H25" s="32">
        <f>ROUND(F25*G25,2)</f>
        <v/>
      </c>
      <c r="I25" s="161">
        <f>H25/$H$23</f>
        <v/>
      </c>
    </row>
    <row r="26" ht="40.5" customHeight="1" s="199">
      <c r="A26" s="254" t="n">
        <v>10</v>
      </c>
      <c r="B26" s="168" t="n"/>
      <c r="C26" s="168" t="inlineStr">
        <is>
          <t>25.2.02.11-0021</t>
        </is>
      </c>
      <c r="D26" s="253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E26" s="254" t="inlineStr">
        <is>
          <t>шт</t>
        </is>
      </c>
      <c r="F26" s="254" t="n">
        <v>1.8</v>
      </c>
      <c r="G26" s="256" t="n">
        <v>943.0599999999999</v>
      </c>
      <c r="H26" s="32">
        <f>ROUND(F26*G26,2)</f>
        <v/>
      </c>
      <c r="I26" s="161">
        <f>H26/$H$23</f>
        <v/>
      </c>
    </row>
    <row r="27" ht="25.5" customHeight="1" s="199">
      <c r="A27" s="254">
        <f>A26+1</f>
        <v/>
      </c>
      <c r="B27" s="168" t="n"/>
      <c r="C27" s="168" t="inlineStr">
        <is>
          <t>25.2.02.04-0002</t>
        </is>
      </c>
      <c r="D27" s="253" t="inlineStr">
        <is>
          <t>Комплект для простого анкерного крепления ЕА1500-3 в составе: кронштейн CS10.3, зажим РА1500</t>
        </is>
      </c>
      <c r="E27" s="254" t="inlineStr">
        <is>
          <t>компл.</t>
        </is>
      </c>
      <c r="F27" s="254" t="n">
        <v>2</v>
      </c>
      <c r="G27" s="256" t="n">
        <v>242.4</v>
      </c>
      <c r="H27" s="32">
        <f>ROUND(F27*G27,2)</f>
        <v/>
      </c>
      <c r="I27" s="161">
        <f>H27/$H$23</f>
        <v/>
      </c>
    </row>
    <row r="28">
      <c r="A28" s="254">
        <f>A27+1</f>
        <v/>
      </c>
      <c r="B28" s="168" t="n"/>
      <c r="C28" s="168" t="inlineStr">
        <is>
          <t>25.2.02.11-0051</t>
        </is>
      </c>
      <c r="D28" s="253" t="inlineStr">
        <is>
          <t>Скрепа размером 20 мм NC20 (СИП)</t>
        </is>
      </c>
      <c r="E28" s="254" t="inlineStr">
        <is>
          <t>100 шт</t>
        </is>
      </c>
      <c r="F28" s="254" t="n">
        <v>0.62</v>
      </c>
      <c r="G28" s="256" t="n">
        <v>582</v>
      </c>
      <c r="H28" s="32">
        <f>ROUND(F28*G28,2)</f>
        <v/>
      </c>
      <c r="I28" s="161">
        <f>H28/$H$23</f>
        <v/>
      </c>
    </row>
    <row r="29">
      <c r="C29" s="152" t="n"/>
      <c r="D29" s="150" t="n"/>
      <c r="E29" s="151" t="n"/>
      <c r="F29" s="151" t="n"/>
      <c r="G29" s="153" t="n"/>
      <c r="H29" s="167" t="n"/>
    </row>
    <row r="30" ht="25.5" customHeight="1" s="199">
      <c r="B30" s="164" t="inlineStr">
        <is>
          <t xml:space="preserve">Примечание: </t>
        </is>
      </c>
      <c r="C30" s="248" t="inlineStr">
        <is>
          <t xml:space="preserve">Сметная стоимость ресурсов принята на основании данных по объекту - представителя в ценах на 01.01.2000 </t>
        </is>
      </c>
    </row>
    <row r="31">
      <c r="I31" s="165" t="n"/>
    </row>
    <row r="34" ht="14.25" customFormat="1" customHeight="1" s="197">
      <c r="A34" s="196" t="inlineStr">
        <is>
          <t>Составил ______________________    Д.Ю. Нефедова</t>
        </is>
      </c>
    </row>
    <row r="35" ht="14.25" customFormat="1" customHeight="1" s="197">
      <c r="A35" s="206" t="inlineStr">
        <is>
          <t xml:space="preserve">                         (подпись, инициалы, фамилия)</t>
        </is>
      </c>
    </row>
    <row r="36" ht="14.25" customFormat="1" customHeight="1" s="197">
      <c r="A36" s="196" t="n"/>
    </row>
    <row r="37" ht="14.25" customFormat="1" customHeight="1" s="197">
      <c r="A37" s="196" t="inlineStr">
        <is>
          <t>Проверил ______________________        А.В. Костянецкая</t>
        </is>
      </c>
    </row>
    <row r="38" ht="14.25" customFormat="1" customHeight="1" s="197">
      <c r="A38" s="206" t="inlineStr">
        <is>
          <t xml:space="preserve">                        (подпись, инициалы, фамилия)</t>
        </is>
      </c>
    </row>
  </sheetData>
  <mergeCells count="17">
    <mergeCell ref="C9:C10"/>
    <mergeCell ref="B9:B10"/>
    <mergeCell ref="A23:D23"/>
    <mergeCell ref="D9:D10"/>
    <mergeCell ref="E9:E10"/>
    <mergeCell ref="A6:F7"/>
    <mergeCell ref="F9:F10"/>
    <mergeCell ref="A22:D22"/>
    <mergeCell ref="A9:A10"/>
    <mergeCell ref="A12:D12"/>
    <mergeCell ref="A2:H2"/>
    <mergeCell ref="A3:I3"/>
    <mergeCell ref="A16:D16"/>
    <mergeCell ref="C4:H4"/>
    <mergeCell ref="G9:H9"/>
    <mergeCell ref="C30:H30"/>
    <mergeCell ref="A14:D14"/>
  </mergeCells>
  <pageMargins left="0.7086614173228351" right="0.7086614173228351" top="0.748031496062992" bottom="0.748031496062992" header="0.31496062992126" footer="0.31496062992126"/>
  <pageSetup orientation="landscape" paperSize="9" scale="84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34" workbookViewId="0">
      <selection activeCell="B46" sqref="B46"/>
    </sheetView>
  </sheetViews>
  <sheetFormatPr baseColWidth="8" defaultRowHeight="15"/>
  <cols>
    <col width="4.140625" customWidth="1" style="199" min="1" max="1"/>
    <col width="36.28515625" customWidth="1" style="199" min="2" max="2"/>
    <col width="18.85546875" customWidth="1" style="199" min="3" max="3"/>
    <col width="18.28515625" customWidth="1" style="199" min="4" max="4"/>
    <col width="18.85546875" customWidth="1" style="199" min="5" max="5"/>
    <col width="9.140625" customWidth="1" style="199" min="6" max="6"/>
    <col width="12.85546875" customWidth="1" style="199" min="7" max="7"/>
    <col width="9.140625" customWidth="1" style="199" min="8" max="11"/>
    <col width="13.5703125" customWidth="1" style="199" min="12" max="12"/>
    <col width="9.140625" customWidth="1" style="199" min="13" max="13"/>
  </cols>
  <sheetData>
    <row r="1">
      <c r="B1" s="196" t="n"/>
      <c r="C1" s="196" t="n"/>
      <c r="D1" s="196" t="n"/>
      <c r="E1" s="196" t="n"/>
    </row>
    <row r="2">
      <c r="B2" s="196" t="n"/>
      <c r="C2" s="196" t="n"/>
      <c r="D2" s="196" t="n"/>
      <c r="E2" s="269" t="inlineStr">
        <is>
          <t>Приложение № 4</t>
        </is>
      </c>
    </row>
    <row r="3">
      <c r="B3" s="196" t="n"/>
      <c r="C3" s="196" t="n"/>
      <c r="D3" s="196" t="n"/>
      <c r="E3" s="196" t="n"/>
    </row>
    <row r="4">
      <c r="B4" s="196" t="n"/>
      <c r="C4" s="196" t="n"/>
      <c r="D4" s="196" t="n"/>
      <c r="E4" s="196" t="n"/>
    </row>
    <row r="5">
      <c r="B5" s="223" t="inlineStr">
        <is>
          <t>Ресурсная модель</t>
        </is>
      </c>
    </row>
    <row r="6">
      <c r="B6" s="140" t="n"/>
      <c r="C6" s="196" t="n"/>
      <c r="D6" s="196" t="n"/>
      <c r="E6" s="196" t="n"/>
    </row>
    <row r="7" ht="25.5" customHeight="1" s="199">
      <c r="B7" s="251" t="inlineStr">
        <is>
          <t>Наименование разрабатываемого показателя УНЦ — УНЦ провода СИП ВЛ 0,4-35 кВ (СИП-4)</t>
        </is>
      </c>
    </row>
    <row r="8">
      <c r="B8" s="252" t="inlineStr">
        <is>
          <t>Единица измерения  — 1 км</t>
        </is>
      </c>
    </row>
    <row r="9">
      <c r="B9" s="140" t="n"/>
      <c r="C9" s="196" t="n"/>
      <c r="D9" s="196" t="n"/>
      <c r="E9" s="196" t="n"/>
    </row>
    <row r="10" ht="51" customHeight="1" s="199">
      <c r="B10" s="254" t="inlineStr">
        <is>
          <t>Наименование</t>
        </is>
      </c>
      <c r="C10" s="254" t="inlineStr">
        <is>
          <t>Сметная стоимость в ценах на 01.01.2023
 (руб.)</t>
        </is>
      </c>
      <c r="D10" s="254" t="inlineStr">
        <is>
          <t>Удельный вес, 
(в СМР)</t>
        </is>
      </c>
      <c r="E10" s="254" t="inlineStr">
        <is>
          <t>Удельный вес, % 
(от всего по РМ)</t>
        </is>
      </c>
    </row>
    <row r="11">
      <c r="B11" s="25" t="inlineStr">
        <is>
          <t>Оплата труда рабочих</t>
        </is>
      </c>
      <c r="C11" s="195">
        <f>'Прил.5 Расчет СМР и ОБ'!J15</f>
        <v/>
      </c>
      <c r="D11" s="27">
        <f>C11/$C$24</f>
        <v/>
      </c>
      <c r="E11" s="27">
        <f>C11/$C$40</f>
        <v/>
      </c>
    </row>
    <row r="12">
      <c r="B12" s="25" t="inlineStr">
        <is>
          <t>Эксплуатация машин основных</t>
        </is>
      </c>
      <c r="C12" s="195">
        <f>'Прил.5 Расчет СМР и ОБ'!J22</f>
        <v/>
      </c>
      <c r="D12" s="27">
        <f>C12/$C$24</f>
        <v/>
      </c>
      <c r="E12" s="27">
        <f>C12/$C$40</f>
        <v/>
      </c>
    </row>
    <row r="13">
      <c r="B13" s="25" t="inlineStr">
        <is>
          <t>Эксплуатация машин прочих</t>
        </is>
      </c>
      <c r="C13" s="195">
        <f>'Прил.5 Расчет СМР и ОБ'!J26</f>
        <v/>
      </c>
      <c r="D13" s="27">
        <f>C13/$C$24</f>
        <v/>
      </c>
      <c r="E13" s="27">
        <f>C13/$C$40</f>
        <v/>
      </c>
    </row>
    <row r="14">
      <c r="B14" s="25" t="inlineStr">
        <is>
          <t>ЭКСПЛУАТАЦИЯ МАШИН, ВСЕГО:</t>
        </is>
      </c>
      <c r="C14" s="195">
        <f>C13+C12</f>
        <v/>
      </c>
      <c r="D14" s="27">
        <f>C14/$C$24</f>
        <v/>
      </c>
      <c r="E14" s="27">
        <f>C14/$C$40</f>
        <v/>
      </c>
    </row>
    <row r="15">
      <c r="B15" s="25" t="inlineStr">
        <is>
          <t>в том числе зарплата машинистов</t>
        </is>
      </c>
      <c r="C15" s="195">
        <f>'Прил.5 Расчет СМР и ОБ'!J17</f>
        <v/>
      </c>
      <c r="D15" s="27">
        <f>C15/$C$24</f>
        <v/>
      </c>
      <c r="E15" s="27">
        <f>C15/$C$40</f>
        <v/>
      </c>
    </row>
    <row r="16">
      <c r="B16" s="25" t="inlineStr">
        <is>
          <t>Материалы основные</t>
        </is>
      </c>
      <c r="C16" s="195">
        <f>'Прил.5 Расчет СМР и ОБ'!J38</f>
        <v/>
      </c>
      <c r="D16" s="27">
        <f>C16/$C$24</f>
        <v/>
      </c>
      <c r="E16" s="27">
        <f>C16/$C$40</f>
        <v/>
      </c>
    </row>
    <row r="17">
      <c r="B17" s="25" t="inlineStr">
        <is>
          <t>Материалы прочие</t>
        </is>
      </c>
      <c r="C17" s="195">
        <f>'Прил.5 Расчет СМР и ОБ'!J42</f>
        <v/>
      </c>
      <c r="D17" s="27">
        <f>C17/$C$24</f>
        <v/>
      </c>
      <c r="E17" s="27">
        <f>C17/$C$40</f>
        <v/>
      </c>
      <c r="G17" s="142" t="n"/>
    </row>
    <row r="18">
      <c r="B18" s="25" t="inlineStr">
        <is>
          <t>МАТЕРИАЛЫ, ВСЕГО:</t>
        </is>
      </c>
      <c r="C18" s="195">
        <f>C17+C16</f>
        <v/>
      </c>
      <c r="D18" s="27">
        <f>C18/$C$24</f>
        <v/>
      </c>
      <c r="E18" s="27">
        <f>C18/$C$40</f>
        <v/>
      </c>
    </row>
    <row r="19">
      <c r="B19" s="25" t="inlineStr">
        <is>
          <t>ИТОГО</t>
        </is>
      </c>
      <c r="C19" s="195">
        <f>C18+C14+C11</f>
        <v/>
      </c>
      <c r="D19" s="27" t="n"/>
      <c r="E19" s="25" t="n"/>
    </row>
    <row r="20">
      <c r="B20" s="25" t="inlineStr">
        <is>
          <t>Сметная прибыль, руб.</t>
        </is>
      </c>
      <c r="C20" s="195">
        <f>ROUND(C21*(C11+C15),2)</f>
        <v/>
      </c>
      <c r="D20" s="27">
        <f>C20/$C$24</f>
        <v/>
      </c>
      <c r="E20" s="27">
        <f>C20/$C$40</f>
        <v/>
      </c>
    </row>
    <row r="21">
      <c r="B21" s="25" t="inlineStr">
        <is>
          <t>Сметная прибыль, %</t>
        </is>
      </c>
      <c r="C21" s="29">
        <f>'Прил.5 Расчет СМР и ОБ'!D46</f>
        <v/>
      </c>
      <c r="D21" s="27" t="n"/>
      <c r="E21" s="25" t="n"/>
    </row>
    <row r="22">
      <c r="B22" s="25" t="inlineStr">
        <is>
          <t>Накладные расходы, руб.</t>
        </is>
      </c>
      <c r="C22" s="195">
        <f>ROUND(C23*(C11+C15),2)</f>
        <v/>
      </c>
      <c r="D22" s="27">
        <f>C22/$C$24</f>
        <v/>
      </c>
      <c r="E22" s="27">
        <f>C22/$C$40</f>
        <v/>
      </c>
    </row>
    <row r="23">
      <c r="B23" s="25" t="inlineStr">
        <is>
          <t>Накладные расходы, %</t>
        </is>
      </c>
      <c r="C23" s="29">
        <f>'Прил.5 Расчет СМР и ОБ'!D45</f>
        <v/>
      </c>
      <c r="D23" s="27" t="n"/>
      <c r="E23" s="25" t="n"/>
    </row>
    <row r="24">
      <c r="B24" s="25" t="inlineStr">
        <is>
          <t>ВСЕГО СМР с НР и СП</t>
        </is>
      </c>
      <c r="C24" s="195">
        <f>C19+C20+C22</f>
        <v/>
      </c>
      <c r="D24" s="27">
        <f>C24/$C$24</f>
        <v/>
      </c>
      <c r="E24" s="27">
        <f>C24/$C$40</f>
        <v/>
      </c>
    </row>
    <row r="25" ht="25.5" customHeight="1" s="199">
      <c r="B25" s="25" t="inlineStr">
        <is>
          <t>ВСЕГО стоимость оборудования, в том числе</t>
        </is>
      </c>
      <c r="C25" s="195">
        <f>'Прил.5 Расчет СМР и ОБ'!J32</f>
        <v/>
      </c>
      <c r="D25" s="27" t="n"/>
      <c r="E25" s="27">
        <f>C25/$C$40</f>
        <v/>
      </c>
    </row>
    <row r="26" ht="25.5" customHeight="1" s="199">
      <c r="B26" s="25" t="inlineStr">
        <is>
          <t>стоимость оборудования технологического</t>
        </is>
      </c>
      <c r="C26" s="195">
        <f>C25</f>
        <v/>
      </c>
      <c r="D26" s="27" t="n"/>
      <c r="E26" s="27">
        <f>C26/$C$40</f>
        <v/>
      </c>
    </row>
    <row r="27">
      <c r="B27" s="25" t="inlineStr">
        <is>
          <t>ИТОГО (СМР + ОБОРУДОВАНИЕ)</t>
        </is>
      </c>
      <c r="C27" s="26">
        <f>C24+C25</f>
        <v/>
      </c>
      <c r="D27" s="27" t="n"/>
      <c r="E27" s="27">
        <f>C27/$C$40</f>
        <v/>
      </c>
    </row>
    <row r="28" ht="33" customHeight="1" s="199">
      <c r="B28" s="25" t="inlineStr">
        <is>
          <t>ПРОЧ. ЗАТР., УЧТЕННЫЕ ПОКАЗАТЕЛЕМ,  в том числе</t>
        </is>
      </c>
      <c r="C28" s="25" t="n"/>
      <c r="D28" s="25" t="n"/>
      <c r="E28" s="25" t="n"/>
    </row>
    <row r="29" ht="25.5" customHeight="1" s="199">
      <c r="B29" s="25" t="inlineStr">
        <is>
          <t>Временные здания и сооружения - 2,5%</t>
        </is>
      </c>
      <c r="C29" s="26">
        <f>ROUND(C24*2.5%,2)</f>
        <v/>
      </c>
      <c r="D29" s="25" t="n"/>
      <c r="E29" s="27" t="n">
        <v>0.025</v>
      </c>
    </row>
    <row r="30" ht="38.25" customHeight="1" s="199">
      <c r="B30" s="25" t="inlineStr">
        <is>
          <t>Дополнительные затраты при производстве строительно-монтажных работ в зимнее время - 1,9%</t>
        </is>
      </c>
      <c r="C30" s="26">
        <f>ROUND((C24+C29)*1.9%,2)</f>
        <v/>
      </c>
      <c r="D30" s="25" t="n"/>
      <c r="E30" s="27" t="n">
        <v>0.019</v>
      </c>
    </row>
    <row r="31" ht="25.5" customHeight="1" s="199">
      <c r="B31" s="25" t="inlineStr">
        <is>
          <t>Пусконаладочные работы (на основании СД ОП)</t>
        </is>
      </c>
      <c r="C31" s="26" t="n">
        <v>0</v>
      </c>
      <c r="D31" s="25" t="n"/>
      <c r="E31" s="27">
        <f>C31/$C$40</f>
        <v/>
      </c>
    </row>
    <row r="32" ht="25.5" customHeight="1" s="199">
      <c r="B32" s="25" t="inlineStr">
        <is>
          <t>Затраты по перевозке работников к месту работы и обратно</t>
        </is>
      </c>
      <c r="C32" s="26" t="n">
        <v>0</v>
      </c>
      <c r="D32" s="25" t="n"/>
      <c r="E32" s="27">
        <f>C32/$C$40</f>
        <v/>
      </c>
    </row>
    <row r="33" ht="25.5" customHeight="1" s="199">
      <c r="B33" s="25" t="inlineStr">
        <is>
          <t>Затраты, связанные с осуществлением работ вахтовым методом</t>
        </is>
      </c>
      <c r="C33" s="26" t="n">
        <v>0</v>
      </c>
      <c r="D33" s="25" t="n"/>
      <c r="E33" s="27">
        <f>C33/$C$40</f>
        <v/>
      </c>
    </row>
    <row r="34" ht="51" customHeight="1" s="199">
      <c r="B34" s="25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6" t="n">
        <v>0</v>
      </c>
      <c r="D34" s="25" t="n"/>
      <c r="E34" s="27">
        <f>C34/$C$40</f>
        <v/>
      </c>
    </row>
    <row r="35" ht="76.5" customHeight="1" s="199">
      <c r="B35" s="25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6" t="n">
        <v>0</v>
      </c>
      <c r="D35" s="25" t="n"/>
      <c r="E35" s="27">
        <f>C35/$C$40</f>
        <v/>
      </c>
    </row>
    <row r="36" ht="25.5" customHeight="1" s="199">
      <c r="B36" s="25" t="inlineStr">
        <is>
          <t>Строительный контроль и содержание службы заказчика - 2,14%</t>
        </is>
      </c>
      <c r="C36" s="26">
        <f>ROUND((C27+C32+C33+C34+C35+C29+C31+C30)*2.14%,2)</f>
        <v/>
      </c>
      <c r="D36" s="25" t="n"/>
      <c r="E36" s="27">
        <f>C36/$C$40</f>
        <v/>
      </c>
      <c r="L36" s="143" t="n"/>
    </row>
    <row r="37">
      <c r="B37" s="25" t="inlineStr">
        <is>
          <t>Авторский надзор - 0,2%</t>
        </is>
      </c>
      <c r="C37" s="26">
        <f>ROUND((C27+C32+C33+C34+C35+C29+C31+C30)*0.2%,2)</f>
        <v/>
      </c>
      <c r="D37" s="25" t="n"/>
      <c r="E37" s="27">
        <f>C37/$C$40</f>
        <v/>
      </c>
      <c r="L37" s="143" t="n"/>
    </row>
    <row r="38" ht="38.25" customHeight="1" s="199">
      <c r="B38" s="25" t="inlineStr">
        <is>
          <t>ИТОГО (СМР+ОБОРУДОВАНИЕ+ПРОЧ. ЗАТР., УЧТЕННЫЕ ПОКАЗАТЕЛЕМ)</t>
        </is>
      </c>
      <c r="C38" s="195">
        <f>C27+C32+C33+C34+C35+C29+C31+C30+C36+C37</f>
        <v/>
      </c>
      <c r="D38" s="25" t="n"/>
      <c r="E38" s="27">
        <f>C38/$C$40</f>
        <v/>
      </c>
    </row>
    <row r="39" ht="13.5" customHeight="1" s="199">
      <c r="B39" s="25" t="inlineStr">
        <is>
          <t>Непредвиденные расходы</t>
        </is>
      </c>
      <c r="C39" s="195">
        <f>ROUND(C38*3%,2)</f>
        <v/>
      </c>
      <c r="D39" s="25" t="n"/>
      <c r="E39" s="27">
        <f>C39/$C$38</f>
        <v/>
      </c>
    </row>
    <row r="40">
      <c r="B40" s="25" t="inlineStr">
        <is>
          <t>ВСЕГО:</t>
        </is>
      </c>
      <c r="C40" s="195">
        <f>C39+C38</f>
        <v/>
      </c>
      <c r="D40" s="25" t="n"/>
      <c r="E40" s="27">
        <f>C40/$C$40</f>
        <v/>
      </c>
    </row>
    <row r="41">
      <c r="B41" s="25" t="inlineStr">
        <is>
          <t>ИТОГО ПОКАЗАТЕЛЬ НА ЕД. ИЗМ.</t>
        </is>
      </c>
      <c r="C41" s="195">
        <f>C40/'Прил.5 Расчет СМР и ОБ'!E49</f>
        <v/>
      </c>
      <c r="D41" s="25" t="n"/>
      <c r="E41" s="25" t="n"/>
    </row>
    <row r="42">
      <c r="B42" s="204" t="n"/>
      <c r="C42" s="196" t="n"/>
      <c r="D42" s="196" t="n"/>
      <c r="E42" s="196" t="n"/>
    </row>
    <row r="43">
      <c r="B43" s="204" t="inlineStr">
        <is>
          <t>Составил ____________________________ Д.Ю. Нефедова</t>
        </is>
      </c>
      <c r="C43" s="196" t="n"/>
      <c r="D43" s="196" t="n"/>
      <c r="E43" s="196" t="n"/>
    </row>
    <row r="44">
      <c r="B44" s="204" t="inlineStr">
        <is>
          <t xml:space="preserve">(должность, подпись, инициалы, фамилия) </t>
        </is>
      </c>
      <c r="C44" s="196" t="n"/>
      <c r="D44" s="196" t="n"/>
      <c r="E44" s="196" t="n"/>
    </row>
    <row r="45">
      <c r="B45" s="204" t="n"/>
      <c r="C45" s="196" t="n"/>
      <c r="D45" s="196" t="n"/>
      <c r="E45" s="196" t="n"/>
    </row>
    <row r="46">
      <c r="B46" s="204" t="inlineStr">
        <is>
          <t>Проверил ____________________________ А.В. Костянецкая</t>
        </is>
      </c>
      <c r="C46" s="196" t="n"/>
      <c r="D46" s="196" t="n"/>
      <c r="E46" s="196" t="n"/>
    </row>
    <row r="47">
      <c r="B47" s="252" t="inlineStr">
        <is>
          <t>(должность, подпись, инициалы, фамилия)</t>
        </is>
      </c>
      <c r="D47" s="196" t="n"/>
      <c r="E47" s="196" t="n"/>
    </row>
    <row r="49">
      <c r="B49" s="196" t="n"/>
      <c r="C49" s="196" t="n"/>
      <c r="D49" s="196" t="n"/>
      <c r="E49" s="196" t="n"/>
    </row>
    <row r="50">
      <c r="B50" s="196" t="n"/>
      <c r="C50" s="196" t="n"/>
      <c r="D50" s="196" t="n"/>
      <c r="E50" s="196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5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55"/>
  <sheetViews>
    <sheetView view="pageBreakPreview" topLeftCell="A41" workbookViewId="0">
      <selection activeCell="B54" sqref="B54"/>
    </sheetView>
  </sheetViews>
  <sheetFormatPr baseColWidth="8" defaultColWidth="9.140625" defaultRowHeight="15" outlineLevelRow="1"/>
  <cols>
    <col width="5.7109375" customWidth="1" style="197" min="1" max="1"/>
    <col width="22.5703125" customWidth="1" style="197" min="2" max="2"/>
    <col width="39.140625" customWidth="1" style="197" min="3" max="3"/>
    <col width="10.7109375" customWidth="1" style="197" min="4" max="4"/>
    <col width="12.7109375" customWidth="1" style="197" min="5" max="5"/>
    <col width="14.5703125" customWidth="1" style="197" min="6" max="6"/>
    <col width="13.42578125" customWidth="1" style="197" min="7" max="7"/>
    <col width="12.7109375" customWidth="1" style="197" min="8" max="8"/>
    <col width="19.85546875" customWidth="1" style="197" min="9" max="9"/>
    <col width="17.5703125" customWidth="1" style="197" min="10" max="10"/>
    <col width="10.85546875" customWidth="1" style="197" min="11" max="11"/>
    <col width="9.140625" customWidth="1" style="197" min="12" max="12"/>
  </cols>
  <sheetData>
    <row r="1">
      <c r="M1" s="197" t="n"/>
      <c r="N1" s="197" t="n"/>
    </row>
    <row r="2" ht="15.75" customHeight="1" s="199">
      <c r="H2" s="263" t="inlineStr">
        <is>
          <t>Приложение №5</t>
        </is>
      </c>
      <c r="M2" s="197" t="n"/>
      <c r="N2" s="197" t="n"/>
    </row>
    <row r="3">
      <c r="M3" s="197" t="n"/>
      <c r="N3" s="197" t="n"/>
    </row>
    <row r="4" ht="12.75" customFormat="1" customHeight="1" s="196">
      <c r="A4" s="223" t="inlineStr">
        <is>
          <t>Расчет стоимости СМР и оборудования</t>
        </is>
      </c>
    </row>
    <row r="5" ht="12.75" customFormat="1" customHeight="1" s="196">
      <c r="A5" s="223" t="n"/>
      <c r="B5" s="223" t="n"/>
      <c r="C5" s="276" t="n"/>
      <c r="D5" s="223" t="n"/>
      <c r="E5" s="223" t="n"/>
      <c r="F5" s="223" t="n"/>
      <c r="G5" s="223" t="n"/>
      <c r="H5" s="223" t="n"/>
      <c r="I5" s="223" t="n"/>
      <c r="J5" s="223" t="n"/>
    </row>
    <row r="6" ht="25.5" customFormat="1" customHeight="1" s="196">
      <c r="A6" s="193" t="inlineStr">
        <is>
          <t>Наименование разрабатываемого показателя УНЦ</t>
        </is>
      </c>
      <c r="B6" s="192" t="n"/>
      <c r="C6" s="192" t="n"/>
      <c r="D6" s="268" t="inlineStr">
        <is>
          <t>Провод СИП ВЛ 0,4-35 кВ, тип провода СИП-4, количество фазных проводов 4 шт., сечение фазного провода 16 мм2</t>
        </is>
      </c>
    </row>
    <row r="7" ht="12.75" customFormat="1" customHeight="1" s="196">
      <c r="A7" s="226" t="inlineStr">
        <is>
          <t>Единица измерения  — 1 км.</t>
        </is>
      </c>
      <c r="I7" s="251" t="n"/>
      <c r="J7" s="251" t="n"/>
    </row>
    <row r="8" ht="13.5" customFormat="1" customHeight="1" s="196">
      <c r="A8" s="226" t="n"/>
    </row>
    <row r="9" ht="13.15" customFormat="1" customHeight="1" s="196"/>
    <row r="10" ht="27" customHeight="1" s="199">
      <c r="A10" s="254" t="inlineStr">
        <is>
          <t>№ пп.</t>
        </is>
      </c>
      <c r="B10" s="254" t="inlineStr">
        <is>
          <t>Код ресурса</t>
        </is>
      </c>
      <c r="C10" s="254" t="inlineStr">
        <is>
          <t>Наименование</t>
        </is>
      </c>
      <c r="D10" s="254" t="inlineStr">
        <is>
          <t>Ед. изм.</t>
        </is>
      </c>
      <c r="E10" s="254" t="inlineStr">
        <is>
          <t>Кол-во единиц по проектным данным</t>
        </is>
      </c>
      <c r="F10" s="254" t="inlineStr">
        <is>
          <t>Сметная стоимость в ценах на 01.01.2000 (руб.)</t>
        </is>
      </c>
      <c r="G10" s="320" t="n"/>
      <c r="H10" s="254" t="inlineStr">
        <is>
          <t>Удельный вес, %</t>
        </is>
      </c>
      <c r="I10" s="254" t="inlineStr">
        <is>
          <t>Сметная стоимость в ценах на 01.01.2023 (руб.)</t>
        </is>
      </c>
      <c r="J10" s="320" t="n"/>
      <c r="M10" s="197" t="n"/>
      <c r="N10" s="197" t="n"/>
    </row>
    <row r="11" ht="28.5" customHeight="1" s="199">
      <c r="A11" s="322" t="n"/>
      <c r="B11" s="322" t="n"/>
      <c r="C11" s="322" t="n"/>
      <c r="D11" s="322" t="n"/>
      <c r="E11" s="322" t="n"/>
      <c r="F11" s="254" t="inlineStr">
        <is>
          <t>на ед. изм.</t>
        </is>
      </c>
      <c r="G11" s="254" t="inlineStr">
        <is>
          <t>общая</t>
        </is>
      </c>
      <c r="H11" s="322" t="n"/>
      <c r="I11" s="254" t="inlineStr">
        <is>
          <t>на ед. изм.</t>
        </is>
      </c>
      <c r="J11" s="254" t="inlineStr">
        <is>
          <t>общая</t>
        </is>
      </c>
      <c r="M11" s="197" t="n"/>
      <c r="N11" s="197" t="n"/>
    </row>
    <row r="12">
      <c r="A12" s="254" t="n">
        <v>1</v>
      </c>
      <c r="B12" s="254" t="n">
        <v>2</v>
      </c>
      <c r="C12" s="254" t="n">
        <v>3</v>
      </c>
      <c r="D12" s="254" t="n">
        <v>4</v>
      </c>
      <c r="E12" s="254" t="n">
        <v>5</v>
      </c>
      <c r="F12" s="254" t="n">
        <v>6</v>
      </c>
      <c r="G12" s="254" t="n">
        <v>7</v>
      </c>
      <c r="H12" s="254" t="n">
        <v>8</v>
      </c>
      <c r="I12" s="266" t="n">
        <v>9</v>
      </c>
      <c r="J12" s="266" t="n">
        <v>10</v>
      </c>
      <c r="M12" s="197" t="n"/>
      <c r="N12" s="197" t="n"/>
    </row>
    <row r="13">
      <c r="A13" s="254" t="n"/>
      <c r="B13" s="258" t="inlineStr">
        <is>
          <t>Затраты труда рабочих-строителей</t>
        </is>
      </c>
      <c r="C13" s="319" t="n"/>
      <c r="D13" s="319" t="n"/>
      <c r="E13" s="319" t="n"/>
      <c r="F13" s="319" t="n"/>
      <c r="G13" s="319" t="n"/>
      <c r="H13" s="320" t="n"/>
      <c r="I13" s="148" t="n"/>
      <c r="J13" s="148" t="n"/>
    </row>
    <row r="14" ht="25.5" customHeight="1" s="199">
      <c r="A14" s="254" t="n">
        <v>1</v>
      </c>
      <c r="B14" s="168" t="inlineStr">
        <is>
          <t>1-3-9</t>
        </is>
      </c>
      <c r="C14" s="253" t="inlineStr">
        <is>
          <t>Затраты труда рабочих-строителей среднего разряда (3,9)</t>
        </is>
      </c>
      <c r="D14" s="254" t="inlineStr">
        <is>
          <t>чел.-ч.</t>
        </is>
      </c>
      <c r="E14" s="181">
        <f>G14/F14</f>
        <v/>
      </c>
      <c r="F14" s="32" t="n">
        <v>9.51</v>
      </c>
      <c r="G14" s="32">
        <f>'Прил. 3'!H13</f>
        <v/>
      </c>
      <c r="H14" s="182">
        <f>G14/G15</f>
        <v/>
      </c>
      <c r="I14" s="32">
        <f>ФОТр.тек.!E13</f>
        <v/>
      </c>
      <c r="J14" s="32">
        <f>ROUND(I14*E14,2)</f>
        <v/>
      </c>
    </row>
    <row r="15" ht="25.5" customFormat="1" customHeight="1" s="197">
      <c r="A15" s="254" t="n"/>
      <c r="B15" s="254" t="n"/>
      <c r="C15" s="258" t="inlineStr">
        <is>
          <t>Итого по разделу "Затраты труда рабочих-строителей"</t>
        </is>
      </c>
      <c r="D15" s="254" t="inlineStr">
        <is>
          <t>чел.-ч.</t>
        </is>
      </c>
      <c r="E15" s="181">
        <f>SUM(E14:E14)</f>
        <v/>
      </c>
      <c r="F15" s="32" t="n"/>
      <c r="G15" s="32">
        <f>SUM(G14:G14)</f>
        <v/>
      </c>
      <c r="H15" s="257" t="n">
        <v>1</v>
      </c>
      <c r="I15" s="148" t="n"/>
      <c r="J15" s="32">
        <f>SUM(J14:J14)</f>
        <v/>
      </c>
    </row>
    <row r="16" ht="14.25" customFormat="1" customHeight="1" s="197">
      <c r="A16" s="254" t="n"/>
      <c r="B16" s="253" t="inlineStr">
        <is>
          <t>Затраты труда машинистов</t>
        </is>
      </c>
      <c r="C16" s="319" t="n"/>
      <c r="D16" s="319" t="n"/>
      <c r="E16" s="319" t="n"/>
      <c r="F16" s="319" t="n"/>
      <c r="G16" s="319" t="n"/>
      <c r="H16" s="320" t="n"/>
      <c r="I16" s="148" t="n"/>
      <c r="J16" s="148" t="n"/>
    </row>
    <row r="17" ht="14.25" customFormat="1" customHeight="1" s="197">
      <c r="A17" s="254" t="n">
        <v>2</v>
      </c>
      <c r="B17" s="254" t="n">
        <v>2</v>
      </c>
      <c r="C17" s="253" t="inlineStr">
        <is>
          <t>Затраты труда машинистов</t>
        </is>
      </c>
      <c r="D17" s="254" t="inlineStr">
        <is>
          <t>чел.-ч.</t>
        </is>
      </c>
      <c r="E17" s="181">
        <f>'Прил. 3'!F15</f>
        <v/>
      </c>
      <c r="F17" s="32">
        <f>G17/E17</f>
        <v/>
      </c>
      <c r="G17" s="32">
        <f>'Прил. 3'!H15</f>
        <v/>
      </c>
      <c r="H17" s="257" t="n">
        <v>1</v>
      </c>
      <c r="I17" s="32">
        <f>ROUND(F17*'Прил. 10'!D11,2)</f>
        <v/>
      </c>
      <c r="J17" s="32">
        <f>ROUND(I17*E17,2)</f>
        <v/>
      </c>
    </row>
    <row r="18" ht="14.25" customFormat="1" customHeight="1" s="197">
      <c r="A18" s="254" t="n"/>
      <c r="B18" s="258" t="inlineStr">
        <is>
          <t>Машины и механизмы</t>
        </is>
      </c>
      <c r="C18" s="319" t="n"/>
      <c r="D18" s="319" t="n"/>
      <c r="E18" s="319" t="n"/>
      <c r="F18" s="319" t="n"/>
      <c r="G18" s="319" t="n"/>
      <c r="H18" s="320" t="n"/>
      <c r="I18" s="148" t="n"/>
      <c r="J18" s="148" t="n"/>
    </row>
    <row r="19" ht="14.25" customFormat="1" customHeight="1" s="197">
      <c r="A19" s="254" t="n"/>
      <c r="B19" s="253" t="inlineStr">
        <is>
          <t>Основные машины и механизмы</t>
        </is>
      </c>
      <c r="C19" s="319" t="n"/>
      <c r="D19" s="319" t="n"/>
      <c r="E19" s="319" t="n"/>
      <c r="F19" s="319" t="n"/>
      <c r="G19" s="319" t="n"/>
      <c r="H19" s="320" t="n"/>
      <c r="I19" s="148" t="n"/>
      <c r="J19" s="148" t="n"/>
    </row>
    <row r="20" ht="25.5" customFormat="1" customHeight="1" s="197">
      <c r="A20" s="254" t="n">
        <v>3</v>
      </c>
      <c r="B20" s="168" t="inlineStr">
        <is>
          <t>91.06.06-011</t>
        </is>
      </c>
      <c r="C20" s="253" t="inlineStr">
        <is>
          <t>Автогидроподъемники высотой подъема: 12 м</t>
        </is>
      </c>
      <c r="D20" s="254" t="inlineStr">
        <is>
          <t>маш.час</t>
        </is>
      </c>
      <c r="E20" s="183" t="n">
        <v>39.06</v>
      </c>
      <c r="F20" s="256" t="n">
        <v>82.22</v>
      </c>
      <c r="G20" s="32">
        <f>ROUND(E20*F20,2)</f>
        <v/>
      </c>
      <c r="H20" s="182">
        <f>G20/$G$27</f>
        <v/>
      </c>
      <c r="I20" s="32">
        <f>ROUND(F20*'Прил. 10'!$D$12,2)</f>
        <v/>
      </c>
      <c r="J20" s="32">
        <f>ROUND(I20*E20,2)</f>
        <v/>
      </c>
    </row>
    <row r="21" ht="25.5" customFormat="1" customHeight="1" s="197">
      <c r="A21" s="254" t="n">
        <v>4</v>
      </c>
      <c r="B21" s="168" t="inlineStr">
        <is>
          <t>91.06.03-057</t>
        </is>
      </c>
      <c r="C21" s="253" t="inlineStr">
        <is>
          <t>Лебедки электрические тяговым усилием: 122,62 кН (12,5 т)</t>
        </is>
      </c>
      <c r="D21" s="254" t="inlineStr">
        <is>
          <t>маш.час</t>
        </is>
      </c>
      <c r="E21" s="183" t="n">
        <v>19.12</v>
      </c>
      <c r="F21" s="256" t="n">
        <v>80.73999999999999</v>
      </c>
      <c r="G21" s="32">
        <f>ROUND(E21*F21,2)</f>
        <v/>
      </c>
      <c r="H21" s="182">
        <f>G21/$G$27</f>
        <v/>
      </c>
      <c r="I21" s="32">
        <f>ROUND(F21*'Прил. 10'!D12,2)</f>
        <v/>
      </c>
      <c r="J21" s="32">
        <f>ROUND(I21*E21,2)</f>
        <v/>
      </c>
    </row>
    <row r="22" ht="14.25" customFormat="1" customHeight="1" s="197">
      <c r="A22" s="254" t="n"/>
      <c r="B22" s="254" t="n"/>
      <c r="C22" s="253" t="inlineStr">
        <is>
          <t>Итого основные машины и механизмы</t>
        </is>
      </c>
      <c r="D22" s="254" t="n"/>
      <c r="E22" s="181" t="n"/>
      <c r="F22" s="32" t="n"/>
      <c r="G22" s="32">
        <f>SUM(G20:G21)</f>
        <v/>
      </c>
      <c r="H22" s="257">
        <f>G22/G27</f>
        <v/>
      </c>
      <c r="I22" s="184" t="n"/>
      <c r="J22" s="32">
        <f>SUM(J20:J21)</f>
        <v/>
      </c>
    </row>
    <row r="23" outlineLevel="1" ht="25.5" customFormat="1" customHeight="1" s="197">
      <c r="A23" s="254" t="n">
        <v>5</v>
      </c>
      <c r="B23" s="168" t="inlineStr">
        <is>
          <t>91.05.05-014</t>
        </is>
      </c>
      <c r="C23" s="253" t="inlineStr">
        <is>
          <t>Краны на автомобильном ходу, грузоподъемность 10 т</t>
        </is>
      </c>
      <c r="D23" s="254" t="inlineStr">
        <is>
          <t>маш.час</t>
        </is>
      </c>
      <c r="E23" s="183" t="n">
        <v>1.31</v>
      </c>
      <c r="F23" s="256" t="n">
        <v>111.99</v>
      </c>
      <c r="G23" s="32">
        <f>ROUND(E23*F23,2)</f>
        <v/>
      </c>
      <c r="H23" s="182">
        <f>G23/$G$27</f>
        <v/>
      </c>
      <c r="I23" s="32">
        <f>ROUND(F23*'Прил. 10'!$D$12,2)</f>
        <v/>
      </c>
      <c r="J23" s="32">
        <f>ROUND(I23*E23,2)</f>
        <v/>
      </c>
    </row>
    <row r="24" outlineLevel="1" ht="25.5" customFormat="1" customHeight="1" s="197">
      <c r="A24" s="254" t="n">
        <v>6</v>
      </c>
      <c r="B24" s="168" t="inlineStr">
        <is>
          <t>91.14.02-001</t>
        </is>
      </c>
      <c r="C24" s="253" t="inlineStr">
        <is>
          <t>Автомобили бортовые, грузоподъемность: до 5 т</t>
        </is>
      </c>
      <c r="D24" s="254" t="inlineStr">
        <is>
          <t>маш.час</t>
        </is>
      </c>
      <c r="E24" s="183" t="n">
        <v>0.53</v>
      </c>
      <c r="F24" s="256" t="n">
        <v>65.70999999999999</v>
      </c>
      <c r="G24" s="32">
        <f>ROUND(E24*F24,2)</f>
        <v/>
      </c>
      <c r="H24" s="182">
        <f>G24/$G$27</f>
        <v/>
      </c>
      <c r="I24" s="32">
        <f>ROUND(F24*'Прил. 10'!$D$12,2)</f>
        <v/>
      </c>
      <c r="J24" s="32">
        <f>ROUND(I24*E24,2)</f>
        <v/>
      </c>
    </row>
    <row r="25" outlineLevel="1" ht="25.5" customFormat="1" customHeight="1" s="197">
      <c r="A25" s="254" t="n">
        <v>7</v>
      </c>
      <c r="B25" s="168" t="inlineStr">
        <is>
          <t>91.06.01-002</t>
        </is>
      </c>
      <c r="C25" s="253" t="inlineStr">
        <is>
          <t>Домкраты гидравлические, грузоподъемность 6,3-25 т</t>
        </is>
      </c>
      <c r="D25" s="254" t="inlineStr">
        <is>
          <t>маш.час</t>
        </is>
      </c>
      <c r="E25" s="183" t="n">
        <v>15.62</v>
      </c>
      <c r="F25" s="256" t="n">
        <v>0.48</v>
      </c>
      <c r="G25" s="32">
        <f>ROUND(E25*F25,2)</f>
        <v/>
      </c>
      <c r="H25" s="182">
        <f>G25/$G$27</f>
        <v/>
      </c>
      <c r="I25" s="32">
        <f>ROUND(F25*'Прил. 10'!$D$12,2)</f>
        <v/>
      </c>
      <c r="J25" s="32">
        <f>ROUND(I25*E25,2)</f>
        <v/>
      </c>
    </row>
    <row r="26" ht="14.25" customFormat="1" customHeight="1" s="197">
      <c r="A26" s="254" t="n"/>
      <c r="B26" s="254" t="n"/>
      <c r="C26" s="253" t="inlineStr">
        <is>
          <t>Итого прочие машины и механизмы</t>
        </is>
      </c>
      <c r="D26" s="254" t="n"/>
      <c r="E26" s="255" t="n"/>
      <c r="F26" s="32" t="n"/>
      <c r="G26" s="184">
        <f>SUM(G23:G25)</f>
        <v/>
      </c>
      <c r="H26" s="182">
        <f>G26/G27</f>
        <v/>
      </c>
      <c r="I26" s="32" t="n"/>
      <c r="J26" s="32">
        <f>SUM(J23:J25)</f>
        <v/>
      </c>
    </row>
    <row r="27" ht="25.5" customFormat="1" customHeight="1" s="197">
      <c r="A27" s="254" t="n"/>
      <c r="B27" s="254" t="n"/>
      <c r="C27" s="258" t="inlineStr">
        <is>
          <t>Итого по разделу «Машины и механизмы»</t>
        </is>
      </c>
      <c r="D27" s="254" t="n"/>
      <c r="E27" s="255" t="n"/>
      <c r="F27" s="32" t="n"/>
      <c r="G27" s="32">
        <f>G26+G22</f>
        <v/>
      </c>
      <c r="H27" s="185" t="n">
        <v>1</v>
      </c>
      <c r="I27" s="186" t="n"/>
      <c r="J27" s="187">
        <f>J26+J22</f>
        <v/>
      </c>
    </row>
    <row r="28" ht="14.25" customFormat="1" customHeight="1" s="197">
      <c r="A28" s="254" t="n"/>
      <c r="B28" s="258" t="inlineStr">
        <is>
          <t>Оборудование</t>
        </is>
      </c>
      <c r="C28" s="319" t="n"/>
      <c r="D28" s="319" t="n"/>
      <c r="E28" s="319" t="n"/>
      <c r="F28" s="319" t="n"/>
      <c r="G28" s="319" t="n"/>
      <c r="H28" s="320" t="n"/>
      <c r="I28" s="148" t="n"/>
      <c r="J28" s="148" t="n"/>
    </row>
    <row r="29">
      <c r="A29" s="254" t="n"/>
      <c r="B29" s="253" t="inlineStr">
        <is>
          <t>Основное оборудование</t>
        </is>
      </c>
      <c r="C29" s="319" t="n"/>
      <c r="D29" s="319" t="n"/>
      <c r="E29" s="319" t="n"/>
      <c r="F29" s="319" t="n"/>
      <c r="G29" s="319" t="n"/>
      <c r="H29" s="320" t="n"/>
      <c r="I29" s="148" t="n"/>
      <c r="J29" s="148" t="n"/>
    </row>
    <row r="30">
      <c r="A30" s="254" t="n"/>
      <c r="B30" s="254" t="n"/>
      <c r="C30" s="253" t="inlineStr">
        <is>
          <t>Итого основное оборудование</t>
        </is>
      </c>
      <c r="D30" s="254" t="n"/>
      <c r="E30" s="181" t="n"/>
      <c r="F30" s="256" t="n"/>
      <c r="G30" s="32" t="n">
        <v>0</v>
      </c>
      <c r="H30" s="257" t="n">
        <v>0</v>
      </c>
      <c r="I30" s="184" t="n"/>
      <c r="J30" s="32" t="n">
        <v>0</v>
      </c>
    </row>
    <row r="31">
      <c r="A31" s="254" t="n"/>
      <c r="B31" s="254" t="n"/>
      <c r="C31" s="253" t="inlineStr">
        <is>
          <t>Итого прочее оборудование</t>
        </is>
      </c>
      <c r="D31" s="254" t="n"/>
      <c r="E31" s="181" t="n"/>
      <c r="F31" s="256" t="n"/>
      <c r="G31" s="32" t="n">
        <v>0</v>
      </c>
      <c r="H31" s="257" t="n">
        <v>0</v>
      </c>
      <c r="I31" s="184" t="n"/>
      <c r="J31" s="32" t="n">
        <v>0</v>
      </c>
    </row>
    <row r="32">
      <c r="A32" s="254" t="n"/>
      <c r="B32" s="254" t="n"/>
      <c r="C32" s="258" t="inlineStr">
        <is>
          <t>Итого по разделу «Оборудование»</t>
        </is>
      </c>
      <c r="D32" s="254" t="n"/>
      <c r="E32" s="255" t="n"/>
      <c r="F32" s="256" t="n"/>
      <c r="G32" s="32">
        <f>G30+G31</f>
        <v/>
      </c>
      <c r="H32" s="257" t="n">
        <v>0</v>
      </c>
      <c r="I32" s="184" t="n"/>
      <c r="J32" s="32">
        <f>J31+J30</f>
        <v/>
      </c>
    </row>
    <row r="33" ht="25.5" customHeight="1" s="199">
      <c r="A33" s="254" t="n"/>
      <c r="B33" s="254" t="n"/>
      <c r="C33" s="253" t="inlineStr">
        <is>
          <t>в том числе технологическое оборудование</t>
        </is>
      </c>
      <c r="D33" s="254" t="n"/>
      <c r="E33" s="188" t="n"/>
      <c r="F33" s="256" t="n"/>
      <c r="G33" s="32">
        <f>G32</f>
        <v/>
      </c>
      <c r="H33" s="257" t="n"/>
      <c r="I33" s="184" t="n"/>
      <c r="J33" s="32">
        <f>J32</f>
        <v/>
      </c>
    </row>
    <row r="34" ht="14.25" customFormat="1" customHeight="1" s="197">
      <c r="A34" s="254" t="n"/>
      <c r="B34" s="258" t="inlineStr">
        <is>
          <t>Материалы</t>
        </is>
      </c>
      <c r="C34" s="319" t="n"/>
      <c r="D34" s="319" t="n"/>
      <c r="E34" s="319" t="n"/>
      <c r="F34" s="319" t="n"/>
      <c r="G34" s="319" t="n"/>
      <c r="H34" s="320" t="n"/>
      <c r="I34" s="148" t="n"/>
      <c r="J34" s="148" t="n"/>
    </row>
    <row r="35" ht="14.25" customFormat="1" customHeight="1" s="197">
      <c r="A35" s="254" t="n"/>
      <c r="B35" s="253" t="inlineStr">
        <is>
          <t>Основные материалы</t>
        </is>
      </c>
      <c r="C35" s="319" t="n"/>
      <c r="D35" s="319" t="n"/>
      <c r="E35" s="319" t="n"/>
      <c r="F35" s="319" t="n"/>
      <c r="G35" s="319" t="n"/>
      <c r="H35" s="320" t="n"/>
      <c r="I35" s="148" t="n"/>
      <c r="J35" s="148" t="n"/>
    </row>
    <row r="36" ht="25.5" customFormat="1" customHeight="1" s="197">
      <c r="A36" s="254" t="n">
        <v>8</v>
      </c>
      <c r="B36" s="168" t="inlineStr">
        <is>
          <t>БЦ.103.129</t>
        </is>
      </c>
      <c r="C36" s="253" t="inlineStr">
        <is>
          <t>Провода изолированные для воздушных линий  СИП-4 4х16</t>
        </is>
      </c>
      <c r="D36" s="189" t="inlineStr">
        <is>
          <t>км</t>
        </is>
      </c>
      <c r="E36" s="183" t="n">
        <v>1</v>
      </c>
      <c r="F36" s="190">
        <f>ROUND(I36/'Прил. 10'!D13,2)</f>
        <v/>
      </c>
      <c r="G36" s="32">
        <f>ROUND(E36*F36,2)</f>
        <v/>
      </c>
      <c r="H36" s="257">
        <f>G36/$G$43</f>
        <v/>
      </c>
      <c r="I36" s="32" t="n">
        <v>84971.95</v>
      </c>
      <c r="J36" s="32">
        <f>ROUND(I36*E36,2)</f>
        <v/>
      </c>
    </row>
    <row r="37" ht="25.5" customFormat="1" customHeight="1" s="197">
      <c r="A37" s="254" t="n">
        <v>9</v>
      </c>
      <c r="B37" s="168" t="inlineStr">
        <is>
          <t>25.2.02.04-0003</t>
        </is>
      </c>
      <c r="C37" s="253" t="inlineStr">
        <is>
          <t>Комплект промежуточной подвески (СИП) ES 1500E</t>
        </is>
      </c>
      <c r="D37" s="254" t="inlineStr">
        <is>
          <t>компл.</t>
        </is>
      </c>
      <c r="E37" s="183" t="n">
        <v>29</v>
      </c>
      <c r="F37" s="256" t="n">
        <v>168.71</v>
      </c>
      <c r="G37" s="32">
        <f>ROUND(E37*F37,2)</f>
        <v/>
      </c>
      <c r="H37" s="182">
        <f>G37/$G$43</f>
        <v/>
      </c>
      <c r="I37" s="32">
        <f>ROUND(F37*'Прил. 10'!$D$13,2)</f>
        <v/>
      </c>
      <c r="J37" s="32">
        <f>ROUND(I37*E37,2)</f>
        <v/>
      </c>
    </row>
    <row r="38" ht="14.25" customFormat="1" customHeight="1" s="197">
      <c r="A38" s="254" t="n"/>
      <c r="B38" s="168" t="n"/>
      <c r="C38" s="253" t="inlineStr">
        <is>
          <t>Итого основные материалы</t>
        </is>
      </c>
      <c r="D38" s="254" t="n"/>
      <c r="E38" s="181" t="n"/>
      <c r="F38" s="32" t="n"/>
      <c r="G38" s="32">
        <f>SUM(G36:G37)</f>
        <v/>
      </c>
      <c r="H38" s="182">
        <f>G38/$G$43</f>
        <v/>
      </c>
      <c r="I38" s="187" t="n"/>
      <c r="J38" s="32">
        <f>SUM(J36:J37)</f>
        <v/>
      </c>
    </row>
    <row r="39" outlineLevel="1" ht="51" customFormat="1" customHeight="1" s="197">
      <c r="A39" s="254" t="n">
        <v>10</v>
      </c>
      <c r="B39" s="168" t="inlineStr">
        <is>
          <t>25.2.02.11-0021</t>
        </is>
      </c>
      <c r="C39" s="253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39" s="254" t="inlineStr">
        <is>
          <t>шт</t>
        </is>
      </c>
      <c r="E39" s="183" t="n">
        <v>1.8</v>
      </c>
      <c r="F39" s="256" t="n">
        <v>943.0599999999999</v>
      </c>
      <c r="G39" s="32">
        <f>ROUND(E39*F39,2)</f>
        <v/>
      </c>
      <c r="H39" s="182">
        <f>G39/$G$43</f>
        <v/>
      </c>
      <c r="I39" s="32">
        <f>ROUND(F39*'Прил. 10'!$D$13,2)</f>
        <v/>
      </c>
      <c r="J39" s="32">
        <f>ROUND(I39*E39,2)</f>
        <v/>
      </c>
    </row>
    <row r="40" outlineLevel="1" ht="38.25" customFormat="1" customHeight="1" s="197">
      <c r="A40" s="254" t="n">
        <v>11</v>
      </c>
      <c r="B40" s="168" t="inlineStr">
        <is>
          <t>25.2.02.04-0002</t>
        </is>
      </c>
      <c r="C40" s="253" t="inlineStr">
        <is>
          <t>Комплект для простого анкерного крепления ЕА1500-3 в составе: кронштейн CS10.3, зажим РА1500</t>
        </is>
      </c>
      <c r="D40" s="254" t="inlineStr">
        <is>
          <t>компл.</t>
        </is>
      </c>
      <c r="E40" s="183" t="n">
        <v>2</v>
      </c>
      <c r="F40" s="256" t="n">
        <v>242.4</v>
      </c>
      <c r="G40" s="32">
        <f>ROUND(E40*F40,2)</f>
        <v/>
      </c>
      <c r="H40" s="182">
        <f>G40/$G$43</f>
        <v/>
      </c>
      <c r="I40" s="32">
        <f>ROUND(F40*'Прил. 10'!$D$13,2)</f>
        <v/>
      </c>
      <c r="J40" s="32">
        <f>ROUND(I40*E40,2)</f>
        <v/>
      </c>
    </row>
    <row r="41" outlineLevel="1" ht="14.25" customFormat="1" customHeight="1" s="197">
      <c r="A41" s="254" t="n">
        <v>12</v>
      </c>
      <c r="B41" s="168" t="inlineStr">
        <is>
          <t>25.2.02.11-0051</t>
        </is>
      </c>
      <c r="C41" s="253" t="inlineStr">
        <is>
          <t>Скрепа размером 20 мм NC20 (СИП)</t>
        </is>
      </c>
      <c r="D41" s="254" t="inlineStr">
        <is>
          <t>100 шт</t>
        </is>
      </c>
      <c r="E41" s="183" t="n">
        <v>0.62</v>
      </c>
      <c r="F41" s="256" t="n">
        <v>582</v>
      </c>
      <c r="G41" s="32">
        <f>ROUND(E41*F41,2)</f>
        <v/>
      </c>
      <c r="H41" s="182">
        <f>G41/$G$43</f>
        <v/>
      </c>
      <c r="I41" s="32">
        <f>ROUND(F41*'Прил. 10'!$D$13,2)</f>
        <v/>
      </c>
      <c r="J41" s="32">
        <f>ROUND(I41*E41,2)</f>
        <v/>
      </c>
    </row>
    <row r="42" ht="14.25" customFormat="1" customHeight="1" s="197">
      <c r="A42" s="254" t="n"/>
      <c r="B42" s="254" t="n"/>
      <c r="C42" s="253" t="inlineStr">
        <is>
          <t>Итого прочие материалы</t>
        </is>
      </c>
      <c r="D42" s="254" t="n"/>
      <c r="E42" s="255" t="n"/>
      <c r="F42" s="256" t="n"/>
      <c r="G42" s="32">
        <f>SUM(G39:G41)</f>
        <v/>
      </c>
      <c r="H42" s="182">
        <f>G42/$G$43</f>
        <v/>
      </c>
      <c r="I42" s="32" t="n"/>
      <c r="J42" s="32">
        <f>SUM(J39:J41)</f>
        <v/>
      </c>
    </row>
    <row r="43" ht="14.25" customFormat="1" customHeight="1" s="197">
      <c r="A43" s="254" t="n"/>
      <c r="B43" s="254" t="n"/>
      <c r="C43" s="258" t="inlineStr">
        <is>
          <t>Итого по разделу «Материалы»</t>
        </is>
      </c>
      <c r="D43" s="254" t="n"/>
      <c r="E43" s="255" t="n"/>
      <c r="F43" s="256" t="n"/>
      <c r="G43" s="32">
        <f>G38+G42</f>
        <v/>
      </c>
      <c r="H43" s="257" t="n">
        <v>1</v>
      </c>
      <c r="I43" s="32" t="n"/>
      <c r="J43" s="32">
        <f>J38+J42</f>
        <v/>
      </c>
    </row>
    <row r="44" ht="14.25" customFormat="1" customHeight="1" s="197">
      <c r="A44" s="254" t="n"/>
      <c r="B44" s="254" t="n"/>
      <c r="C44" s="253" t="inlineStr">
        <is>
          <t>ИТОГО ПО РМ</t>
        </is>
      </c>
      <c r="D44" s="254" t="n"/>
      <c r="E44" s="255" t="n"/>
      <c r="F44" s="256" t="n"/>
      <c r="G44" s="32">
        <f>G15+G27+G43</f>
        <v/>
      </c>
      <c r="H44" s="257" t="n"/>
      <c r="I44" s="32" t="n"/>
      <c r="J44" s="32">
        <f>J15+J27+J43</f>
        <v/>
      </c>
    </row>
    <row r="45" ht="14.25" customFormat="1" customHeight="1" s="197">
      <c r="A45" s="254" t="n"/>
      <c r="B45" s="254" t="n"/>
      <c r="C45" s="253" t="inlineStr">
        <is>
          <t>Накладные расходы</t>
        </is>
      </c>
      <c r="D45" s="149">
        <f>ROUND(G45/(G$17+$G$15),2)</f>
        <v/>
      </c>
      <c r="E45" s="255" t="n"/>
      <c r="F45" s="256" t="n"/>
      <c r="G45" s="32" t="n">
        <v>1712.78</v>
      </c>
      <c r="H45" s="257" t="n"/>
      <c r="I45" s="32" t="n"/>
      <c r="J45" s="32">
        <f>ROUND(D45*(J15+J17),2)</f>
        <v/>
      </c>
    </row>
    <row r="46" ht="14.25" customFormat="1" customHeight="1" s="197">
      <c r="A46" s="254" t="n"/>
      <c r="B46" s="254" t="n"/>
      <c r="C46" s="253" t="inlineStr">
        <is>
          <t>Сметная прибыль</t>
        </is>
      </c>
      <c r="D46" s="149">
        <f>ROUND(G46/(G$15+G$17),2)</f>
        <v/>
      </c>
      <c r="E46" s="255" t="n"/>
      <c r="F46" s="256" t="n"/>
      <c r="G46" s="32" t="n">
        <v>978.73</v>
      </c>
      <c r="H46" s="257" t="n"/>
      <c r="I46" s="32" t="n"/>
      <c r="J46" s="32">
        <f>ROUND(D46*(J15+J17),2)</f>
        <v/>
      </c>
    </row>
    <row r="47" ht="14.25" customFormat="1" customHeight="1" s="197">
      <c r="A47" s="254" t="n"/>
      <c r="B47" s="254" t="n"/>
      <c r="C47" s="253" t="inlineStr">
        <is>
          <t>Итого СМР (с НР и СП)</t>
        </is>
      </c>
      <c r="D47" s="254" t="n"/>
      <c r="E47" s="255" t="n"/>
      <c r="F47" s="256" t="n"/>
      <c r="G47" s="32">
        <f>G15+G27+G43+G45+G46</f>
        <v/>
      </c>
      <c r="H47" s="257" t="n"/>
      <c r="I47" s="32" t="n"/>
      <c r="J47" s="32">
        <f>J15+J27+J43+J45+J46</f>
        <v/>
      </c>
    </row>
    <row r="48" ht="14.25" customFormat="1" customHeight="1" s="197">
      <c r="A48" s="254" t="n"/>
      <c r="B48" s="254" t="n"/>
      <c r="C48" s="253" t="inlineStr">
        <is>
          <t>ВСЕГО СМР + ОБОРУДОВАНИЕ</t>
        </is>
      </c>
      <c r="D48" s="254" t="n"/>
      <c r="E48" s="255" t="n"/>
      <c r="F48" s="256" t="n"/>
      <c r="G48" s="32">
        <f>G47+G32</f>
        <v/>
      </c>
      <c r="H48" s="257" t="n"/>
      <c r="I48" s="32" t="n"/>
      <c r="J48" s="32">
        <f>J47+J32</f>
        <v/>
      </c>
    </row>
    <row r="49" ht="34.5" customFormat="1" customHeight="1" s="197">
      <c r="A49" s="254" t="n"/>
      <c r="B49" s="254" t="n"/>
      <c r="C49" s="253" t="inlineStr">
        <is>
          <t>ИТОГО ПОКАЗАТЕЛЬ НА ЕД. ИЗМ.</t>
        </is>
      </c>
      <c r="D49" s="254" t="inlineStr">
        <is>
          <t>ед.</t>
        </is>
      </c>
      <c r="E49" s="255" t="n">
        <v>1</v>
      </c>
      <c r="F49" s="256" t="n"/>
      <c r="G49" s="32">
        <f>G48/E49</f>
        <v/>
      </c>
      <c r="H49" s="257" t="n"/>
      <c r="I49" s="32" t="n"/>
      <c r="J49" s="32">
        <f>J48/E49</f>
        <v/>
      </c>
    </row>
    <row r="51" ht="14.25" customFormat="1" customHeight="1" s="197">
      <c r="A51" s="196" t="inlineStr">
        <is>
          <t>Составил ______________________    Д.Ю. Нефедова</t>
        </is>
      </c>
    </row>
    <row r="52" ht="14.25" customFormat="1" customHeight="1" s="197">
      <c r="A52" s="206" t="inlineStr">
        <is>
          <t xml:space="preserve">                         (подпись, инициалы, фамилия)</t>
        </is>
      </c>
    </row>
    <row r="53" ht="14.25" customFormat="1" customHeight="1" s="197">
      <c r="A53" s="196" t="n"/>
    </row>
    <row r="54" ht="14.25" customFormat="1" customHeight="1" s="197">
      <c r="A54" s="196" t="inlineStr">
        <is>
          <t>Проверил ______________________        А.В. Костянецкая</t>
        </is>
      </c>
    </row>
    <row r="55" ht="14.25" customFormat="1" customHeight="1" s="197">
      <c r="A55" s="206" t="inlineStr">
        <is>
          <t xml:space="preserve">                        (подпись, инициалы, фамилия)</t>
        </is>
      </c>
    </row>
  </sheetData>
  <mergeCells count="21">
    <mergeCell ref="F10:G10"/>
    <mergeCell ref="A4:J4"/>
    <mergeCell ref="C10:C11"/>
    <mergeCell ref="H2:J2"/>
    <mergeCell ref="E10:E11"/>
    <mergeCell ref="A7:H7"/>
    <mergeCell ref="B35:H35"/>
    <mergeCell ref="B16:H16"/>
    <mergeCell ref="B10:B11"/>
    <mergeCell ref="B18:H18"/>
    <mergeCell ref="D6:J6"/>
    <mergeCell ref="A10:A11"/>
    <mergeCell ref="A8:H8"/>
    <mergeCell ref="D10:D11"/>
    <mergeCell ref="B13:H13"/>
    <mergeCell ref="I10:J10"/>
    <mergeCell ref="B29:H29"/>
    <mergeCell ref="B19:H19"/>
    <mergeCell ref="B34:H34"/>
    <mergeCell ref="H10:H11"/>
    <mergeCell ref="B28:H28"/>
  </mergeCells>
  <pageMargins left="0.7086614173228351" right="0.7086614173228351" top="0.748031496062992" bottom="0.748031496062992" header="0.31496062992126" footer="0.31496062992126"/>
  <pageSetup orientation="landscape" paperSize="9" scale="79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20"/>
  <sheetViews>
    <sheetView view="pageBreakPreview" workbookViewId="0">
      <selection activeCell="C19" sqref="C19"/>
    </sheetView>
  </sheetViews>
  <sheetFormatPr baseColWidth="8" defaultRowHeight="15"/>
  <cols>
    <col width="5.7109375" customWidth="1" style="199" min="1" max="1"/>
    <col width="17.5703125" customWidth="1" style="199" min="2" max="2"/>
    <col width="39.140625" customWidth="1" style="199" min="3" max="3"/>
    <col width="10.7109375" customWidth="1" style="199" min="4" max="4"/>
    <col width="13.85546875" customWidth="1" style="199" min="5" max="5"/>
    <col width="13.28515625" customWidth="1" style="199" min="6" max="6"/>
    <col width="14.140625" customWidth="1" style="199" min="7" max="7"/>
  </cols>
  <sheetData>
    <row r="1">
      <c r="A1" s="269" t="inlineStr">
        <is>
          <t>Приложение №6</t>
        </is>
      </c>
    </row>
    <row r="2" ht="21.75" customHeight="1" s="199">
      <c r="A2" s="269" t="n"/>
      <c r="B2" s="269" t="n"/>
      <c r="C2" s="269" t="n"/>
      <c r="D2" s="269" t="n"/>
      <c r="E2" s="269" t="n"/>
      <c r="F2" s="269" t="n"/>
      <c r="G2" s="269" t="n"/>
    </row>
    <row r="3">
      <c r="A3" s="223" t="inlineStr">
        <is>
          <t>Расчет стоимости оборудования</t>
        </is>
      </c>
    </row>
    <row r="4" ht="25.5" customHeight="1" s="199">
      <c r="A4" s="226" t="inlineStr">
        <is>
          <t>Наименование разрабатываемого показателя УНЦ — УНЦ провода СИП ВЛ 0,4-35 кВ (СИП-4)</t>
        </is>
      </c>
    </row>
    <row r="5">
      <c r="A5" s="196" t="n"/>
      <c r="B5" s="196" t="n"/>
      <c r="C5" s="196" t="n"/>
      <c r="D5" s="196" t="n"/>
      <c r="E5" s="196" t="n"/>
      <c r="F5" s="196" t="n"/>
      <c r="G5" s="196" t="n"/>
    </row>
    <row r="6" ht="30" customHeight="1" s="199">
      <c r="A6" s="274" t="inlineStr">
        <is>
          <t>№ пп.</t>
        </is>
      </c>
      <c r="B6" s="274" t="inlineStr">
        <is>
          <t>Код ресурса</t>
        </is>
      </c>
      <c r="C6" s="274" t="inlineStr">
        <is>
          <t>Наименование</t>
        </is>
      </c>
      <c r="D6" s="274" t="inlineStr">
        <is>
          <t>Ед. изм.</t>
        </is>
      </c>
      <c r="E6" s="254" t="inlineStr">
        <is>
          <t>Кол-во единиц по проектным данным</t>
        </is>
      </c>
      <c r="F6" s="274" t="inlineStr">
        <is>
          <t>Сметная стоимость в ценах на 01.01.2000 (руб.)</t>
        </is>
      </c>
      <c r="G6" s="320" t="n"/>
    </row>
    <row r="7">
      <c r="A7" s="322" t="n"/>
      <c r="B7" s="322" t="n"/>
      <c r="C7" s="322" t="n"/>
      <c r="D7" s="322" t="n"/>
      <c r="E7" s="322" t="n"/>
      <c r="F7" s="254" t="inlineStr">
        <is>
          <t>на ед. изм.</t>
        </is>
      </c>
      <c r="G7" s="254" t="inlineStr">
        <is>
          <t>общая</t>
        </is>
      </c>
    </row>
    <row r="8">
      <c r="A8" s="254" t="n">
        <v>1</v>
      </c>
      <c r="B8" s="254" t="n">
        <v>2</v>
      </c>
      <c r="C8" s="254" t="n">
        <v>3</v>
      </c>
      <c r="D8" s="254" t="n">
        <v>4</v>
      </c>
      <c r="E8" s="254" t="n">
        <v>5</v>
      </c>
      <c r="F8" s="254" t="n">
        <v>6</v>
      </c>
      <c r="G8" s="254" t="n">
        <v>7</v>
      </c>
    </row>
    <row r="9" ht="15" customHeight="1" s="199">
      <c r="A9" s="25" t="n"/>
      <c r="B9" s="253" t="inlineStr">
        <is>
          <t>ИНЖЕНЕРНОЕ ОБОРУДОВАНИЕ</t>
        </is>
      </c>
      <c r="C9" s="319" t="n"/>
      <c r="D9" s="319" t="n"/>
      <c r="E9" s="319" t="n"/>
      <c r="F9" s="319" t="n"/>
      <c r="G9" s="320" t="n"/>
    </row>
    <row r="10" ht="27" customHeight="1" s="199">
      <c r="A10" s="254" t="n"/>
      <c r="B10" s="258" t="n"/>
      <c r="C10" s="253" t="inlineStr">
        <is>
          <t>ИТОГО ИНЖЕНЕРНОЕ ОБОРУДОВАНИЕ</t>
        </is>
      </c>
      <c r="D10" s="258" t="n"/>
      <c r="E10" s="105" t="n"/>
      <c r="F10" s="256" t="n"/>
      <c r="G10" s="256" t="n">
        <v>0</v>
      </c>
    </row>
    <row r="11">
      <c r="A11" s="254" t="n"/>
      <c r="B11" s="253" t="inlineStr">
        <is>
          <t>ТЕХНОЛОГИЧЕСКОЕ ОБОРУДОВАНИЕ</t>
        </is>
      </c>
      <c r="C11" s="319" t="n"/>
      <c r="D11" s="319" t="n"/>
      <c r="E11" s="319" t="n"/>
      <c r="F11" s="319" t="n"/>
      <c r="G11" s="320" t="n"/>
    </row>
    <row r="12">
      <c r="A12" s="254" t="n">
        <v>1</v>
      </c>
      <c r="B12" s="253" t="n"/>
      <c r="C12" s="253" t="n"/>
      <c r="D12" s="254" t="n"/>
      <c r="E12" s="254" t="n"/>
      <c r="F12" s="256" t="n"/>
      <c r="G12" s="32" t="n"/>
    </row>
    <row r="13" ht="25.5" customHeight="1" s="199">
      <c r="A13" s="254" t="n"/>
      <c r="B13" s="253" t="n"/>
      <c r="C13" s="253" t="inlineStr">
        <is>
          <t>ИТОГО ТЕХНОЛОГИЧЕСКОЕ ОБОРУДОВАНИЕ</t>
        </is>
      </c>
      <c r="D13" s="253" t="n"/>
      <c r="E13" s="273" t="n"/>
      <c r="F13" s="256" t="n"/>
      <c r="G13" s="32">
        <f>SUM(G12:G12)</f>
        <v/>
      </c>
    </row>
    <row r="14" ht="19.5" customHeight="1" s="199">
      <c r="A14" s="254" t="n"/>
      <c r="B14" s="253" t="n"/>
      <c r="C14" s="253" t="inlineStr">
        <is>
          <t>Всего по разделу «Оборудование»</t>
        </is>
      </c>
      <c r="D14" s="253" t="n"/>
      <c r="E14" s="273" t="n"/>
      <c r="F14" s="256" t="n"/>
      <c r="G14" s="32">
        <f>G10+G13</f>
        <v/>
      </c>
    </row>
    <row r="15">
      <c r="A15" s="198" t="n"/>
      <c r="B15" s="205" t="n"/>
      <c r="C15" s="198" t="n"/>
      <c r="D15" s="198" t="n"/>
      <c r="E15" s="198" t="n"/>
      <c r="F15" s="198" t="n"/>
      <c r="G15" s="198" t="n"/>
    </row>
    <row r="16">
      <c r="A16" s="196" t="inlineStr">
        <is>
          <t>Составил ______________________    Д.Ю. Нефедова</t>
        </is>
      </c>
      <c r="B16" s="197" t="n"/>
      <c r="C16" s="197" t="n"/>
      <c r="D16" s="198" t="n"/>
      <c r="E16" s="198" t="n"/>
      <c r="F16" s="198" t="n"/>
      <c r="G16" s="198" t="n"/>
    </row>
    <row r="17">
      <c r="A17" s="206" t="inlineStr">
        <is>
          <t xml:space="preserve">                         (подпись, инициалы, фамилия)</t>
        </is>
      </c>
      <c r="B17" s="197" t="n"/>
      <c r="C17" s="197" t="n"/>
      <c r="D17" s="198" t="n"/>
      <c r="E17" s="198" t="n"/>
      <c r="F17" s="198" t="n"/>
      <c r="G17" s="198" t="n"/>
    </row>
    <row r="18">
      <c r="A18" s="196" t="n"/>
      <c r="B18" s="197" t="n"/>
      <c r="C18" s="197" t="n"/>
      <c r="D18" s="198" t="n"/>
      <c r="E18" s="198" t="n"/>
      <c r="F18" s="198" t="n"/>
      <c r="G18" s="198" t="n"/>
    </row>
    <row r="19">
      <c r="A19" s="196" t="inlineStr">
        <is>
          <t>Проверил ______________________        А.В. Костянецкая</t>
        </is>
      </c>
      <c r="B19" s="197" t="n"/>
      <c r="C19" s="197" t="n"/>
      <c r="D19" s="198" t="n"/>
      <c r="E19" s="198" t="n"/>
      <c r="F19" s="198" t="n"/>
      <c r="G19" s="198" t="n"/>
    </row>
    <row r="20">
      <c r="A20" s="206" t="inlineStr">
        <is>
          <t xml:space="preserve">                        (подпись, инициалы, фамилия)</t>
        </is>
      </c>
      <c r="B20" s="197" t="n"/>
      <c r="C20" s="197" t="n"/>
      <c r="D20" s="198" t="n"/>
      <c r="E20" s="198" t="n"/>
      <c r="F20" s="198" t="n"/>
      <c r="G20" s="198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8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E17"/>
  <sheetViews>
    <sheetView view="pageBreakPreview" workbookViewId="0">
      <selection activeCell="B15" sqref="B15"/>
    </sheetView>
  </sheetViews>
  <sheetFormatPr baseColWidth="8" defaultColWidth="8.85546875" defaultRowHeight="15"/>
  <cols>
    <col width="14.42578125" customWidth="1" style="199" min="1" max="1"/>
    <col width="29.7109375" customWidth="1" style="199" min="2" max="2"/>
    <col width="39.140625" customWidth="1" style="199" min="3" max="3"/>
    <col width="24.5703125" customWidth="1" style="199" min="4" max="4"/>
    <col width="24.85546875" customWidth="1" style="199" min="5" max="5"/>
    <col width="8.85546875" customWidth="1" style="199" min="6" max="6"/>
  </cols>
  <sheetData>
    <row r="1">
      <c r="B1" s="196" t="n"/>
      <c r="C1" s="196" t="n"/>
      <c r="D1" s="269" t="inlineStr">
        <is>
          <t>Приложение №7</t>
        </is>
      </c>
    </row>
    <row r="2">
      <c r="A2" s="269" t="n"/>
      <c r="B2" s="269" t="n"/>
      <c r="C2" s="269" t="n"/>
      <c r="D2" s="269" t="n"/>
    </row>
    <row r="3" ht="24.75" customHeight="1" s="199">
      <c r="A3" s="223" t="inlineStr">
        <is>
          <t>Расчет показателя УНЦ</t>
        </is>
      </c>
    </row>
    <row r="4" ht="24" customHeight="1" s="199">
      <c r="A4" s="223" t="n"/>
      <c r="B4" s="223" t="n"/>
      <c r="C4" s="223" t="n"/>
      <c r="D4" s="223" t="n"/>
    </row>
    <row r="5" ht="63.75" customHeight="1" s="199">
      <c r="A5" s="226" t="inlineStr">
        <is>
          <t xml:space="preserve">Наименование разрабатываемого показателя УНЦ - </t>
        </is>
      </c>
      <c r="D5" s="226">
        <f>'Прил.5 Расчет СМР и ОБ'!D6</f>
        <v/>
      </c>
    </row>
    <row r="6" ht="19.9" customHeight="1" s="199">
      <c r="A6" s="226" t="inlineStr">
        <is>
          <t>Единица измерения  — 1 км</t>
        </is>
      </c>
      <c r="D6" s="226" t="n"/>
    </row>
    <row r="7">
      <c r="A7" s="196" t="n"/>
      <c r="B7" s="196" t="n"/>
      <c r="C7" s="196" t="n"/>
      <c r="D7" s="196" t="n"/>
    </row>
    <row r="8" ht="14.45" customHeight="1" s="199">
      <c r="A8" s="238" t="inlineStr">
        <is>
          <t>Код показателя</t>
        </is>
      </c>
      <c r="B8" s="238" t="inlineStr">
        <is>
          <t>Наименование показателя</t>
        </is>
      </c>
      <c r="C8" s="238" t="inlineStr">
        <is>
          <t>Наименование РМ, входящих в состав показателя</t>
        </is>
      </c>
      <c r="D8" s="238" t="inlineStr">
        <is>
          <t>Норматив цены на 01.01.2023, тыс.руб.</t>
        </is>
      </c>
    </row>
    <row r="9" ht="15" customHeight="1" s="199">
      <c r="A9" s="322" t="n"/>
      <c r="B9" s="322" t="n"/>
      <c r="C9" s="322" t="n"/>
      <c r="D9" s="322" t="n"/>
    </row>
    <row r="10">
      <c r="A10" s="254" t="n">
        <v>1</v>
      </c>
      <c r="B10" s="254" t="n">
        <v>2</v>
      </c>
      <c r="C10" s="254" t="n">
        <v>3</v>
      </c>
      <c r="D10" s="254" t="n">
        <v>4</v>
      </c>
    </row>
    <row r="11" ht="38.25" customHeight="1" s="199">
      <c r="A11" s="254" t="inlineStr">
        <is>
          <t>Л7-32-4</t>
        </is>
      </c>
      <c r="B11" s="254" t="inlineStr">
        <is>
          <t xml:space="preserve">УНЦ провода СИП ВЛ 0,4 - 35 кВ </t>
        </is>
      </c>
      <c r="C11" s="195">
        <f>D5</f>
        <v/>
      </c>
      <c r="D11" s="203">
        <f>'Прил.4 РМ'!C41/1000</f>
        <v/>
      </c>
      <c r="E11" s="204" t="n"/>
    </row>
    <row r="12">
      <c r="A12" s="198" t="n"/>
      <c r="B12" s="205" t="n"/>
      <c r="C12" s="198" t="n"/>
      <c r="D12" s="198" t="n"/>
    </row>
    <row r="13">
      <c r="A13" s="196" t="inlineStr">
        <is>
          <t>Составил ______________________      Д.Ю. Нефедова</t>
        </is>
      </c>
      <c r="B13" s="197" t="n"/>
      <c r="C13" s="197" t="n"/>
      <c r="D13" s="198" t="n"/>
    </row>
    <row r="14">
      <c r="A14" s="206" t="inlineStr">
        <is>
          <t xml:space="preserve">                         (подпись, инициалы, фамилия)</t>
        </is>
      </c>
      <c r="B14" s="197" t="n"/>
      <c r="C14" s="197" t="n"/>
      <c r="D14" s="198" t="n"/>
    </row>
    <row r="15">
      <c r="A15" s="196" t="n"/>
      <c r="B15" s="197" t="n"/>
      <c r="C15" s="197" t="n"/>
      <c r="D15" s="198" t="n"/>
    </row>
    <row r="16">
      <c r="A16" s="196" t="inlineStr">
        <is>
          <t>Проверил ______________________        А.В. Костянецкая</t>
        </is>
      </c>
      <c r="B16" s="197" t="n"/>
      <c r="C16" s="197" t="n"/>
      <c r="D16" s="198" t="n"/>
    </row>
    <row r="17">
      <c r="A17" s="206" t="inlineStr">
        <is>
          <t xml:space="preserve">                        (подпись, инициалы, фамилия)</t>
        </is>
      </c>
      <c r="B17" s="197" t="n"/>
      <c r="C17" s="197" t="n"/>
      <c r="D17" s="198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portrait" paperSize="9" scale="82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1"/>
  <sheetViews>
    <sheetView tabSelected="1" view="pageBreakPreview" topLeftCell="A5" zoomScale="60" zoomScaleNormal="85" workbookViewId="0">
      <selection activeCell="B29" sqref="B29"/>
    </sheetView>
  </sheetViews>
  <sheetFormatPr baseColWidth="8" defaultRowHeight="15"/>
  <cols>
    <col width="9.140625" customWidth="1" style="199" min="1" max="1"/>
    <col width="40.7109375" customWidth="1" style="199" min="2" max="2"/>
    <col width="37" customWidth="1" style="199" min="3" max="3"/>
    <col width="32" customWidth="1" style="199" min="4" max="4"/>
    <col width="9.140625" customWidth="1" style="199" min="5" max="5"/>
  </cols>
  <sheetData>
    <row r="4" ht="15.75" customHeight="1" s="199">
      <c r="B4" s="231" t="inlineStr">
        <is>
          <t>Приложение № 10</t>
        </is>
      </c>
    </row>
    <row r="5" ht="18.75" customHeight="1" s="199">
      <c r="B5" s="138" t="n"/>
    </row>
    <row r="6" ht="15.75" customHeight="1" s="199">
      <c r="B6" s="237" t="inlineStr">
        <is>
          <t>Используемые индексы изменений сметной стоимости и нормы сопутствующих затрат</t>
        </is>
      </c>
    </row>
    <row r="7">
      <c r="B7" s="275" t="inlineStr">
        <is>
          <t>*Стоимость ПНР принята на основании СД ОП</t>
        </is>
      </c>
    </row>
    <row r="8">
      <c r="B8" s="275" t="n"/>
      <c r="C8" s="275" t="n"/>
      <c r="D8" s="275" t="n"/>
      <c r="E8" s="275" t="n"/>
    </row>
    <row r="9" ht="47.25" customHeight="1" s="199">
      <c r="B9" s="238" t="inlineStr">
        <is>
          <t>Наименование индекса / норм сопутствующих затрат</t>
        </is>
      </c>
      <c r="C9" s="238" t="inlineStr">
        <is>
          <t>Дата применения и обоснование индекса / норм сопутствующих затрат</t>
        </is>
      </c>
      <c r="D9" s="238" t="inlineStr">
        <is>
          <t>Размер индекса / норма сопутствующих затрат</t>
        </is>
      </c>
    </row>
    <row r="10" ht="15.75" customHeight="1" s="199">
      <c r="B10" s="238" t="n">
        <v>1</v>
      </c>
      <c r="C10" s="238" t="n">
        <v>2</v>
      </c>
      <c r="D10" s="238" t="n">
        <v>3</v>
      </c>
    </row>
    <row r="11" ht="45" customHeight="1" s="199">
      <c r="B11" s="238" t="inlineStr">
        <is>
          <t xml:space="preserve">Индекс изменения сметной стоимости на 1 квартал 2023 года. ОЗП </t>
        </is>
      </c>
      <c r="C11" s="238" t="inlineStr">
        <is>
          <t>Письмо Минстроя России от 30.03.2023г. №17106-ИФ/09  прил.1</t>
        </is>
      </c>
      <c r="D11" s="238" t="n">
        <v>44.29</v>
      </c>
    </row>
    <row r="12" ht="29.25" customHeight="1" s="199">
      <c r="B12" s="238" t="inlineStr">
        <is>
          <t>Индекс изменения сметной стоимости на 1 квартал 2023 года. ЭМ</t>
        </is>
      </c>
      <c r="C12" s="238" t="inlineStr">
        <is>
          <t>Письмо Минстроя России от 30.03.2023г. №17106-ИФ/099  прил.1</t>
        </is>
      </c>
      <c r="D12" s="238" t="n">
        <v>11.72</v>
      </c>
    </row>
    <row r="13" ht="29.25" customHeight="1" s="199">
      <c r="B13" s="238" t="inlineStr">
        <is>
          <t>Индекс изменения сметной стоимости на 1 квартал 2023 года. МАТ</t>
        </is>
      </c>
      <c r="C13" s="238" t="inlineStr">
        <is>
          <t>Письмо Минстроя России от 30.03.2023г. №17106-ИФ/09  прил.1</t>
        </is>
      </c>
      <c r="D13" s="238" t="n">
        <v>7.74</v>
      </c>
    </row>
    <row r="14" ht="30.75" customHeight="1" s="199">
      <c r="B14" s="238" t="inlineStr">
        <is>
          <t>Индекс изменения сметной стоимости на 1 квартал 2023 года. ОБ</t>
        </is>
      </c>
      <c r="C14" s="238" t="inlineStr">
        <is>
          <t>Письмо Минстроя России от 23.02.2023г. №9791-ИФ/09 прил.6</t>
        </is>
      </c>
      <c r="D14" s="238" t="n">
        <v>6.26</v>
      </c>
    </row>
    <row r="15" ht="89.25" customHeight="1" s="199">
      <c r="B15" s="238" t="inlineStr">
        <is>
          <t>Временные здания и сооружения</t>
        </is>
      </c>
      <c r="C15" s="238" t="inlineStr">
        <is>
          <t xml:space="preserve">п.39.2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139" t="n">
        <v>0.025</v>
      </c>
    </row>
    <row r="16" ht="78.75" customHeight="1" s="199">
      <c r="B16" s="238" t="inlineStr">
        <is>
          <t>Дополнительные затраты при производстве строительно-монтажных работ в зимнее время</t>
        </is>
      </c>
      <c r="C16" s="238" t="inlineStr">
        <is>
          <t xml:space="preserve">п.50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139" t="n">
        <v>0.019</v>
      </c>
    </row>
    <row r="17" ht="34.5" customHeight="1" s="199">
      <c r="B17" s="238" t="n"/>
      <c r="C17" s="238" t="n"/>
      <c r="D17" s="238" t="n"/>
    </row>
    <row r="18" ht="31.5" customHeight="1" s="199">
      <c r="B18" s="238" t="inlineStr">
        <is>
          <t>Строительный контроль</t>
        </is>
      </c>
      <c r="C18" s="238" t="inlineStr">
        <is>
          <t>Постановление Правительства РФ от 21.06.10 г. № 468</t>
        </is>
      </c>
      <c r="D18" s="139" t="n">
        <v>0.0214</v>
      </c>
    </row>
    <row r="19" ht="31.5" customHeight="1" s="199">
      <c r="B19" s="238" t="inlineStr">
        <is>
          <t>Авторский надзор - 0,2%</t>
        </is>
      </c>
      <c r="C19" s="238" t="inlineStr">
        <is>
          <t>Приказ от 4.08.2020 № 421/пр п.173</t>
        </is>
      </c>
      <c r="D19" s="139" t="n">
        <v>0.002</v>
      </c>
    </row>
    <row r="20" ht="24" customHeight="1" s="199">
      <c r="B20" s="238" t="inlineStr">
        <is>
          <t>Непредвиденные расходы</t>
        </is>
      </c>
      <c r="C20" s="238" t="inlineStr">
        <is>
          <t>Приказ от 4.08.2020 № 421/пр п.179</t>
        </is>
      </c>
      <c r="D20" s="139" t="n">
        <v>0.03</v>
      </c>
    </row>
    <row r="21" ht="18.75" customHeight="1" s="199">
      <c r="B21" s="117" t="n"/>
    </row>
    <row r="22" ht="18.75" customHeight="1" s="199">
      <c r="B22" s="117" t="n"/>
    </row>
    <row r="23" ht="18.75" customHeight="1" s="199">
      <c r="B23" s="117" t="n"/>
    </row>
    <row r="24" ht="18.75" customHeight="1" s="199">
      <c r="B24" s="117" t="n"/>
    </row>
    <row r="27">
      <c r="B27" s="196" t="inlineStr">
        <is>
          <t>Составил ______________________        Д.Ю. Нефедова</t>
        </is>
      </c>
      <c r="C27" s="197" t="n"/>
    </row>
    <row r="28">
      <c r="B28" s="206" t="inlineStr">
        <is>
          <t xml:space="preserve">                         (подпись, инициалы, фамилия)</t>
        </is>
      </c>
      <c r="C28" s="197" t="n"/>
    </row>
    <row r="29">
      <c r="B29" s="196" t="n"/>
      <c r="C29" s="197" t="n"/>
    </row>
    <row r="30">
      <c r="B30" s="196" t="inlineStr">
        <is>
          <t>Проверил ______________________        А.В. Костянецкая</t>
        </is>
      </c>
      <c r="C30" s="197" t="n"/>
    </row>
    <row r="31">
      <c r="B31" s="206" t="inlineStr">
        <is>
          <t xml:space="preserve">                        (подпись, инициалы, фамилия)</t>
        </is>
      </c>
      <c r="C31" s="197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9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topLeftCell="A4" workbookViewId="0">
      <selection activeCell="B8" sqref="B8:D8"/>
    </sheetView>
  </sheetViews>
  <sheetFormatPr baseColWidth="8" defaultRowHeight="15"/>
  <cols>
    <col width="9.140625" customWidth="1" style="199" min="1" max="1"/>
    <col width="44.85546875" customWidth="1" style="199" min="2" max="2"/>
    <col width="13" customWidth="1" style="199" min="3" max="3"/>
    <col width="22.85546875" customWidth="1" style="199" min="4" max="4"/>
    <col width="21.5703125" customWidth="1" style="199" min="5" max="5"/>
    <col width="43.85546875" customWidth="1" style="199" min="6" max="6"/>
    <col width="9.140625" customWidth="1" style="199" min="7" max="7"/>
  </cols>
  <sheetData>
    <row r="2" ht="17.25" customHeight="1" s="199">
      <c r="A2" s="237" t="inlineStr">
        <is>
          <t>Расчет размера средств на оплату труда рабочих-строителей в текущем уровне цен (ФОТр.тек.)</t>
        </is>
      </c>
    </row>
    <row r="4" ht="18" customHeight="1" s="199">
      <c r="A4" s="125" t="inlineStr">
        <is>
          <t>Составлен в уровне цен на 01.01.2023 г.</t>
        </is>
      </c>
      <c r="B4" s="126" t="n"/>
      <c r="C4" s="126" t="n"/>
      <c r="D4" s="126" t="n"/>
      <c r="E4" s="126" t="n"/>
      <c r="F4" s="126" t="n"/>
      <c r="G4" s="126" t="n"/>
    </row>
    <row r="5" ht="15.75" customHeight="1" s="199">
      <c r="A5" s="127" t="inlineStr">
        <is>
          <t>№ пп.</t>
        </is>
      </c>
      <c r="B5" s="127" t="inlineStr">
        <is>
          <t>Наименование элемента</t>
        </is>
      </c>
      <c r="C5" s="127" t="inlineStr">
        <is>
          <t>Обозначение</t>
        </is>
      </c>
      <c r="D5" s="127" t="inlineStr">
        <is>
          <t>Формула</t>
        </is>
      </c>
      <c r="E5" s="127" t="inlineStr">
        <is>
          <t>Величина элемента</t>
        </is>
      </c>
      <c r="F5" s="127" t="inlineStr">
        <is>
          <t>Наименования обосновывающих документов</t>
        </is>
      </c>
      <c r="G5" s="126" t="n"/>
    </row>
    <row r="6" ht="15.75" customHeight="1" s="199">
      <c r="A6" s="127" t="n">
        <v>1</v>
      </c>
      <c r="B6" s="127" t="n">
        <v>2</v>
      </c>
      <c r="C6" s="127" t="n">
        <v>3</v>
      </c>
      <c r="D6" s="127" t="n">
        <v>4</v>
      </c>
      <c r="E6" s="127" t="n">
        <v>5</v>
      </c>
      <c r="F6" s="127" t="n">
        <v>6</v>
      </c>
      <c r="G6" s="126" t="n"/>
    </row>
    <row r="7" ht="110.25" customHeight="1" s="199">
      <c r="A7" s="128" t="inlineStr">
        <is>
          <t>1.1</t>
        </is>
      </c>
      <c r="B7" s="129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38" t="inlineStr">
        <is>
          <t>С1ср</t>
        </is>
      </c>
      <c r="D7" s="238" t="inlineStr">
        <is>
          <t>-</t>
        </is>
      </c>
      <c r="E7" s="61" t="n">
        <v>47872.94</v>
      </c>
      <c r="F7" s="129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126" t="n"/>
    </row>
    <row r="8" ht="31.5" customHeight="1" s="199">
      <c r="A8" s="128" t="inlineStr">
        <is>
          <t>1.2</t>
        </is>
      </c>
      <c r="B8" s="129" t="inlineStr">
        <is>
          <t>Среднегодовое нормативное число часов работы одного рабочего в месяц, часы (ч.)</t>
        </is>
      </c>
      <c r="C8" s="238" t="inlineStr">
        <is>
          <t>tср</t>
        </is>
      </c>
      <c r="D8" s="238" t="inlineStr">
        <is>
          <t>1973ч/12мес.</t>
        </is>
      </c>
      <c r="E8" s="130">
        <f>1973/12</f>
        <v/>
      </c>
      <c r="F8" s="129" t="inlineStr">
        <is>
          <t>Производственный календарь 2023 год
(40-часов.неделя)</t>
        </is>
      </c>
      <c r="G8" s="131" t="n"/>
    </row>
    <row r="9" ht="15.75" customHeight="1" s="199">
      <c r="A9" s="128" t="inlineStr">
        <is>
          <t>1.3</t>
        </is>
      </c>
      <c r="B9" s="129" t="inlineStr">
        <is>
          <t>Коэффициент увеличения</t>
        </is>
      </c>
      <c r="C9" s="238" t="inlineStr">
        <is>
          <t>Кув</t>
        </is>
      </c>
      <c r="D9" s="238" t="inlineStr">
        <is>
          <t>-</t>
        </is>
      </c>
      <c r="E9" s="130" t="n">
        <v>1</v>
      </c>
      <c r="F9" s="129" t="n"/>
      <c r="G9" s="131" t="n"/>
    </row>
    <row r="10" ht="15.75" customHeight="1" s="199">
      <c r="A10" s="128" t="inlineStr">
        <is>
          <t>1.4</t>
        </is>
      </c>
      <c r="B10" s="129" t="inlineStr">
        <is>
          <t>Средний разряд работ</t>
        </is>
      </c>
      <c r="C10" s="238" t="n"/>
      <c r="D10" s="238" t="n"/>
      <c r="E10" s="132" t="n">
        <v>3.9</v>
      </c>
      <c r="F10" s="129" t="inlineStr">
        <is>
          <t>РТМ</t>
        </is>
      </c>
      <c r="G10" s="131" t="n"/>
    </row>
    <row r="11" ht="78.75" customHeight="1" s="199">
      <c r="A11" s="128" t="inlineStr">
        <is>
          <t>1.5</t>
        </is>
      </c>
      <c r="B11" s="129" t="inlineStr">
        <is>
          <t>Тарифный коэффициент среднего разряда работ</t>
        </is>
      </c>
      <c r="C11" s="238" t="inlineStr">
        <is>
          <t>КТ</t>
        </is>
      </c>
      <c r="D11" s="238" t="inlineStr">
        <is>
          <t>-</t>
        </is>
      </c>
      <c r="E11" s="133" t="n">
        <v>1.324</v>
      </c>
      <c r="F11" s="129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126" t="n"/>
    </row>
    <row r="12" ht="78.75" customHeight="1" s="199">
      <c r="A12" s="128" t="inlineStr">
        <is>
          <t>1.6</t>
        </is>
      </c>
      <c r="B12" s="119" t="inlineStr">
        <is>
          <t>Коэффициент инфляции, определяемый поквартально</t>
        </is>
      </c>
      <c r="C12" s="238" t="inlineStr">
        <is>
          <t>Кинф</t>
        </is>
      </c>
      <c r="D12" s="238" t="inlineStr">
        <is>
          <t>-</t>
        </is>
      </c>
      <c r="E12" s="134" t="n">
        <v>1.139</v>
      </c>
      <c r="F12" s="135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131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 s="199">
      <c r="A13" s="128" t="inlineStr">
        <is>
          <t>1.7</t>
        </is>
      </c>
      <c r="B13" s="136" t="inlineStr">
        <is>
          <t>Размер средств на оплату труда рабочих-строителей в текущем уровне цен (ФОТр.тек.), руб/чел.-ч</t>
        </is>
      </c>
      <c r="C13" s="238" t="inlineStr">
        <is>
          <t>ФОТр.тек.</t>
        </is>
      </c>
      <c r="D13" s="238" t="inlineStr">
        <is>
          <t>(С1ср/tср*КТ*Т*Кув)*Кинф</t>
        </is>
      </c>
      <c r="E13" s="137">
        <f>((E7*E9/E8)*E11)*E12</f>
        <v/>
      </c>
      <c r="F13" s="129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126" t="n"/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7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2025-01-24T12:10:42Z</dcterms:modified>
  <cp:lastModifiedBy>Danil</cp:lastModifiedBy>
  <cp:lastPrinted>2023-11-29T06:51:41Z</cp:lastPrinted>
</cp:coreProperties>
</file>