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#,##0.000"/>
    <numFmt numFmtId="166" formatCode="0.0000"/>
    <numFmt numFmtId="167" formatCode="#,##0.0000"/>
    <numFmt numFmtId="168" formatCode="#,##0.00\ _₽"/>
    <numFmt numFmtId="169" formatCode="#,##0.00000"/>
    <numFmt numFmtId="170" formatCode="0.000"/>
  </numFmts>
  <fonts count="22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"/>
      <b val="1"/>
      <color rgb="FF000000"/>
      <sz val="9"/>
    </font>
    <font>
      <name val="Arial Cyr"/>
      <b val="1"/>
      <color rgb="FF000000"/>
      <sz val="10"/>
    </font>
    <font>
      <name val="Arial"/>
      <i val="1"/>
      <color rgb="FF000000"/>
      <sz val="10"/>
    </font>
    <font>
      <name val="Times New Roman"/>
      <color rgb="FF000000"/>
      <sz val="11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horizontal="justify" vertical="center" wrapText="1"/>
    </xf>
    <xf numFmtId="49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justify" vertical="center" wrapText="1"/>
    </xf>
    <xf numFmtId="0" fontId="7" fillId="0" borderId="0" applyAlignment="1" pivotButton="0" quotePrefix="0" xfId="0">
      <alignment vertical="center"/>
    </xf>
    <xf numFmtId="0" fontId="8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7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7" fillId="0" borderId="1" applyAlignment="1" pivotButton="0" quotePrefix="0" xfId="0">
      <alignment horizontal="center" vertical="center"/>
    </xf>
    <xf numFmtId="49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0" fontId="7" fillId="0" borderId="1" applyAlignment="1" pivotButton="0" quotePrefix="0" xfId="0">
      <alignment horizontal="center" vertical="center" wrapText="1"/>
    </xf>
    <xf numFmtId="4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vertical="center" wrapText="1"/>
    </xf>
    <xf numFmtId="166" fontId="7" fillId="2" borderId="1" applyAlignment="1" pivotButton="0" quotePrefix="0" xfId="0">
      <alignment horizontal="center" vertical="center"/>
    </xf>
    <xf numFmtId="0" fontId="7" fillId="0" borderId="1" applyAlignment="1" pivotButton="0" quotePrefix="0" xfId="0">
      <alignment wrapText="1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justify" vertical="center"/>
    </xf>
    <xf numFmtId="0" fontId="7" fillId="0" borderId="1" applyAlignment="1" pivotButton="0" quotePrefix="0" xfId="0">
      <alignment horizontal="center" vertical="center" wrapText="1"/>
    </xf>
    <xf numFmtId="10" fontId="7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top" wrapText="1"/>
    </xf>
    <xf numFmtId="2" fontId="2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8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4" fillId="0" borderId="5" applyAlignment="1" pivotButton="0" quotePrefix="0" xfId="0">
      <alignment horizontal="left" vertical="center" wrapText="1"/>
    </xf>
    <xf numFmtId="0" fontId="14" fillId="0" borderId="5" applyAlignment="1" pivotButton="0" quotePrefix="0" xfId="0">
      <alignment horizontal="right" vertical="center" wrapText="1"/>
    </xf>
    <xf numFmtId="2" fontId="0" fillId="0" borderId="0" pivotButton="0" quotePrefix="0" xfId="0"/>
    <xf numFmtId="0" fontId="7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2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6" fontId="15" fillId="0" borderId="1" applyAlignment="1" pivotButton="0" quotePrefix="0" xfId="0">
      <alignment horizontal="center" vertical="center" wrapText="1"/>
    </xf>
    <xf numFmtId="2" fontId="15" fillId="0" borderId="1" applyAlignment="1" pivotButton="0" quotePrefix="0" xfId="0">
      <alignment horizontal="right" vertical="center" wrapText="1"/>
    </xf>
    <xf numFmtId="168" fontId="4" fillId="0" borderId="1" applyAlignment="1" pivotButton="0" quotePrefix="0" xfId="0">
      <alignment horizontal="right" vertical="center" wrapText="1"/>
    </xf>
    <xf numFmtId="168" fontId="15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left" vertical="top" wrapText="1"/>
    </xf>
    <xf numFmtId="4" fontId="4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1" fillId="0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2" fillId="0" borderId="2" pivotButton="0" quotePrefix="0" xfId="0"/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67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0" applyAlignment="1" pivotButton="0" quotePrefix="0" xfId="0">
      <alignment vertical="top"/>
    </xf>
    <xf numFmtId="4" fontId="2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7" fillId="0" borderId="1" pivotButton="0" quotePrefix="0" xfId="0"/>
    <xf numFmtId="0" fontId="7" fillId="0" borderId="1" applyAlignment="1" pivotButton="0" quotePrefix="1" xfId="0">
      <alignment horizontal="center" vertical="center"/>
    </xf>
    <xf numFmtId="0" fontId="7" fillId="0" borderId="1" applyAlignment="1" pivotButton="0" quotePrefix="0" xfId="0">
      <alignment vertical="center" wrapText="1"/>
    </xf>
    <xf numFmtId="165" fontId="7" fillId="0" borderId="1" applyAlignment="1" pivotButton="0" quotePrefix="0" xfId="0">
      <alignment horizontal="right" vertical="center"/>
    </xf>
    <xf numFmtId="165" fontId="7" fillId="0" borderId="1" applyAlignment="1" pivotButton="0" quotePrefix="0" xfId="0">
      <alignment horizontal="right" vertical="center" wrapText="1"/>
    </xf>
    <xf numFmtId="165" fontId="10" fillId="0" borderId="1" applyAlignment="1" pivotButton="0" quotePrefix="0" xfId="0">
      <alignment vertical="center" wrapText="1"/>
    </xf>
    <xf numFmtId="165" fontId="10" fillId="0" borderId="1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1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49" fontId="4" fillId="0" borderId="4" applyAlignment="1" pivotButton="0" quotePrefix="0" xfId="0">
      <alignment horizontal="left" vertical="center" wrapText="1"/>
    </xf>
    <xf numFmtId="49" fontId="4" fillId="0" borderId="6" applyAlignment="1" pivotButton="0" quotePrefix="0" xfId="0">
      <alignment horizontal="left" vertical="center" wrapText="1"/>
    </xf>
    <xf numFmtId="49" fontId="4" fillId="0" borderId="7" applyAlignment="1" pivotButton="0" quotePrefix="0" xfId="0">
      <alignment horizontal="left" vertical="center" wrapText="1"/>
    </xf>
    <xf numFmtId="49" fontId="4" fillId="0" borderId="8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top" wrapText="1"/>
    </xf>
    <xf numFmtId="49" fontId="4" fillId="0" borderId="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5" pivotButton="0" quotePrefix="0" xfId="0"/>
    <xf numFmtId="49" fontId="4" fillId="0" borderId="5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1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1"/>
  <sheetViews>
    <sheetView view="pageBreakPreview" topLeftCell="A22" zoomScaleNormal="70" workbookViewId="0">
      <selection activeCell="C26" sqref="C26"/>
    </sheetView>
  </sheetViews>
  <sheetFormatPr baseColWidth="8" defaultRowHeight="15"/>
  <cols>
    <col width="36.85546875" customWidth="1" style="176" min="3" max="3"/>
    <col width="43.85546875" customWidth="1" style="176" min="4" max="4"/>
  </cols>
  <sheetData>
    <row r="3" ht="15.75" customHeight="1" s="176">
      <c r="B3" s="206" t="inlineStr">
        <is>
          <t>Приложение № 1</t>
        </is>
      </c>
    </row>
    <row r="4" ht="18.75" customHeight="1" s="176">
      <c r="B4" s="207" t="inlineStr">
        <is>
          <t>Сравнительная таблица отбора объекта-представителя</t>
        </is>
      </c>
    </row>
    <row r="5" ht="84" customHeight="1" s="176">
      <c r="B5" s="20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6">
      <c r="B6" s="22" t="n"/>
      <c r="C6" s="22" t="n"/>
      <c r="D6" s="22" t="n"/>
    </row>
    <row r="7" ht="42" customHeight="1" s="176">
      <c r="B7" s="205">
        <f>CONCATENATE(TEXT('Прил.5 Расчет СМР и ОБ'!A6,0)," - ",TEXT('Прил.5 Расчет СМР и ОБ'!D6,0))</f>
        <v/>
      </c>
    </row>
    <row r="8" ht="31.5" customHeight="1" s="176">
      <c r="B8" s="205" t="inlineStr">
        <is>
          <t>Сопоставимый уровень цен: 2 кв. 2016 г</t>
        </is>
      </c>
    </row>
    <row r="9" ht="15.75" customHeight="1" s="176">
      <c r="B9" s="205" t="inlineStr">
        <is>
          <t>Единица измерения  — 1 км</t>
        </is>
      </c>
    </row>
    <row r="10" ht="18.75" customHeight="1" s="176">
      <c r="B10" s="51" t="n"/>
    </row>
    <row r="11" ht="15.75" customHeight="1" s="176">
      <c r="B11" s="211" t="inlineStr">
        <is>
          <t>№ п/п</t>
        </is>
      </c>
      <c r="C11" s="211" t="inlineStr">
        <is>
          <t>Параметр</t>
        </is>
      </c>
      <c r="D11" s="211" t="inlineStr">
        <is>
          <t>Объект-представитель</t>
        </is>
      </c>
    </row>
    <row r="12" ht="41.25" customHeight="1" s="176">
      <c r="B12" s="211" t="n">
        <v>1</v>
      </c>
      <c r="C12" s="193" t="inlineStr">
        <is>
          <t>Наименование объекта-представителя</t>
        </is>
      </c>
      <c r="D12" s="200" t="inlineStr">
        <is>
          <t>Комплексная реконструкция ВЛ 220 кВ Черепеть - Орбита - Спутник - Калужская</t>
        </is>
      </c>
    </row>
    <row r="13" ht="31.5" customHeight="1" s="176">
      <c r="B13" s="211" t="n">
        <v>2</v>
      </c>
      <c r="C13" s="193" t="inlineStr">
        <is>
          <t>Наименование субъекта Российской Федерации</t>
        </is>
      </c>
      <c r="D13" s="200" t="inlineStr">
        <is>
          <t>Калужская область</t>
        </is>
      </c>
    </row>
    <row r="14" ht="15.75" customHeight="1" s="176">
      <c r="B14" s="211" t="n">
        <v>3</v>
      </c>
      <c r="C14" s="193" t="inlineStr">
        <is>
          <t>Климатический район и подрайон</t>
        </is>
      </c>
      <c r="D14" s="200" t="inlineStr">
        <is>
          <t>IIВ</t>
        </is>
      </c>
    </row>
    <row r="15" ht="15.75" customHeight="1" s="176">
      <c r="B15" s="211" t="n">
        <v>4</v>
      </c>
      <c r="C15" s="193" t="inlineStr">
        <is>
          <t>Мощность объекта</t>
        </is>
      </c>
      <c r="D15" s="200" t="n">
        <v>1</v>
      </c>
    </row>
    <row r="16" ht="107.25" customHeight="1" s="176">
      <c r="B16" s="211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1" t="inlineStr">
        <is>
          <t>Провод повышенной пропускной способности</t>
        </is>
      </c>
    </row>
    <row r="17" ht="95.25" customHeight="1" s="176">
      <c r="B17" s="211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SUM(D18:D21)</f>
        <v/>
      </c>
    </row>
    <row r="18" ht="15.75" customHeight="1" s="176">
      <c r="B18" s="27" t="inlineStr">
        <is>
          <t>6.1</t>
        </is>
      </c>
      <c r="C18" s="193" t="inlineStr">
        <is>
          <t>строительно-монтажные работы</t>
        </is>
      </c>
      <c r="D18" s="202">
        <f>'Прил.2 Расч стоим'!F12</f>
        <v/>
      </c>
    </row>
    <row r="19" ht="15.75" customHeight="1" s="176">
      <c r="B19" s="27" t="inlineStr">
        <is>
          <t>6.2</t>
        </is>
      </c>
      <c r="C19" s="193" t="inlineStr">
        <is>
          <t>оборудование и инвентарь</t>
        </is>
      </c>
      <c r="D19" s="202" t="n">
        <v>0</v>
      </c>
    </row>
    <row r="20" ht="15.75" customHeight="1" s="176">
      <c r="B20" s="27" t="inlineStr">
        <is>
          <t>6.3</t>
        </is>
      </c>
      <c r="C20" s="193" t="inlineStr">
        <is>
          <t>пусконаладочные работы</t>
        </is>
      </c>
      <c r="D20" s="202" t="n">
        <v>0</v>
      </c>
    </row>
    <row r="21" ht="31.5" customHeight="1" s="176">
      <c r="B21" s="27" t="inlineStr">
        <is>
          <t>6.4</t>
        </is>
      </c>
      <c r="C21" s="193" t="inlineStr">
        <is>
          <t>прочие и лимитированные затраты</t>
        </is>
      </c>
      <c r="D21" s="203">
        <f>'Прил.2 Расч стоим'!I14</f>
        <v/>
      </c>
    </row>
    <row r="22" ht="15.75" customHeight="1" s="176">
      <c r="B22" s="211" t="n">
        <v>7</v>
      </c>
      <c r="C22" s="193" t="inlineStr">
        <is>
          <t>Сопоставимый уровень цен</t>
        </is>
      </c>
      <c r="D22" s="202" t="inlineStr">
        <is>
          <t>2 кв. 2016 г</t>
        </is>
      </c>
    </row>
    <row r="23" ht="110.25" customHeight="1" s="176">
      <c r="B23" s="211" t="n">
        <v>8</v>
      </c>
      <c r="C23" s="1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</row>
    <row r="24" ht="61.5" customHeight="1" s="176">
      <c r="B24" s="211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</row>
    <row r="25" ht="37.5" customHeight="1" s="176">
      <c r="B25" s="29" t="n"/>
      <c r="C25" s="30" t="n"/>
      <c r="D25" s="30" t="n"/>
    </row>
    <row r="26">
      <c r="B26" s="177" t="inlineStr">
        <is>
          <t>Составил ______________________        Е. М. Добровольская</t>
        </is>
      </c>
      <c r="C26" s="187" t="n"/>
    </row>
    <row r="27">
      <c r="B27" s="188" t="inlineStr">
        <is>
          <t xml:space="preserve">                         (подпись, инициалы, фамилия)</t>
        </is>
      </c>
      <c r="C27" s="187" t="n"/>
    </row>
    <row r="28">
      <c r="B28" s="177" t="n"/>
      <c r="C28" s="187" t="n"/>
    </row>
    <row r="29">
      <c r="B29" s="177" t="inlineStr">
        <is>
          <t>Проверил ______________________        А.В. Костянецкая</t>
        </is>
      </c>
      <c r="C29" s="187" t="n"/>
    </row>
    <row r="30">
      <c r="B30" s="188" t="inlineStr">
        <is>
          <t xml:space="preserve">                        (подпись, инициалы, фамилия)</t>
        </is>
      </c>
      <c r="C30" s="187" t="n"/>
    </row>
    <row r="31" ht="15.75" customHeight="1" s="176">
      <c r="B31" s="30" t="n"/>
      <c r="C31" s="30" t="n"/>
      <c r="D31" s="3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7" zoomScale="60" zoomScaleNormal="100" workbookViewId="0">
      <selection activeCell="C18" sqref="C18"/>
    </sheetView>
  </sheetViews>
  <sheetFormatPr baseColWidth="8" defaultRowHeight="15"/>
  <cols>
    <col width="5.5703125" customWidth="1" style="176" min="1" max="1"/>
    <col width="35.28515625" customWidth="1" style="176" min="3" max="3"/>
    <col width="13.85546875" customWidth="1" style="176" min="4" max="4"/>
    <col width="17.42578125" customWidth="1" style="176" min="5" max="5"/>
    <col width="12.7109375" customWidth="1" style="176" min="6" max="6"/>
    <col width="14.85546875" customWidth="1" style="176" min="7" max="7"/>
    <col width="16.7109375" customWidth="1" style="176" min="8" max="8"/>
    <col width="13" customWidth="1" style="176" min="9" max="10"/>
    <col width="18" customWidth="1" style="176" min="11" max="11"/>
  </cols>
  <sheetData>
    <row r="3" ht="15.75" customHeight="1" s="176">
      <c r="B3" s="206" t="inlineStr">
        <is>
          <t>Приложение № 2</t>
        </is>
      </c>
    </row>
    <row r="4" ht="15.75" customHeight="1" s="176">
      <c r="B4" s="210" t="inlineStr">
        <is>
          <t>Расчет стоимости основных видов работ для выбора объекта-представителя</t>
        </is>
      </c>
    </row>
    <row r="5" ht="15.75" customHeight="1" s="176">
      <c r="B5" s="31" t="n"/>
      <c r="C5" s="31" t="n"/>
      <c r="D5" s="31" t="n"/>
      <c r="E5" s="31" t="n"/>
      <c r="F5" s="31" t="n"/>
      <c r="G5" s="31" t="n"/>
      <c r="H5" s="31" t="n"/>
      <c r="I5" s="31" t="n"/>
      <c r="J5" s="31" t="n"/>
      <c r="K5" s="31" t="n"/>
    </row>
    <row r="6" ht="15.75" customHeight="1" s="176">
      <c r="B6" s="205">
        <f>'Прил.1 Сравнит табл'!B7</f>
        <v/>
      </c>
    </row>
    <row r="7" ht="15.75" customHeight="1" s="176">
      <c r="B7" s="205" t="inlineStr">
        <is>
          <t>Единица измерения  — 1 км</t>
        </is>
      </c>
    </row>
    <row r="8" ht="18.75" customHeight="1" s="176">
      <c r="B8" s="51" t="n"/>
    </row>
    <row r="9" ht="15.75" customHeight="1" s="176">
      <c r="B9" s="211" t="inlineStr">
        <is>
          <t>№ п/п</t>
        </is>
      </c>
      <c r="C9" s="2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1" t="inlineStr">
        <is>
          <t>Объект-представитель 1</t>
        </is>
      </c>
      <c r="E9" s="250" t="n"/>
      <c r="F9" s="250" t="n"/>
      <c r="G9" s="250" t="n"/>
      <c r="H9" s="250" t="n"/>
      <c r="I9" s="250" t="n"/>
      <c r="J9" s="251" t="n"/>
    </row>
    <row r="10" ht="15.75" customHeight="1" s="176">
      <c r="B10" s="252" t="n"/>
      <c r="C10" s="252" t="n"/>
      <c r="D10" s="211" t="inlineStr">
        <is>
          <t>Номер сметы</t>
        </is>
      </c>
      <c r="E10" s="211" t="inlineStr">
        <is>
          <t>Наименование сметы</t>
        </is>
      </c>
      <c r="F10" s="211" t="inlineStr">
        <is>
          <t>Сметная стоимость в уровне цен 2 кв. 2016 г., тыс. руб.</t>
        </is>
      </c>
      <c r="G10" s="250" t="n"/>
      <c r="H10" s="250" t="n"/>
      <c r="I10" s="250" t="n"/>
      <c r="J10" s="251" t="n"/>
    </row>
    <row r="11" ht="68.25" customHeight="1" s="176">
      <c r="B11" s="253" t="n"/>
      <c r="C11" s="253" t="n"/>
      <c r="D11" s="253" t="n"/>
      <c r="E11" s="253" t="n"/>
      <c r="F11" s="211" t="inlineStr">
        <is>
          <t>Строительные работы</t>
        </is>
      </c>
      <c r="G11" s="211" t="inlineStr">
        <is>
          <t>Монтажные работы</t>
        </is>
      </c>
      <c r="H11" s="211" t="inlineStr">
        <is>
          <t>Оборудование</t>
        </is>
      </c>
      <c r="I11" s="211" t="inlineStr">
        <is>
          <t>Прочее</t>
        </is>
      </c>
      <c r="J11" s="211" t="inlineStr">
        <is>
          <t>Всего</t>
        </is>
      </c>
    </row>
    <row r="12" ht="173.25" customHeight="1" s="176">
      <c r="B12" s="191" t="n">
        <v>1</v>
      </c>
      <c r="C12" s="198">
        <f>'Прил.1 Сравнит табл'!D16</f>
        <v/>
      </c>
      <c r="D12" s="192" t="inlineStr">
        <is>
          <t>02-01-05</t>
        </is>
      </c>
      <c r="E12" s="193" t="inlineStr">
        <is>
          <t>Монтажные работы существующией ВЛ 220 кВ Спутник-Калужская 1  ВЛ 220 кВ Спутник-Калужская 1,2 (прокладка провода и ВОЛС)</t>
        </is>
      </c>
      <c r="F12" s="194" t="n">
        <v>2883.347</v>
      </c>
      <c r="G12" s="194" t="n">
        <v>0</v>
      </c>
      <c r="H12" s="194" t="n">
        <v>0</v>
      </c>
      <c r="I12" s="194" t="n"/>
      <c r="J12" s="195">
        <f>SUM(F12:I12)</f>
        <v/>
      </c>
    </row>
    <row r="13" ht="15.75" customHeight="1" s="176">
      <c r="B13" s="209" t="inlineStr">
        <is>
          <t>Всего по объекту:</t>
        </is>
      </c>
      <c r="C13" s="250" t="n"/>
      <c r="D13" s="250" t="n"/>
      <c r="E13" s="251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</row>
    <row r="14" ht="15.75" customHeight="1" s="176">
      <c r="B14" s="209" t="inlineStr">
        <is>
          <t>Всего по объекту в сопоставимом уровне цен 2 кв. 2016 г:</t>
        </is>
      </c>
      <c r="C14" s="250" t="n"/>
      <c r="D14" s="250" t="n"/>
      <c r="E14" s="251" t="n"/>
      <c r="F14" s="197">
        <f>F13</f>
        <v/>
      </c>
      <c r="G14" s="197">
        <f>G13</f>
        <v/>
      </c>
      <c r="H14" s="197">
        <f>H13</f>
        <v/>
      </c>
      <c r="I14" s="197">
        <f>(F14+G14)*3.3%*0.8+((F14+G14)*3.3%*0.8+F14+G14)*1%</f>
        <v/>
      </c>
      <c r="J14" s="197">
        <f>SUM(F14:I14)</f>
        <v/>
      </c>
    </row>
    <row r="15" ht="18.75" customHeight="1" s="176">
      <c r="B15" s="51" t="n"/>
    </row>
    <row r="18">
      <c r="C18" s="177" t="inlineStr">
        <is>
          <t>Составил ______________________    Е. М. Добровольская</t>
        </is>
      </c>
      <c r="D18" s="187" t="n"/>
    </row>
    <row r="19">
      <c r="C19" s="188" t="inlineStr">
        <is>
          <t xml:space="preserve">                         (подпись, инициалы, фамилия)</t>
        </is>
      </c>
      <c r="D19" s="187" t="n"/>
    </row>
    <row r="20">
      <c r="C20" s="177" t="n"/>
      <c r="D20" s="187" t="n"/>
    </row>
    <row r="21">
      <c r="C21" s="177" t="inlineStr">
        <is>
          <t>Проверил ______________________        А.В. Костянецкая</t>
        </is>
      </c>
      <c r="D21" s="187" t="n"/>
    </row>
    <row r="22">
      <c r="C22" s="188" t="inlineStr">
        <is>
          <t xml:space="preserve">                        (подпись, инициалы, фамилия)</t>
        </is>
      </c>
      <c r="D22" s="187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5"/>
  <sheetViews>
    <sheetView view="pageBreakPreview" topLeftCell="A106" zoomScale="25" zoomScaleSheetLayoutView="25" workbookViewId="0">
      <selection activeCell="E183" sqref="E183"/>
    </sheetView>
  </sheetViews>
  <sheetFormatPr baseColWidth="8" defaultRowHeight="15"/>
  <cols>
    <col width="8.5703125" customWidth="1" style="176" min="1" max="1"/>
    <col width="12.85546875" customWidth="1" style="176" min="2" max="2"/>
    <col width="16.85546875" customWidth="1" style="176" min="3" max="3"/>
    <col width="49.85546875" customWidth="1" style="176" min="4" max="4"/>
    <col width="12.28515625" customWidth="1" style="176" min="5" max="5"/>
    <col width="19.85546875" customWidth="1" style="176" min="6" max="6"/>
    <col width="17.85546875" customWidth="1" style="176" min="7" max="7"/>
    <col width="19.42578125" customWidth="1" style="112" min="8" max="8"/>
  </cols>
  <sheetData>
    <row r="2" ht="15.75" customHeight="1" s="176">
      <c r="A2" s="206" t="inlineStr">
        <is>
          <t xml:space="preserve">Приложение № 3 </t>
        </is>
      </c>
    </row>
    <row r="3" ht="18.75" customHeight="1" s="176">
      <c r="A3" s="207" t="inlineStr">
        <is>
          <t>Объектная ресурсная ведомость</t>
        </is>
      </c>
    </row>
    <row r="4" ht="25.5" customHeight="1" s="176">
      <c r="B4" s="174" t="n"/>
      <c r="C4" s="219" t="n"/>
    </row>
    <row r="5" ht="15.75" customHeight="1" s="176">
      <c r="C5" s="94" t="n"/>
      <c r="D5" s="94" t="n"/>
      <c r="E5" s="94" t="n"/>
      <c r="F5" s="94" t="n"/>
      <c r="G5" s="94" t="n"/>
      <c r="H5" s="95" t="n"/>
    </row>
    <row r="6" ht="15" customHeight="1" s="176">
      <c r="A6" s="175">
        <f>'Прил.1 Сравнит табл'!B7</f>
        <v/>
      </c>
      <c r="B6" s="175" t="n"/>
      <c r="C6" s="175" t="n"/>
      <c r="D6" s="175" t="n"/>
      <c r="E6" s="175" t="n"/>
      <c r="F6" s="175" t="n"/>
      <c r="G6" s="96" t="n"/>
      <c r="H6" s="97" t="n"/>
    </row>
    <row r="7" ht="14.25" customHeight="1" s="176">
      <c r="A7" s="175" t="n"/>
      <c r="B7" s="175" t="n"/>
      <c r="C7" s="175" t="n"/>
      <c r="D7" s="175" t="n"/>
      <c r="E7" s="175" t="n"/>
      <c r="F7" s="175" t="n"/>
      <c r="G7" s="96" t="n"/>
      <c r="H7" s="97" t="n"/>
    </row>
    <row r="8" ht="15.75" customHeight="1" s="176">
      <c r="C8" s="98" t="n"/>
      <c r="D8" s="116" t="n"/>
      <c r="E8" s="117" t="n"/>
      <c r="F8" s="115" t="n"/>
      <c r="G8" s="118" t="n"/>
      <c r="H8" s="103" t="n"/>
    </row>
    <row r="9" ht="38.25" customHeight="1" s="176">
      <c r="A9" s="211" t="inlineStr">
        <is>
          <t>п/п</t>
        </is>
      </c>
      <c r="B9" s="211" t="inlineStr">
        <is>
          <t>№ЛСР</t>
        </is>
      </c>
      <c r="C9" s="211" t="inlineStr">
        <is>
          <t>Код ресурса</t>
        </is>
      </c>
      <c r="D9" s="211" t="inlineStr">
        <is>
          <t>Наименование ресурса</t>
        </is>
      </c>
      <c r="E9" s="211" t="inlineStr">
        <is>
          <t>Ед. изм.</t>
        </is>
      </c>
      <c r="F9" s="211" t="inlineStr">
        <is>
          <t>Кол-во единиц по данным объекта-представителя</t>
        </is>
      </c>
      <c r="G9" s="211" t="inlineStr">
        <is>
          <t>Сметная стоимость в ценах на 01.01.2000 (руб.)</t>
        </is>
      </c>
      <c r="H9" s="251" t="n"/>
    </row>
    <row r="10" ht="40.5" customHeight="1" s="176">
      <c r="A10" s="253" t="n"/>
      <c r="B10" s="253" t="n"/>
      <c r="C10" s="253" t="n"/>
      <c r="D10" s="253" t="n"/>
      <c r="E10" s="253" t="n"/>
      <c r="F10" s="253" t="n"/>
      <c r="G10" s="211" t="inlineStr">
        <is>
          <t>на ед.изм.</t>
        </is>
      </c>
      <c r="H10" s="211" t="inlineStr">
        <is>
          <t>общая</t>
        </is>
      </c>
    </row>
    <row r="11" ht="15.75" customHeight="1" s="176">
      <c r="A11" s="211" t="n">
        <v>1</v>
      </c>
      <c r="B11" s="104" t="n"/>
      <c r="C11" s="211" t="n">
        <v>2</v>
      </c>
      <c r="D11" s="211" t="inlineStr">
        <is>
          <t>З</t>
        </is>
      </c>
      <c r="E11" s="211" t="n">
        <v>4</v>
      </c>
      <c r="F11" s="211" t="n">
        <v>5</v>
      </c>
      <c r="G11" s="104" t="n">
        <v>6</v>
      </c>
      <c r="H11" s="104" t="n">
        <v>7</v>
      </c>
    </row>
    <row r="12" ht="15" customHeight="1" s="176">
      <c r="A12" s="216" t="inlineStr">
        <is>
          <t>Затраты труда рабочих</t>
        </is>
      </c>
      <c r="B12" s="250" t="n"/>
      <c r="C12" s="250" t="n"/>
      <c r="D12" s="251" t="n"/>
      <c r="E12" s="105" t="n"/>
      <c r="F12" s="136">
        <f>SUM(F13:F13)</f>
        <v/>
      </c>
      <c r="G12" s="105" t="n"/>
      <c r="H12" s="137">
        <f>SUM(H13:H13)</f>
        <v/>
      </c>
    </row>
    <row r="13">
      <c r="A13" s="189" t="inlineStr">
        <is>
          <t>1</t>
        </is>
      </c>
      <c r="B13" s="189" t="n"/>
      <c r="C13" s="189" t="inlineStr">
        <is>
          <t>1-4-1</t>
        </is>
      </c>
      <c r="D13" s="235" t="inlineStr">
        <is>
          <t>Затраты труда рабочих (ср 4,1)</t>
        </is>
      </c>
      <c r="E13" s="147" t="inlineStr">
        <is>
          <t>чел.час</t>
        </is>
      </c>
      <c r="F13" s="142" t="n">
        <v>236.4498</v>
      </c>
      <c r="G13" s="109" t="n">
        <v>9.76</v>
      </c>
      <c r="H13" s="129">
        <f>ROUND(F13*G13,2)</f>
        <v/>
      </c>
    </row>
    <row r="14">
      <c r="A14" s="254" t="inlineStr">
        <is>
          <t>Затраты труда машинистов</t>
        </is>
      </c>
      <c r="B14" s="255" t="n"/>
      <c r="C14" s="255" t="n"/>
      <c r="D14" s="256" t="n"/>
      <c r="E14" s="248" t="n"/>
      <c r="F14" s="108" t="n"/>
      <c r="G14" s="109" t="n"/>
      <c r="H14" s="138">
        <f>H15</f>
        <v/>
      </c>
    </row>
    <row r="15">
      <c r="A15" s="189">
        <f>A13+1</f>
        <v/>
      </c>
      <c r="B15" s="131" t="n"/>
      <c r="C15" s="189" t="n">
        <v>2</v>
      </c>
      <c r="D15" s="235" t="inlineStr">
        <is>
          <t>Затраты труда машинистов</t>
        </is>
      </c>
      <c r="E15" s="227" t="inlineStr">
        <is>
          <t>чел.час</t>
        </is>
      </c>
      <c r="F15" s="151" t="n">
        <v>84.11</v>
      </c>
      <c r="G15" s="247" t="n"/>
      <c r="H15" s="152" t="n">
        <v>1095.9</v>
      </c>
    </row>
    <row r="16" ht="15" customHeight="1" s="176">
      <c r="A16" s="216" t="inlineStr">
        <is>
          <t>Машины и механизмы</t>
        </is>
      </c>
      <c r="B16" s="250" t="n"/>
      <c r="C16" s="250" t="n"/>
      <c r="D16" s="251" t="n"/>
      <c r="E16" s="105" t="n"/>
      <c r="F16" s="105" t="n"/>
      <c r="G16" s="105" t="n"/>
      <c r="H16" s="139">
        <f>SUM(H17:H22)</f>
        <v/>
      </c>
    </row>
    <row r="17">
      <c r="A17" s="227">
        <f>A15+1</f>
        <v/>
      </c>
      <c r="B17" s="189" t="n"/>
      <c r="C17" s="189" t="inlineStr">
        <is>
          <t>91.06.06-014</t>
        </is>
      </c>
      <c r="D17" s="235" t="inlineStr">
        <is>
          <t>Автогидроподъемники высотой подъема: 28 м</t>
        </is>
      </c>
      <c r="E17" s="227" t="inlineStr">
        <is>
          <t>маш.час</t>
        </is>
      </c>
      <c r="F17" s="227" t="n">
        <v>29.62</v>
      </c>
      <c r="G17" s="237" t="n">
        <v>243.49</v>
      </c>
      <c r="H17" s="129">
        <f>ROUND(F17*G17,2)</f>
        <v/>
      </c>
    </row>
    <row r="18" ht="25.5" customHeight="1" s="176">
      <c r="A18" s="227">
        <f>A17+1</f>
        <v/>
      </c>
      <c r="B18" s="189" t="n"/>
      <c r="C18" s="189" t="inlineStr">
        <is>
          <t>91.13.03-111</t>
        </is>
      </c>
      <c r="D18" s="235" t="inlineStr">
        <is>
          <t>Спецавтомашины, грузоподъемность до 8 т, вездеходы</t>
        </is>
      </c>
      <c r="E18" s="227" t="inlineStr">
        <is>
          <t>маш.час</t>
        </is>
      </c>
      <c r="F18" s="227" t="n">
        <v>33.66</v>
      </c>
      <c r="G18" s="237" t="n">
        <v>189.95</v>
      </c>
      <c r="H18" s="129">
        <f>ROUND(F18*G18,2)</f>
        <v/>
      </c>
    </row>
    <row r="19" ht="25.5" customHeight="1" s="176">
      <c r="A19" s="227">
        <f>A18+1</f>
        <v/>
      </c>
      <c r="B19" s="189" t="n"/>
      <c r="C19" s="189" t="inlineStr">
        <is>
          <t>91.15.02-029</t>
        </is>
      </c>
      <c r="D19" s="235" t="inlineStr">
        <is>
          <t>Тракторы на гусеничном ходу с лебедкой 132 кВт (180 л.с.)</t>
        </is>
      </c>
      <c r="E19" s="227" t="inlineStr">
        <is>
          <t>маш.час</t>
        </is>
      </c>
      <c r="F19" s="227" t="n">
        <v>14.69</v>
      </c>
      <c r="G19" s="237" t="n">
        <v>147.43</v>
      </c>
      <c r="H19" s="129">
        <f>ROUND(F19*G19,2)</f>
        <v/>
      </c>
    </row>
    <row r="20">
      <c r="A20" s="227">
        <f>A19+1</f>
        <v/>
      </c>
      <c r="B20" s="189" t="n"/>
      <c r="C20" s="189" t="inlineStr">
        <is>
          <t>91.14.02-002</t>
        </is>
      </c>
      <c r="D20" s="235" t="inlineStr">
        <is>
          <t>Автомобили бортовые, грузоподъемность: до 8 т</t>
        </is>
      </c>
      <c r="E20" s="227" t="inlineStr">
        <is>
          <t>маш.час</t>
        </is>
      </c>
      <c r="F20" s="227" t="n">
        <v>6.14</v>
      </c>
      <c r="G20" s="237" t="n">
        <v>85.84</v>
      </c>
      <c r="H20" s="129">
        <f>ROUND(F20*G20,2)</f>
        <v/>
      </c>
    </row>
    <row r="21">
      <c r="A21" s="227">
        <f>A20+1</f>
        <v/>
      </c>
      <c r="B21" s="189" t="n"/>
      <c r="C21" s="189" t="inlineStr">
        <is>
          <t>91.11.02-061</t>
        </is>
      </c>
      <c r="D21" s="235" t="inlineStr">
        <is>
          <t>Тележки раскаточные на гусеничном ходу</t>
        </is>
      </c>
      <c r="E21" s="227" t="inlineStr">
        <is>
          <t>маш.час</t>
        </is>
      </c>
      <c r="F21" s="227" t="n">
        <v>2.42</v>
      </c>
      <c r="G21" s="237" t="n">
        <v>17.14</v>
      </c>
      <c r="H21" s="129">
        <f>ROUND(F21*G21,2)</f>
        <v/>
      </c>
    </row>
    <row r="22">
      <c r="A22" s="227">
        <f>A21+1</f>
        <v/>
      </c>
      <c r="B22" s="189" t="n"/>
      <c r="C22" s="189" t="inlineStr">
        <is>
          <t>91.21.16-012</t>
        </is>
      </c>
      <c r="D22" s="235" t="inlineStr">
        <is>
          <t>Пресс: гидравлический с электроприводом</t>
        </is>
      </c>
      <c r="E22" s="227" t="inlineStr">
        <is>
          <t>маш.час</t>
        </is>
      </c>
      <c r="F22" s="227" t="n">
        <v>18.21</v>
      </c>
      <c r="G22" s="237" t="n">
        <v>1.11</v>
      </c>
      <c r="H22" s="129">
        <f>ROUND(F22*G22,2)</f>
        <v/>
      </c>
    </row>
    <row r="23" ht="15" customHeight="1" s="176">
      <c r="A23" s="217" t="inlineStr">
        <is>
          <t>Оборудование</t>
        </is>
      </c>
      <c r="B23" s="250" t="n"/>
      <c r="C23" s="250" t="n"/>
      <c r="D23" s="251" t="n"/>
      <c r="E23" s="110" t="n"/>
      <c r="F23" s="111" t="n"/>
      <c r="G23" s="109" t="n"/>
      <c r="H23" s="144">
        <f>SUM(H24:H24)</f>
        <v/>
      </c>
    </row>
    <row r="24" ht="15" customHeight="1" s="176">
      <c r="A24" s="227" t="n"/>
      <c r="B24" s="217" t="n"/>
      <c r="C24" s="189" t="n"/>
      <c r="D24" s="148" t="n"/>
      <c r="E24" s="248" t="n"/>
      <c r="F24" s="248" t="n"/>
      <c r="G24" s="237" t="n"/>
      <c r="H24" s="129" t="n"/>
    </row>
    <row r="25" ht="15" customHeight="1" s="176">
      <c r="A25" s="216" t="inlineStr">
        <is>
          <t>Материалы</t>
        </is>
      </c>
      <c r="B25" s="250" t="n"/>
      <c r="C25" s="250" t="n"/>
      <c r="D25" s="251" t="n"/>
      <c r="E25" s="127" t="n"/>
      <c r="F25" s="127" t="n"/>
      <c r="G25" s="105" t="n"/>
      <c r="H25" s="139">
        <f>SUM(H26:H26)</f>
        <v/>
      </c>
    </row>
    <row r="26" ht="15" customHeight="1" s="176">
      <c r="A26" s="227" t="n">
        <v>9</v>
      </c>
      <c r="B26" s="216" t="n"/>
      <c r="C26" s="189" t="inlineStr">
        <is>
          <t>Прайс из СД ОП</t>
        </is>
      </c>
      <c r="D26" s="235" t="inlineStr">
        <is>
          <t>Провод АСТ 330/43 мм2</t>
        </is>
      </c>
      <c r="E26" s="227" t="inlineStr">
        <is>
          <t>км</t>
        </is>
      </c>
      <c r="F26" s="236" t="n">
        <v>3.09</v>
      </c>
      <c r="G26" s="237" t="n">
        <v>114800.59</v>
      </c>
      <c r="H26" s="129">
        <f>ROUND(F26*G26,2)</f>
        <v/>
      </c>
    </row>
    <row r="27">
      <c r="C27" s="115" t="n"/>
      <c r="D27" s="116" t="n"/>
      <c r="E27" s="117" t="n"/>
      <c r="F27" s="117" t="n"/>
      <c r="G27" s="118" t="n"/>
      <c r="H27" s="119" t="n"/>
    </row>
    <row r="31" ht="14.25" customFormat="1" customHeight="1" s="187">
      <c r="A31" s="177" t="inlineStr">
        <is>
          <t>Составил ______________________    Е. М. Добровольская</t>
        </is>
      </c>
    </row>
    <row r="32" ht="14.25" customFormat="1" customHeight="1" s="187">
      <c r="A32" s="188" t="inlineStr">
        <is>
          <t xml:space="preserve">                         (подпись, инициалы, фамилия)</t>
        </is>
      </c>
    </row>
    <row r="33" ht="14.25" customFormat="1" customHeight="1" s="187">
      <c r="A33" s="177" t="n"/>
    </row>
    <row r="34" ht="14.25" customFormat="1" customHeight="1" s="187">
      <c r="A34" s="177" t="inlineStr">
        <is>
          <t>Проверил ______________________        А.В. Костянецкая</t>
        </is>
      </c>
    </row>
    <row r="35" ht="14.25" customFormat="1" customHeight="1" s="187">
      <c r="A35" s="188" t="inlineStr">
        <is>
          <t xml:space="preserve">                        (подпись, инициалы, фамилия)</t>
        </is>
      </c>
    </row>
  </sheetData>
  <mergeCells count="15">
    <mergeCell ref="C9:C10"/>
    <mergeCell ref="A23:D23"/>
    <mergeCell ref="A3:H3"/>
    <mergeCell ref="E9:E10"/>
    <mergeCell ref="D9:D10"/>
    <mergeCell ref="B9:B10"/>
    <mergeCell ref="F9:F10"/>
    <mergeCell ref="A9:A10"/>
    <mergeCell ref="A12:D12"/>
    <mergeCell ref="A2:H2"/>
    <mergeCell ref="A25:D25"/>
    <mergeCell ref="C4:H4"/>
    <mergeCell ref="A16:D16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76" min="1" max="1"/>
    <col width="36.28515625" customWidth="1" style="176" min="2" max="2"/>
    <col width="18.85546875" customWidth="1" style="176" min="3" max="3"/>
    <col width="18.28515625" customWidth="1" style="176" min="4" max="4"/>
    <col width="18.85546875" customWidth="1" style="176" min="5" max="5"/>
    <col width="9.140625" customWidth="1" style="176" min="6" max="10"/>
    <col width="13.5703125" customWidth="1" style="176" min="11" max="11"/>
    <col width="9.140625" customWidth="1" style="176" min="12" max="12"/>
  </cols>
  <sheetData>
    <row r="1">
      <c r="B1" s="177" t="n"/>
      <c r="C1" s="177" t="n"/>
      <c r="D1" s="177" t="n"/>
      <c r="E1" s="177" t="n"/>
    </row>
    <row r="2">
      <c r="B2" s="177" t="n"/>
      <c r="C2" s="177" t="n"/>
      <c r="D2" s="177" t="n"/>
      <c r="E2" s="243" t="inlineStr">
        <is>
          <t>Приложение № 4</t>
        </is>
      </c>
    </row>
    <row r="3">
      <c r="B3" s="177" t="n"/>
      <c r="C3" s="177" t="n"/>
      <c r="D3" s="177" t="n"/>
      <c r="E3" s="177" t="n"/>
    </row>
    <row r="4">
      <c r="B4" s="177" t="n"/>
      <c r="C4" s="177" t="n"/>
      <c r="D4" s="177" t="n"/>
      <c r="E4" s="177" t="n"/>
    </row>
    <row r="5">
      <c r="B5" s="220" t="inlineStr">
        <is>
          <t>Ресурсная модель</t>
        </is>
      </c>
    </row>
    <row r="6">
      <c r="B6" s="56" t="n"/>
      <c r="C6" s="177" t="n"/>
      <c r="D6" s="177" t="n"/>
      <c r="E6" s="177" t="n"/>
    </row>
    <row r="7" ht="25.5" customHeight="1" s="176">
      <c r="B7" s="221">
        <f>'Прил.1 Сравнит табл'!B7</f>
        <v/>
      </c>
    </row>
    <row r="8">
      <c r="B8" s="222" t="inlineStr">
        <is>
          <t>Единица измерения  — 1 км</t>
        </is>
      </c>
    </row>
    <row r="9">
      <c r="B9" s="56" t="n"/>
      <c r="C9" s="177" t="n"/>
      <c r="D9" s="177" t="n"/>
      <c r="E9" s="177" t="n"/>
    </row>
    <row r="10" ht="51" customHeight="1" s="176">
      <c r="B10" s="227" t="inlineStr">
        <is>
          <t>Наименование</t>
        </is>
      </c>
      <c r="C10" s="227" t="inlineStr">
        <is>
          <t>Сметная стоимость в ценах на 01.01.2023
 (руб.)</t>
        </is>
      </c>
      <c r="D10" s="227" t="inlineStr">
        <is>
          <t>Удельный вес, 
(в СМР)</t>
        </is>
      </c>
      <c r="E10" s="227" t="inlineStr">
        <is>
          <t>Удельный вес, % 
(от всего по РМ)</t>
        </is>
      </c>
    </row>
    <row r="11">
      <c r="B11" s="190" t="inlineStr">
        <is>
          <t>Оплата труда рабочих</t>
        </is>
      </c>
      <c r="C11" s="18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190" t="inlineStr">
        <is>
          <t>Эксплуатация машин основных</t>
        </is>
      </c>
      <c r="C12" s="182">
        <f>'Прил.5 Расчет СМР и ОБ'!J22</f>
        <v/>
      </c>
      <c r="D12" s="60">
        <f>C12/$C$24</f>
        <v/>
      </c>
      <c r="E12" s="60">
        <f>C12/$C$40</f>
        <v/>
      </c>
    </row>
    <row r="13">
      <c r="B13" s="190" t="inlineStr">
        <is>
          <t>Эксплуатация машин прочих</t>
        </is>
      </c>
      <c r="C13" s="182">
        <f>'Прил.5 Расчет СМР и ОБ'!J26</f>
        <v/>
      </c>
      <c r="D13" s="60">
        <f>C13/$C$24</f>
        <v/>
      </c>
      <c r="E13" s="60">
        <f>C13/$C$40</f>
        <v/>
      </c>
    </row>
    <row r="14">
      <c r="B14" s="190" t="inlineStr">
        <is>
          <t>ЭКСПЛУАТАЦИЯ МАШИН, ВСЕГО:</t>
        </is>
      </c>
      <c r="C14" s="182">
        <f>C13+C12</f>
        <v/>
      </c>
      <c r="D14" s="60">
        <f>C14/$C$24</f>
        <v/>
      </c>
      <c r="E14" s="60">
        <f>C14/$C$40</f>
        <v/>
      </c>
    </row>
    <row r="15">
      <c r="B15" s="190" t="inlineStr">
        <is>
          <t>в том числе зарплата машинистов</t>
        </is>
      </c>
      <c r="C15" s="18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190" t="inlineStr">
        <is>
          <t>Материалы основные</t>
        </is>
      </c>
      <c r="C16" s="182">
        <f>'Прил.5 Расчет СМР и ОБ'!J37</f>
        <v/>
      </c>
      <c r="D16" s="60">
        <f>C16/$C$24</f>
        <v/>
      </c>
      <c r="E16" s="60">
        <f>C16/$C$40</f>
        <v/>
      </c>
    </row>
    <row r="17">
      <c r="B17" s="190" t="inlineStr">
        <is>
          <t>Материалы прочие</t>
        </is>
      </c>
      <c r="C17" s="182">
        <f>'Прил.5 Расчет СМР и ОБ'!J38</f>
        <v/>
      </c>
      <c r="D17" s="60">
        <f>C17/$C$24</f>
        <v/>
      </c>
      <c r="E17" s="60">
        <f>C17/$C$40</f>
        <v/>
      </c>
    </row>
    <row r="18">
      <c r="B18" s="190" t="inlineStr">
        <is>
          <t>МАТЕРИАЛЫ, ВСЕГО:</t>
        </is>
      </c>
      <c r="C18" s="182">
        <f>C17+C16</f>
        <v/>
      </c>
      <c r="D18" s="60">
        <f>C18/$C$24</f>
        <v/>
      </c>
      <c r="E18" s="60">
        <f>C18/$C$40</f>
        <v/>
      </c>
    </row>
    <row r="19">
      <c r="B19" s="190" t="inlineStr">
        <is>
          <t>ИТОГО</t>
        </is>
      </c>
      <c r="C19" s="182">
        <f>C18+C14+C11</f>
        <v/>
      </c>
      <c r="D19" s="60" t="n"/>
      <c r="E19" s="190" t="n"/>
    </row>
    <row r="20">
      <c r="B20" s="190" t="inlineStr">
        <is>
          <t>Сметная прибыль, руб.</t>
        </is>
      </c>
      <c r="C20" s="182">
        <f>ROUND(C21*(C11+C15),2)</f>
        <v/>
      </c>
      <c r="D20" s="60">
        <f>C20/$C$24</f>
        <v/>
      </c>
      <c r="E20" s="60">
        <f>C20/$C$40</f>
        <v/>
      </c>
    </row>
    <row r="21">
      <c r="B21" s="190" t="inlineStr">
        <is>
          <t>Сметная прибыль, %</t>
        </is>
      </c>
      <c r="C21" s="61">
        <f>'Прил.5 Расчет СМР и ОБ'!D42</f>
        <v/>
      </c>
      <c r="D21" s="60" t="n"/>
      <c r="E21" s="190" t="n"/>
    </row>
    <row r="22">
      <c r="B22" s="190" t="inlineStr">
        <is>
          <t>Накладные расходы, руб.</t>
        </is>
      </c>
      <c r="C22" s="182">
        <f>ROUND(C23*(C11+C15),2)</f>
        <v/>
      </c>
      <c r="D22" s="60">
        <f>C22/$C$24</f>
        <v/>
      </c>
      <c r="E22" s="60">
        <f>C22/$C$40</f>
        <v/>
      </c>
    </row>
    <row r="23">
      <c r="B23" s="190" t="inlineStr">
        <is>
          <t>Накладные расходы, %</t>
        </is>
      </c>
      <c r="C23" s="61">
        <f>'Прил.5 Расчет СМР и ОБ'!D41</f>
        <v/>
      </c>
      <c r="D23" s="60" t="n"/>
      <c r="E23" s="190" t="n"/>
    </row>
    <row r="24">
      <c r="B24" s="190" t="inlineStr">
        <is>
          <t>ВСЕГО СМР с НР и СП</t>
        </is>
      </c>
      <c r="C24" s="182">
        <f>C19+C20+C22</f>
        <v/>
      </c>
      <c r="D24" s="60">
        <f>C24/$C$24</f>
        <v/>
      </c>
      <c r="E24" s="60">
        <f>C24/$C$40</f>
        <v/>
      </c>
    </row>
    <row r="25" ht="25.5" customHeight="1" s="176">
      <c r="B25" s="190" t="inlineStr">
        <is>
          <t>ВСЕГО стоимость оборудования, в том числе</t>
        </is>
      </c>
      <c r="C25" s="182">
        <f>'Прил.5 Расчет СМР и ОБ'!J32</f>
        <v/>
      </c>
      <c r="D25" s="60" t="n"/>
      <c r="E25" s="60">
        <f>C25/$C$40</f>
        <v/>
      </c>
    </row>
    <row r="26" ht="25.5" customHeight="1" s="176">
      <c r="B26" s="190" t="inlineStr">
        <is>
          <t>стоимость оборудования технологического</t>
        </is>
      </c>
      <c r="C26" s="182">
        <f>C25</f>
        <v/>
      </c>
      <c r="D26" s="60" t="n"/>
      <c r="E26" s="60">
        <f>C26/$C$40</f>
        <v/>
      </c>
    </row>
    <row r="27">
      <c r="B27" s="190" t="inlineStr">
        <is>
          <t>ИТОГО (СМР + ОБОРУДОВАНИЕ)</t>
        </is>
      </c>
      <c r="C27" s="62">
        <f>C24+C25</f>
        <v/>
      </c>
      <c r="D27" s="60" t="n"/>
      <c r="E27" s="60">
        <f>C27/$C$40</f>
        <v/>
      </c>
    </row>
    <row r="28" ht="33" customHeight="1" s="176">
      <c r="B28" s="190" t="inlineStr">
        <is>
          <t>ПРОЧ. ЗАТР., УЧТЕННЫЕ ПОКАЗАТЕЛЕМ,  в том числе</t>
        </is>
      </c>
      <c r="C28" s="190" t="n"/>
      <c r="D28" s="190" t="n"/>
      <c r="E28" s="190" t="n"/>
    </row>
    <row r="29" ht="25.5" customHeight="1" s="176">
      <c r="B29" s="190" t="inlineStr">
        <is>
          <t>Временные здания и сооружения - 3,3%</t>
        </is>
      </c>
      <c r="C29" s="62">
        <f>ROUND(C24*3.3%,2)</f>
        <v/>
      </c>
      <c r="D29" s="190" t="n"/>
      <c r="E29" s="60" t="n">
        <v>0.033</v>
      </c>
    </row>
    <row r="30" ht="38.25" customHeight="1" s="176">
      <c r="B30" s="190" t="inlineStr">
        <is>
          <t>Дополнительные затраты при производстве строительно-монтажных работ в зимнее время - 1,0%</t>
        </is>
      </c>
      <c r="C30" s="62">
        <f>ROUND((C24+C29)*1%,2)</f>
        <v/>
      </c>
      <c r="D30" s="190" t="n"/>
      <c r="E30" s="60" t="n">
        <v>0.01</v>
      </c>
    </row>
    <row r="31">
      <c r="B31" s="190" t="inlineStr">
        <is>
          <t>Пусконаладочные работы</t>
        </is>
      </c>
      <c r="C31" s="62" t="n">
        <v>0</v>
      </c>
      <c r="D31" s="190" t="n"/>
      <c r="E31" s="60">
        <f>C31/$C$40</f>
        <v/>
      </c>
    </row>
    <row r="32" ht="25.5" customHeight="1" s="176">
      <c r="B32" s="190" t="inlineStr">
        <is>
          <t>Затраты по перевозке работников к месту работы и обратно</t>
        </is>
      </c>
      <c r="C32" s="62">
        <f>ROUND(C27*0%,2)</f>
        <v/>
      </c>
      <c r="D32" s="190" t="n"/>
      <c r="E32" s="60">
        <f>C32/$C$40</f>
        <v/>
      </c>
    </row>
    <row r="33" ht="25.5" customHeight="1" s="176">
      <c r="B33" s="190" t="inlineStr">
        <is>
          <t>Затраты, связанные с осуществлением работ вахтовым методом</t>
        </is>
      </c>
      <c r="C33" s="62">
        <f>ROUND(C27*0%,2)</f>
        <v/>
      </c>
      <c r="D33" s="190" t="n"/>
      <c r="E33" s="60">
        <f>C33/$C$40</f>
        <v/>
      </c>
    </row>
    <row r="34" ht="51" customHeight="1" s="176">
      <c r="B34" s="19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2">
        <f>ROUND(C27*0%,2)</f>
        <v/>
      </c>
      <c r="D34" s="190" t="n"/>
      <c r="E34" s="60">
        <f>C34/$C$40</f>
        <v/>
      </c>
    </row>
    <row r="35" ht="76.5" customHeight="1" s="176">
      <c r="B35" s="19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2">
        <f>ROUND(C27*0%,2)</f>
        <v/>
      </c>
      <c r="D35" s="190" t="n"/>
      <c r="E35" s="60">
        <f>C35/$C$40</f>
        <v/>
      </c>
    </row>
    <row r="36" ht="25.5" customHeight="1" s="176">
      <c r="B36" s="190" t="inlineStr">
        <is>
          <t>Строительный контроль и содержание службы заказчика - 2,14%</t>
        </is>
      </c>
      <c r="C36" s="62">
        <f>ROUND((C27+C32+C33+C34+C35+C29+C31+C30)*2.14%,2)</f>
        <v/>
      </c>
      <c r="D36" s="190" t="n"/>
      <c r="E36" s="60">
        <f>C36/$C$40</f>
        <v/>
      </c>
      <c r="K36" s="63" t="n"/>
    </row>
    <row r="37">
      <c r="B37" s="190" t="inlineStr">
        <is>
          <t>Авторский надзор - 0,2%</t>
        </is>
      </c>
      <c r="C37" s="62">
        <f>ROUND((C27+C32+C33+C34+C35+C29+C31+C30)*0.2%,2)</f>
        <v/>
      </c>
      <c r="D37" s="190" t="n"/>
      <c r="E37" s="60">
        <f>C37/$C$40</f>
        <v/>
      </c>
      <c r="K37" s="63" t="n"/>
    </row>
    <row r="38" ht="38.25" customHeight="1" s="176">
      <c r="B38" s="190" t="inlineStr">
        <is>
          <t>ИТОГО (СМР+ОБОРУДОВАНИЕ+ПРОЧ. ЗАТР., УЧТЕННЫЕ ПОКАЗАТЕЛЕМ)</t>
        </is>
      </c>
      <c r="C38" s="182">
        <f>C27+C32+C33+C34+C35+C29+C31+C30+C36+C37</f>
        <v/>
      </c>
      <c r="D38" s="190" t="n"/>
      <c r="E38" s="60">
        <f>C38/$C$40</f>
        <v/>
      </c>
    </row>
    <row r="39" ht="13.5" customHeight="1" s="176">
      <c r="B39" s="190" t="inlineStr">
        <is>
          <t>Непредвиденные расходы</t>
        </is>
      </c>
      <c r="C39" s="182">
        <f>ROUND(C38*3%,2)</f>
        <v/>
      </c>
      <c r="D39" s="190" t="n"/>
      <c r="E39" s="60">
        <f>C39/$C$38</f>
        <v/>
      </c>
    </row>
    <row r="40">
      <c r="B40" s="190" t="inlineStr">
        <is>
          <t>ВСЕГО:</t>
        </is>
      </c>
      <c r="C40" s="182">
        <f>C39+C38</f>
        <v/>
      </c>
      <c r="D40" s="190" t="n"/>
      <c r="E40" s="60">
        <f>C40/$C$40</f>
        <v/>
      </c>
    </row>
    <row r="41">
      <c r="B41" s="190" t="inlineStr">
        <is>
          <t>ИТОГО ПОКАЗАТЕЛЬ НА ЕД. ИЗМ.</t>
        </is>
      </c>
      <c r="C41" s="182">
        <f>C40/'Прил.5 Расчет СМР и ОБ'!E45</f>
        <v/>
      </c>
      <c r="D41" s="190" t="n"/>
      <c r="E41" s="190" t="n"/>
    </row>
    <row r="42">
      <c r="B42" s="184" t="n"/>
      <c r="C42" s="177" t="n"/>
      <c r="D42" s="177" t="n"/>
      <c r="E42" s="177" t="n"/>
    </row>
    <row r="43">
      <c r="B43" s="184" t="inlineStr">
        <is>
          <t>Составил ____________________________ Е. М. Добровольская</t>
        </is>
      </c>
      <c r="C43" s="177" t="n"/>
      <c r="D43" s="177" t="n"/>
      <c r="E43" s="177" t="n"/>
    </row>
    <row r="44">
      <c r="B44" s="184" t="inlineStr">
        <is>
          <t xml:space="preserve">(должность, подпись, инициалы, фамилия) </t>
        </is>
      </c>
      <c r="C44" s="177" t="n"/>
      <c r="D44" s="177" t="n"/>
      <c r="E44" s="177" t="n"/>
    </row>
    <row r="45">
      <c r="B45" s="184" t="n"/>
      <c r="C45" s="177" t="n"/>
      <c r="D45" s="177" t="n"/>
      <c r="E45" s="177" t="n"/>
    </row>
    <row r="46">
      <c r="B46" s="184" t="inlineStr">
        <is>
          <t>Проверил ____________________________ А.В. Костянецкая</t>
        </is>
      </c>
      <c r="C46" s="177" t="n"/>
      <c r="D46" s="177" t="n"/>
      <c r="E46" s="177" t="n"/>
    </row>
    <row r="47">
      <c r="B47" s="222" t="inlineStr">
        <is>
          <t>(должность, подпись, инициалы, фамилия)</t>
        </is>
      </c>
      <c r="D47" s="177" t="n"/>
      <c r="E47" s="177" t="n"/>
    </row>
    <row r="49">
      <c r="B49" s="177" t="n"/>
      <c r="C49" s="177" t="n"/>
      <c r="D49" s="177" t="n"/>
      <c r="E49" s="177" t="n"/>
    </row>
    <row r="50">
      <c r="B50" s="177" t="n"/>
      <c r="C50" s="177" t="n"/>
      <c r="D50" s="177" t="n"/>
      <c r="E50" s="17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1"/>
  <sheetViews>
    <sheetView view="pageBreakPreview" topLeftCell="A11" zoomScale="85" zoomScaleSheetLayoutView="85" workbookViewId="0">
      <selection activeCell="C53" sqref="C53"/>
    </sheetView>
  </sheetViews>
  <sheetFormatPr baseColWidth="8" defaultColWidth="9.140625" defaultRowHeight="15" outlineLevelRow="1"/>
  <cols>
    <col width="5.7109375" customWidth="1" style="187" min="1" max="1"/>
    <col width="22.5703125" customWidth="1" style="187" min="2" max="2"/>
    <col width="39.140625" customWidth="1" style="187" min="3" max="3"/>
    <col width="10.7109375" customWidth="1" style="187" min="4" max="4"/>
    <col width="12.7109375" customWidth="1" style="187" min="5" max="5"/>
    <col width="14.5703125" customWidth="1" style="187" min="6" max="6"/>
    <col width="13.42578125" customWidth="1" style="187" min="7" max="7"/>
    <col width="12.7109375" customWidth="1" style="187" min="8" max="8"/>
    <col width="13.85546875" customWidth="1" style="187" min="9" max="9"/>
    <col width="17.5703125" customWidth="1" style="187" min="10" max="10"/>
    <col width="10.85546875" customWidth="1" style="187" min="11" max="11"/>
    <col width="9.140625" customWidth="1" style="187" min="12" max="12"/>
    <col width="9.140625" customWidth="1" style="176" min="13" max="13"/>
  </cols>
  <sheetData>
    <row r="1" s="176">
      <c r="A1" s="187" t="n"/>
      <c r="B1" s="187" t="n"/>
      <c r="C1" s="187" t="n"/>
      <c r="D1" s="187" t="n"/>
      <c r="E1" s="187" t="n"/>
      <c r="F1" s="187" t="n"/>
      <c r="G1" s="187" t="n"/>
      <c r="H1" s="187" t="n"/>
      <c r="I1" s="187" t="n"/>
      <c r="J1" s="187" t="n"/>
      <c r="K1" s="187" t="n"/>
      <c r="L1" s="187" t="n"/>
      <c r="M1" s="187" t="n"/>
      <c r="N1" s="187" t="n"/>
    </row>
    <row r="2" ht="15.75" customHeight="1" s="176">
      <c r="A2" s="187" t="n"/>
      <c r="B2" s="187" t="n"/>
      <c r="C2" s="187" t="n"/>
      <c r="D2" s="187" t="n"/>
      <c r="E2" s="187" t="n"/>
      <c r="F2" s="187" t="n"/>
      <c r="G2" s="187" t="n"/>
      <c r="H2" s="223" t="inlineStr">
        <is>
          <t>Приложение №5</t>
        </is>
      </c>
      <c r="K2" s="187" t="n"/>
      <c r="L2" s="187" t="n"/>
      <c r="M2" s="187" t="n"/>
      <c r="N2" s="187" t="n"/>
    </row>
    <row r="3" s="176">
      <c r="A3" s="187" t="n"/>
      <c r="B3" s="187" t="n"/>
      <c r="C3" s="187" t="n"/>
      <c r="D3" s="187" t="n"/>
      <c r="E3" s="187" t="n"/>
      <c r="F3" s="187" t="n"/>
      <c r="G3" s="187" t="n"/>
      <c r="H3" s="187" t="n"/>
      <c r="I3" s="187" t="n"/>
      <c r="J3" s="187" t="n"/>
      <c r="K3" s="187" t="n"/>
      <c r="L3" s="187" t="n"/>
      <c r="M3" s="187" t="n"/>
      <c r="N3" s="187" t="n"/>
    </row>
    <row r="4" ht="12.75" customFormat="1" customHeight="1" s="177">
      <c r="A4" s="220" t="inlineStr">
        <is>
          <t>Расчет стоимости СМР и оборудования</t>
        </is>
      </c>
    </row>
    <row r="5" ht="12.75" customFormat="1" customHeight="1" s="177">
      <c r="A5" s="220" t="n"/>
      <c r="B5" s="220" t="n"/>
      <c r="C5" s="70" t="n"/>
      <c r="D5" s="220" t="n"/>
      <c r="E5" s="220" t="n"/>
      <c r="F5" s="220" t="n"/>
      <c r="G5" s="220" t="n"/>
      <c r="H5" s="220" t="n"/>
      <c r="I5" s="220" t="n"/>
      <c r="J5" s="220" t="n"/>
    </row>
    <row r="6" ht="27.75" customFormat="1" customHeight="1" s="177">
      <c r="A6" s="157" t="inlineStr">
        <is>
          <t>Наименование разрабатываемого показателя УНЦ</t>
        </is>
      </c>
      <c r="B6" s="156" t="n"/>
      <c r="C6" s="156" t="n"/>
      <c r="D6" s="157" t="inlineStr">
        <is>
          <t>Провод ВЛ повышенной пропускной способности, допустимый длительный ток 2121 А</t>
        </is>
      </c>
      <c r="E6" s="157" t="n"/>
      <c r="F6" s="157" t="n"/>
      <c r="G6" s="157" t="n"/>
      <c r="H6" s="157" t="n"/>
      <c r="I6" s="158" t="n"/>
      <c r="J6" s="158" t="n"/>
    </row>
    <row r="7" ht="12.75" customFormat="1" customHeight="1" s="177">
      <c r="I7" s="221" t="n"/>
      <c r="J7" s="221" t="n"/>
    </row>
    <row r="8" ht="13.15" customFormat="1" customHeight="1" s="177">
      <c r="B8" s="224" t="inlineStr">
        <is>
          <t>Единица измерения  — 1 км</t>
        </is>
      </c>
    </row>
    <row r="9" ht="27" customHeight="1" s="176">
      <c r="A9" s="227" t="inlineStr">
        <is>
          <t>№ пп.</t>
        </is>
      </c>
      <c r="B9" s="227" t="inlineStr">
        <is>
          <t>Код ресурса</t>
        </is>
      </c>
      <c r="C9" s="227" t="inlineStr">
        <is>
          <t>Наименование</t>
        </is>
      </c>
      <c r="D9" s="227" t="inlineStr">
        <is>
          <t>Ед. изм.</t>
        </is>
      </c>
      <c r="E9" s="227" t="inlineStr">
        <is>
          <t>Кол-во единиц по проектным данным</t>
        </is>
      </c>
      <c r="F9" s="227" t="inlineStr">
        <is>
          <t>Сметная стоимость в ценах на 01.01.2000 (руб.)</t>
        </is>
      </c>
      <c r="G9" s="251" t="n"/>
      <c r="H9" s="227" t="inlineStr">
        <is>
          <t>Удельный вес, %</t>
        </is>
      </c>
      <c r="I9" s="227" t="inlineStr">
        <is>
          <t>Сметная стоимость в ценах на 01.01.2023 (руб.)</t>
        </is>
      </c>
      <c r="J9" s="251" t="n"/>
      <c r="K9" s="187" t="n"/>
      <c r="L9" s="187" t="n"/>
      <c r="M9" s="187" t="n"/>
      <c r="N9" s="187" t="n"/>
    </row>
    <row r="10" ht="28.5" customHeight="1" s="176">
      <c r="A10" s="253" t="n"/>
      <c r="B10" s="253" t="n"/>
      <c r="C10" s="253" t="n"/>
      <c r="D10" s="253" t="n"/>
      <c r="E10" s="253" t="n"/>
      <c r="F10" s="227" t="inlineStr">
        <is>
          <t>на ед. изм.</t>
        </is>
      </c>
      <c r="G10" s="227" t="inlineStr">
        <is>
          <t>общая</t>
        </is>
      </c>
      <c r="H10" s="253" t="n"/>
      <c r="I10" s="227" t="inlineStr">
        <is>
          <t>на ед. изм.</t>
        </is>
      </c>
      <c r="J10" s="227" t="inlineStr">
        <is>
          <t>общая</t>
        </is>
      </c>
      <c r="K10" s="187" t="n"/>
      <c r="L10" s="187" t="n"/>
      <c r="M10" s="187" t="n"/>
      <c r="N10" s="187" t="n"/>
    </row>
    <row r="11" s="176">
      <c r="A11" s="227" t="n">
        <v>1</v>
      </c>
      <c r="B11" s="227" t="n">
        <v>2</v>
      </c>
      <c r="C11" s="227" t="n">
        <v>3</v>
      </c>
      <c r="D11" s="227" t="n">
        <v>4</v>
      </c>
      <c r="E11" s="227" t="n">
        <v>5</v>
      </c>
      <c r="F11" s="227" t="n">
        <v>6</v>
      </c>
      <c r="G11" s="227" t="n">
        <v>7</v>
      </c>
      <c r="H11" s="227" t="n">
        <v>8</v>
      </c>
      <c r="I11" s="228" t="n">
        <v>9</v>
      </c>
      <c r="J11" s="228" t="n">
        <v>10</v>
      </c>
      <c r="K11" s="187" t="n"/>
      <c r="L11" s="187" t="n"/>
      <c r="M11" s="187" t="n"/>
      <c r="N11" s="187" t="n"/>
    </row>
    <row r="12">
      <c r="A12" s="227" t="n"/>
      <c r="B12" s="234" t="inlineStr">
        <is>
          <t>Затраты труда рабочих-строителей</t>
        </is>
      </c>
      <c r="C12" s="250" t="n"/>
      <c r="D12" s="250" t="n"/>
      <c r="E12" s="250" t="n"/>
      <c r="F12" s="250" t="n"/>
      <c r="G12" s="250" t="n"/>
      <c r="H12" s="251" t="n"/>
      <c r="I12" s="90" t="n"/>
      <c r="J12" s="90" t="n"/>
    </row>
    <row r="13" ht="25.5" customHeight="1" s="176">
      <c r="A13" s="227" t="n">
        <v>1</v>
      </c>
      <c r="B13" s="189" t="inlineStr">
        <is>
          <t>1-4-1</t>
        </is>
      </c>
      <c r="C13" s="235" t="inlineStr">
        <is>
          <t>Затраты труда рабочих-строителей среднего разряда (4,1)</t>
        </is>
      </c>
      <c r="D13" s="227" t="inlineStr">
        <is>
          <t>чел.-ч.</t>
        </is>
      </c>
      <c r="E13" s="141">
        <f>G13/F13</f>
        <v/>
      </c>
      <c r="F13" s="129" t="n">
        <v>9.76</v>
      </c>
      <c r="G13" s="129" t="n">
        <v>2307.75</v>
      </c>
      <c r="H13" s="145">
        <f>G13/G14</f>
        <v/>
      </c>
      <c r="I13" s="129">
        <f>ФОТр.тек.!E13</f>
        <v/>
      </c>
      <c r="J13" s="129">
        <f>ROUND(I13*E13,2)</f>
        <v/>
      </c>
    </row>
    <row r="14" ht="25.5" customFormat="1" customHeight="1" s="187">
      <c r="A14" s="227" t="n"/>
      <c r="B14" s="227" t="n"/>
      <c r="C14" s="234" t="inlineStr">
        <is>
          <t>Итого по разделу "Затраты труда рабочих-строителей"</t>
        </is>
      </c>
      <c r="D14" s="227" t="inlineStr">
        <is>
          <t>чел.-ч.</t>
        </is>
      </c>
      <c r="E14" s="141">
        <f>SUM(E13:E13)</f>
        <v/>
      </c>
      <c r="F14" s="129" t="n"/>
      <c r="G14" s="129">
        <f>SUM(G13:G13)</f>
        <v/>
      </c>
      <c r="H14" s="238" t="n">
        <v>1</v>
      </c>
      <c r="I14" s="90" t="n"/>
      <c r="J14" s="129">
        <f>SUM(J13:J13)</f>
        <v/>
      </c>
    </row>
    <row r="15" ht="14.25" customFormat="1" customHeight="1" s="187">
      <c r="A15" s="227" t="n"/>
      <c r="B15" s="235" t="inlineStr">
        <is>
          <t>Затраты труда машинистов</t>
        </is>
      </c>
      <c r="C15" s="250" t="n"/>
      <c r="D15" s="250" t="n"/>
      <c r="E15" s="250" t="n"/>
      <c r="F15" s="250" t="n"/>
      <c r="G15" s="250" t="n"/>
      <c r="H15" s="251" t="n"/>
      <c r="I15" s="90" t="n"/>
      <c r="J15" s="90" t="n"/>
    </row>
    <row r="16" ht="14.25" customFormat="1" customHeight="1" s="187">
      <c r="A16" s="227" t="n">
        <v>2</v>
      </c>
      <c r="B16" s="227" t="n">
        <v>2</v>
      </c>
      <c r="C16" s="235" t="inlineStr">
        <is>
          <t>Затраты труда машинистов</t>
        </is>
      </c>
      <c r="D16" s="227" t="inlineStr">
        <is>
          <t>чел.-ч.</t>
        </is>
      </c>
      <c r="E16" s="141">
        <f>Прил.3!F15</f>
        <v/>
      </c>
      <c r="F16" s="129">
        <f>G16/E16</f>
        <v/>
      </c>
      <c r="G16" s="129">
        <f>Прил.3!H15</f>
        <v/>
      </c>
      <c r="H16" s="238" t="n">
        <v>1</v>
      </c>
      <c r="I16" s="129">
        <f>ROUND(F16*Прил.10!D11,2)</f>
        <v/>
      </c>
      <c r="J16" s="129">
        <f>ROUND(I16*E16,2)</f>
        <v/>
      </c>
    </row>
    <row r="17" ht="14.25" customFormat="1" customHeight="1" s="187">
      <c r="A17" s="227" t="n"/>
      <c r="B17" s="234" t="inlineStr">
        <is>
          <t>Машины и механизмы</t>
        </is>
      </c>
      <c r="C17" s="250" t="n"/>
      <c r="D17" s="250" t="n"/>
      <c r="E17" s="250" t="n"/>
      <c r="F17" s="250" t="n"/>
      <c r="G17" s="250" t="n"/>
      <c r="H17" s="251" t="n"/>
      <c r="I17" s="90" t="n"/>
      <c r="J17" s="90" t="n"/>
    </row>
    <row r="18" ht="14.25" customFormat="1" customHeight="1" s="187">
      <c r="A18" s="227" t="n"/>
      <c r="B18" s="235" t="inlineStr">
        <is>
          <t>Основные машины и механизмы</t>
        </is>
      </c>
      <c r="C18" s="250" t="n"/>
      <c r="D18" s="250" t="n"/>
      <c r="E18" s="250" t="n"/>
      <c r="F18" s="250" t="n"/>
      <c r="G18" s="250" t="n"/>
      <c r="H18" s="251" t="n"/>
      <c r="I18" s="90" t="n"/>
      <c r="J18" s="90" t="n"/>
    </row>
    <row r="19" ht="25.5" customFormat="1" customHeight="1" s="187">
      <c r="A19" s="227" t="n">
        <v>3</v>
      </c>
      <c r="B19" s="189" t="inlineStr">
        <is>
          <t>91.06.06-014</t>
        </is>
      </c>
      <c r="C19" s="235" t="inlineStr">
        <is>
          <t>Автогидроподъемники высотой подъема: 28 м</t>
        </is>
      </c>
      <c r="D19" s="227" t="inlineStr">
        <is>
          <t>маш.час</t>
        </is>
      </c>
      <c r="E19" s="155" t="n">
        <v>29.62</v>
      </c>
      <c r="F19" s="237" t="n">
        <v>243.49</v>
      </c>
      <c r="G19" s="129">
        <f>ROUND(E19*F19,2)</f>
        <v/>
      </c>
      <c r="H19" s="145">
        <f>G19/$G$27</f>
        <v/>
      </c>
      <c r="I19" s="129">
        <f>ROUND(F19*Прил.10!$D$12,2)</f>
        <v/>
      </c>
      <c r="J19" s="129">
        <f>ROUND(I19*E19,2)</f>
        <v/>
      </c>
    </row>
    <row r="20" ht="25.5" customFormat="1" customHeight="1" s="187">
      <c r="A20" s="227" t="n">
        <v>4</v>
      </c>
      <c r="B20" s="189" t="inlineStr">
        <is>
          <t>91.13.03-111</t>
        </is>
      </c>
      <c r="C20" s="235" t="inlineStr">
        <is>
          <t>Спецавтомашины, грузоподъемность до 8 т, вездеходы</t>
        </is>
      </c>
      <c r="D20" s="227" t="inlineStr">
        <is>
          <t>маш.час</t>
        </is>
      </c>
      <c r="E20" s="155" t="n">
        <v>33.66</v>
      </c>
      <c r="F20" s="237" t="n">
        <v>189.95</v>
      </c>
      <c r="G20" s="129">
        <f>ROUND(E20*F20,2)</f>
        <v/>
      </c>
      <c r="H20" s="145">
        <f>G20/$G$27</f>
        <v/>
      </c>
      <c r="I20" s="129">
        <f>ROUND(F20*Прил.10!$D$12,2)</f>
        <v/>
      </c>
      <c r="J20" s="129">
        <f>ROUND(I20*E20,2)</f>
        <v/>
      </c>
    </row>
    <row r="21" ht="25.5" customFormat="1" customHeight="1" s="187">
      <c r="A21" s="227" t="n">
        <v>5</v>
      </c>
      <c r="B21" s="189" t="inlineStr">
        <is>
          <t>91.15.02-029</t>
        </is>
      </c>
      <c r="C21" s="235" t="inlineStr">
        <is>
          <t>Тракторы на гусеничном ходу с лебедкой 132 кВт (180 л.с.)</t>
        </is>
      </c>
      <c r="D21" s="227" t="inlineStr">
        <is>
          <t>маш.час</t>
        </is>
      </c>
      <c r="E21" s="155" t="n">
        <v>14.69</v>
      </c>
      <c r="F21" s="237" t="n">
        <v>147.43</v>
      </c>
      <c r="G21" s="129">
        <f>ROUND(E21*F21,2)</f>
        <v/>
      </c>
      <c r="H21" s="145">
        <f>G21/$G$27</f>
        <v/>
      </c>
      <c r="I21" s="129">
        <f>ROUND(F21*Прил.10!$D$12,2)</f>
        <v/>
      </c>
      <c r="J21" s="129">
        <f>ROUND(I21*E21,2)</f>
        <v/>
      </c>
    </row>
    <row r="22" ht="14.25" customFormat="1" customHeight="1" s="187">
      <c r="A22" s="227" t="n"/>
      <c r="B22" s="227" t="n"/>
      <c r="C22" s="235" t="inlineStr">
        <is>
          <t>Итого основные машины и механизмы</t>
        </is>
      </c>
      <c r="D22" s="227" t="n"/>
      <c r="E22" s="141" t="n"/>
      <c r="F22" s="129" t="n"/>
      <c r="G22" s="129">
        <f>SUM(G19:G21)</f>
        <v/>
      </c>
      <c r="H22" s="238">
        <f>G22/G27</f>
        <v/>
      </c>
      <c r="I22" s="91" t="n"/>
      <c r="J22" s="129">
        <f>SUM(J19:J21)</f>
        <v/>
      </c>
    </row>
    <row r="23" hidden="1" outlineLevel="1" ht="25.5" customFormat="1" customHeight="1" s="187">
      <c r="A23" s="227" t="n">
        <v>6</v>
      </c>
      <c r="B23" s="189" t="inlineStr">
        <is>
          <t>91.14.02-002</t>
        </is>
      </c>
      <c r="C23" s="235" t="inlineStr">
        <is>
          <t>Автомобили бортовые, грузоподъемность: до 8 т</t>
        </is>
      </c>
      <c r="D23" s="227" t="inlineStr">
        <is>
          <t>маш.час</t>
        </is>
      </c>
      <c r="E23" s="155" t="n">
        <v>6.14</v>
      </c>
      <c r="F23" s="237" t="n">
        <v>85.84</v>
      </c>
      <c r="G23" s="129">
        <f>ROUND(E23*F23,2)</f>
        <v/>
      </c>
      <c r="H23" s="145">
        <f>G23/$G$27</f>
        <v/>
      </c>
      <c r="I23" s="129">
        <f>ROUND(F23*Прил.10!$D$12,2)</f>
        <v/>
      </c>
      <c r="J23" s="129">
        <f>ROUND(I23*E23,2)</f>
        <v/>
      </c>
    </row>
    <row r="24" hidden="1" outlineLevel="1" ht="14.25" customFormat="1" customHeight="1" s="187">
      <c r="A24" s="227" t="n">
        <v>7</v>
      </c>
      <c r="B24" s="189" t="inlineStr">
        <is>
          <t>91.11.02-061</t>
        </is>
      </c>
      <c r="C24" s="235" t="inlineStr">
        <is>
          <t>Тележки раскаточные на гусеничном ходу</t>
        </is>
      </c>
      <c r="D24" s="227" t="inlineStr">
        <is>
          <t>маш.час</t>
        </is>
      </c>
      <c r="E24" s="155" t="n">
        <v>2.42</v>
      </c>
      <c r="F24" s="237" t="n">
        <v>17.14</v>
      </c>
      <c r="G24" s="129">
        <f>ROUND(E24*F24,2)</f>
        <v/>
      </c>
      <c r="H24" s="145">
        <f>G24/$G$27</f>
        <v/>
      </c>
      <c r="I24" s="129">
        <f>ROUND(F24*Прил.10!$D$12,2)</f>
        <v/>
      </c>
      <c r="J24" s="129">
        <f>ROUND(I24*E24,2)</f>
        <v/>
      </c>
    </row>
    <row r="25" hidden="1" outlineLevel="1" ht="25.5" customFormat="1" customHeight="1" s="187">
      <c r="A25" s="227" t="n">
        <v>8</v>
      </c>
      <c r="B25" s="189" t="inlineStr">
        <is>
          <t>91.21.16-012</t>
        </is>
      </c>
      <c r="C25" s="235" t="inlineStr">
        <is>
          <t>Пресс: гидравлический с электроприводом</t>
        </is>
      </c>
      <c r="D25" s="227" t="inlineStr">
        <is>
          <t>маш.час</t>
        </is>
      </c>
      <c r="E25" s="155" t="n">
        <v>18.21</v>
      </c>
      <c r="F25" s="237" t="n">
        <v>1.11</v>
      </c>
      <c r="G25" s="129">
        <f>ROUND(E25*F25,2)</f>
        <v/>
      </c>
      <c r="H25" s="145">
        <f>G25/$G$27</f>
        <v/>
      </c>
      <c r="I25" s="129">
        <f>ROUND(F25*Прил.10!$D$12,2)</f>
        <v/>
      </c>
      <c r="J25" s="129">
        <f>ROUND(I25*E25,2)</f>
        <v/>
      </c>
    </row>
    <row r="26" collapsed="1" ht="14.25" customFormat="1" customHeight="1" s="187">
      <c r="A26" s="227" t="n"/>
      <c r="B26" s="227" t="n"/>
      <c r="C26" s="235" t="inlineStr">
        <is>
          <t>Итого прочие машины и механизмы</t>
        </is>
      </c>
      <c r="D26" s="227" t="n"/>
      <c r="E26" s="236" t="n"/>
      <c r="F26" s="129" t="n"/>
      <c r="G26" s="91">
        <f>SUM(G23:G25)</f>
        <v/>
      </c>
      <c r="H26" s="145">
        <f>G26/G27</f>
        <v/>
      </c>
      <c r="I26" s="129" t="n"/>
      <c r="J26" s="129">
        <f>SUM(J23:J25)</f>
        <v/>
      </c>
    </row>
    <row r="27" ht="25.5" customFormat="1" customHeight="1" s="187">
      <c r="A27" s="227" t="n"/>
      <c r="B27" s="227" t="n"/>
      <c r="C27" s="234" t="inlineStr">
        <is>
          <t>Итого по разделу «Машины и механизмы»</t>
        </is>
      </c>
      <c r="D27" s="227" t="n"/>
      <c r="E27" s="236" t="n"/>
      <c r="F27" s="129" t="n"/>
      <c r="G27" s="129">
        <f>G26+G22</f>
        <v/>
      </c>
      <c r="H27" s="84" t="n">
        <v>1</v>
      </c>
      <c r="I27" s="85" t="n"/>
      <c r="J27" s="168">
        <f>J26+J22</f>
        <v/>
      </c>
    </row>
    <row r="28" ht="14.25" customFormat="1" customHeight="1" s="187">
      <c r="A28" s="227" t="n"/>
      <c r="B28" s="234" t="inlineStr">
        <is>
          <t>Оборудование</t>
        </is>
      </c>
      <c r="C28" s="250" t="n"/>
      <c r="D28" s="250" t="n"/>
      <c r="E28" s="250" t="n"/>
      <c r="F28" s="250" t="n"/>
      <c r="G28" s="250" t="n"/>
      <c r="H28" s="251" t="n"/>
      <c r="I28" s="90" t="n"/>
      <c r="J28" s="90" t="n"/>
    </row>
    <row r="29">
      <c r="A29" s="227" t="n"/>
      <c r="B29" s="235" t="inlineStr">
        <is>
          <t>Основное оборудование</t>
        </is>
      </c>
      <c r="C29" s="250" t="n"/>
      <c r="D29" s="250" t="n"/>
      <c r="E29" s="250" t="n"/>
      <c r="F29" s="250" t="n"/>
      <c r="G29" s="250" t="n"/>
      <c r="H29" s="251" t="n"/>
      <c r="I29" s="90" t="n"/>
      <c r="J29" s="90" t="n"/>
      <c r="K29" s="187" t="n"/>
      <c r="L29" s="187" t="n"/>
    </row>
    <row r="30">
      <c r="A30" s="227" t="n"/>
      <c r="B30" s="227" t="n"/>
      <c r="C30" s="235" t="inlineStr">
        <is>
          <t>Итого основное оборудование</t>
        </is>
      </c>
      <c r="D30" s="227" t="n"/>
      <c r="E30" s="141" t="n"/>
      <c r="F30" s="237" t="n"/>
      <c r="G30" s="129" t="n">
        <v>0</v>
      </c>
      <c r="H30" s="238" t="n">
        <v>0</v>
      </c>
      <c r="I30" s="91" t="n"/>
      <c r="J30" s="129" t="n">
        <v>0</v>
      </c>
      <c r="K30" s="187" t="n"/>
      <c r="L30" s="187" t="n"/>
    </row>
    <row r="31">
      <c r="A31" s="227" t="n"/>
      <c r="B31" s="227" t="n"/>
      <c r="C31" s="235" t="inlineStr">
        <is>
          <t>Итого прочее оборудование</t>
        </is>
      </c>
      <c r="D31" s="227" t="n"/>
      <c r="E31" s="141" t="n"/>
      <c r="F31" s="237" t="n"/>
      <c r="G31" s="129" t="n">
        <v>0</v>
      </c>
      <c r="H31" s="238" t="n">
        <v>0</v>
      </c>
      <c r="I31" s="91" t="n"/>
      <c r="J31" s="129" t="n">
        <v>0</v>
      </c>
      <c r="K31" s="187" t="n"/>
      <c r="L31" s="187" t="n"/>
    </row>
    <row r="32">
      <c r="A32" s="227" t="n"/>
      <c r="B32" s="227" t="n"/>
      <c r="C32" s="234" t="inlineStr">
        <is>
          <t>Итого по разделу «Оборудование»</t>
        </is>
      </c>
      <c r="D32" s="227" t="n"/>
      <c r="E32" s="236" t="n"/>
      <c r="F32" s="237" t="n"/>
      <c r="G32" s="129">
        <f>G30+G31</f>
        <v/>
      </c>
      <c r="H32" s="238" t="n">
        <v>0</v>
      </c>
      <c r="I32" s="91" t="n"/>
      <c r="J32" s="129">
        <f>J31+J30</f>
        <v/>
      </c>
      <c r="K32" s="187" t="n"/>
      <c r="L32" s="187" t="n"/>
    </row>
    <row r="33" ht="25.5" customHeight="1" s="176">
      <c r="A33" s="227" t="n"/>
      <c r="B33" s="227" t="n"/>
      <c r="C33" s="235" t="inlineStr">
        <is>
          <t>в том числе технологическое оборудование</t>
        </is>
      </c>
      <c r="D33" s="227" t="n"/>
      <c r="E33" s="92" t="n"/>
      <c r="F33" s="237" t="n"/>
      <c r="G33" s="129">
        <f>G32</f>
        <v/>
      </c>
      <c r="H33" s="238" t="n"/>
      <c r="I33" s="91" t="n"/>
      <c r="J33" s="129">
        <f>J32</f>
        <v/>
      </c>
      <c r="K33" s="187" t="n"/>
      <c r="L33" s="187" t="n"/>
    </row>
    <row r="34" ht="14.25" customFormat="1" customHeight="1" s="187">
      <c r="A34" s="227" t="n"/>
      <c r="B34" s="234" t="inlineStr">
        <is>
          <t>Материалы</t>
        </is>
      </c>
      <c r="C34" s="250" t="n"/>
      <c r="D34" s="250" t="n"/>
      <c r="E34" s="250" t="n"/>
      <c r="F34" s="250" t="n"/>
      <c r="G34" s="250" t="n"/>
      <c r="H34" s="251" t="n"/>
      <c r="I34" s="90" t="n"/>
      <c r="J34" s="90" t="n"/>
    </row>
    <row r="35" ht="14.25" customFormat="1" customHeight="1" s="187">
      <c r="A35" s="227" t="n"/>
      <c r="B35" s="230" t="inlineStr">
        <is>
          <t>Основные материалы</t>
        </is>
      </c>
      <c r="C35" s="257" t="n"/>
      <c r="D35" s="257" t="n"/>
      <c r="E35" s="257" t="n"/>
      <c r="F35" s="257" t="n"/>
      <c r="G35" s="257" t="n"/>
      <c r="H35" s="258" t="n"/>
      <c r="I35" s="160" t="n"/>
      <c r="J35" s="160" t="n"/>
    </row>
    <row r="36" ht="42" customFormat="1" customHeight="1" s="187">
      <c r="A36" s="225" t="n">
        <v>9</v>
      </c>
      <c r="B36" s="227" t="inlineStr">
        <is>
          <t>БЦ.105.169</t>
        </is>
      </c>
      <c r="C36" s="235" t="inlineStr">
        <is>
          <t>Провод АСТ 400/64 мм2</t>
        </is>
      </c>
      <c r="D36" s="227" t="inlineStr">
        <is>
          <t>км</t>
        </is>
      </c>
      <c r="E36" s="236" t="n">
        <v>3.09</v>
      </c>
      <c r="F36" s="237">
        <f>ROUND(I36/Прил.10!D13,2)</f>
        <v/>
      </c>
      <c r="G36" s="129">
        <f>ROUND(E36*F36,2)</f>
        <v/>
      </c>
      <c r="H36" s="145">
        <f>G36/G37</f>
        <v/>
      </c>
      <c r="I36" s="129" t="n">
        <v>1358208</v>
      </c>
      <c r="J36" s="129">
        <f>ROUND(I36*E36,2)</f>
        <v/>
      </c>
    </row>
    <row r="37" ht="14.25" customFormat="1" customHeight="1" s="187">
      <c r="A37" s="227" t="n"/>
      <c r="B37" s="161" t="n"/>
      <c r="C37" s="162" t="inlineStr">
        <is>
          <t>Итого основные материалы</t>
        </is>
      </c>
      <c r="D37" s="229" t="n"/>
      <c r="E37" s="164" t="n"/>
      <c r="F37" s="168" t="n"/>
      <c r="G37" s="168">
        <f>G36</f>
        <v/>
      </c>
      <c r="H37" s="167">
        <f>G37/$G$39</f>
        <v/>
      </c>
      <c r="I37" s="168" t="n"/>
      <c r="J37" s="168">
        <f>J36</f>
        <v/>
      </c>
    </row>
    <row r="38" ht="14.25" customFormat="1" customHeight="1" s="187">
      <c r="A38" s="227" t="n"/>
      <c r="B38" s="227" t="n"/>
      <c r="C38" s="235" t="inlineStr">
        <is>
          <t>Итого прочие материалы</t>
        </is>
      </c>
      <c r="D38" s="227" t="n"/>
      <c r="E38" s="236" t="n"/>
      <c r="F38" s="237" t="n"/>
      <c r="G38" s="129" t="n">
        <v>0</v>
      </c>
      <c r="H38" s="145" t="n">
        <v>0</v>
      </c>
      <c r="I38" s="129" t="n"/>
      <c r="J38" s="129" t="n">
        <v>0</v>
      </c>
    </row>
    <row r="39" ht="14.25" customFormat="1" customHeight="1" s="187">
      <c r="A39" s="227" t="n"/>
      <c r="B39" s="227" t="n"/>
      <c r="C39" s="234" t="inlineStr">
        <is>
          <t>Итого по разделу «Материалы»</t>
        </is>
      </c>
      <c r="D39" s="227" t="n"/>
      <c r="E39" s="236" t="n"/>
      <c r="F39" s="237" t="n"/>
      <c r="G39" s="129">
        <f>SUM(G37:G38)</f>
        <v/>
      </c>
      <c r="H39" s="238" t="n">
        <v>0</v>
      </c>
      <c r="I39" s="129" t="n"/>
      <c r="J39" s="129">
        <f>SUM(J37:J38)</f>
        <v/>
      </c>
    </row>
    <row r="40" ht="14.25" customFormat="1" customHeight="1" s="187">
      <c r="A40" s="227" t="n"/>
      <c r="B40" s="227" t="n"/>
      <c r="C40" s="235" t="inlineStr">
        <is>
          <t>ИТОГО ПО РМ</t>
        </is>
      </c>
      <c r="D40" s="227" t="n"/>
      <c r="E40" s="236" t="n"/>
      <c r="F40" s="237" t="n"/>
      <c r="G40" s="129">
        <f>G14+G27+G39</f>
        <v/>
      </c>
      <c r="H40" s="238" t="n"/>
      <c r="I40" s="129" t="n"/>
      <c r="J40" s="129">
        <f>J14+J27+J39</f>
        <v/>
      </c>
    </row>
    <row r="41" ht="14.25" customFormat="1" customHeight="1" s="187">
      <c r="A41" s="227" t="n"/>
      <c r="B41" s="227" t="n"/>
      <c r="C41" s="235" t="inlineStr">
        <is>
          <t>Накладные расходы</t>
        </is>
      </c>
      <c r="D41" s="93">
        <f>ROUND(G41/(G$16+$G$14),2)</f>
        <v/>
      </c>
      <c r="E41" s="236" t="n"/>
      <c r="F41" s="237" t="n"/>
      <c r="G41" s="129" t="n">
        <v>3573.85</v>
      </c>
      <c r="H41" s="238" t="n"/>
      <c r="I41" s="129" t="n"/>
      <c r="J41" s="129">
        <f>ROUND(D41*(J14+J16),2)</f>
        <v/>
      </c>
    </row>
    <row r="42" ht="14.25" customFormat="1" customHeight="1" s="187">
      <c r="A42" s="227" t="n"/>
      <c r="B42" s="227" t="n"/>
      <c r="C42" s="235" t="inlineStr">
        <is>
          <t>Сметная прибыль</t>
        </is>
      </c>
      <c r="D42" s="93">
        <f>ROUND(G42/(G$14+G$16),2)</f>
        <v/>
      </c>
      <c r="E42" s="236" t="n"/>
      <c r="F42" s="237" t="n"/>
      <c r="G42" s="129" t="n">
        <v>2042.2</v>
      </c>
      <c r="H42" s="238" t="n"/>
      <c r="I42" s="129" t="n"/>
      <c r="J42" s="129">
        <f>ROUND(D42*(J14+J16),2)</f>
        <v/>
      </c>
    </row>
    <row r="43" ht="14.25" customFormat="1" customHeight="1" s="187">
      <c r="A43" s="227" t="n"/>
      <c r="B43" s="227" t="n"/>
      <c r="C43" s="235" t="inlineStr">
        <is>
          <t>Итого СМР (с НР и СП)</t>
        </is>
      </c>
      <c r="D43" s="227" t="n"/>
      <c r="E43" s="236" t="n"/>
      <c r="F43" s="237" t="n"/>
      <c r="G43" s="129">
        <f>G14+G27+G39+G41+G42</f>
        <v/>
      </c>
      <c r="H43" s="238" t="n"/>
      <c r="I43" s="129" t="n"/>
      <c r="J43" s="129">
        <f>J14+J27+J39+J41+J42</f>
        <v/>
      </c>
    </row>
    <row r="44" ht="14.25" customFormat="1" customHeight="1" s="187">
      <c r="A44" s="227" t="n"/>
      <c r="B44" s="227" t="n"/>
      <c r="C44" s="235" t="inlineStr">
        <is>
          <t>ВСЕГО СМР + ОБОРУДОВАНИЕ</t>
        </is>
      </c>
      <c r="D44" s="227" t="n"/>
      <c r="E44" s="236" t="n"/>
      <c r="F44" s="237" t="n"/>
      <c r="G44" s="129">
        <f>G43+G32</f>
        <v/>
      </c>
      <c r="H44" s="238" t="n"/>
      <c r="I44" s="129" t="n"/>
      <c r="J44" s="129">
        <f>J43+J32</f>
        <v/>
      </c>
    </row>
    <row r="45" ht="14.25" customFormat="1" customHeight="1" s="187">
      <c r="A45" s="227" t="n"/>
      <c r="B45" s="227" t="n"/>
      <c r="C45" s="235" t="inlineStr">
        <is>
          <t>ИТОГО ПОКАЗАТЕЛЬ НА ЕД. ИЗМ.</t>
        </is>
      </c>
      <c r="D45" s="227" t="inlineStr">
        <is>
          <t>ед.</t>
        </is>
      </c>
      <c r="E45" s="236" t="n">
        <v>1</v>
      </c>
      <c r="F45" s="237" t="n"/>
      <c r="G45" s="129">
        <f>G44/E45</f>
        <v/>
      </c>
      <c r="H45" s="238" t="n"/>
      <c r="I45" s="129" t="n"/>
      <c r="J45" s="129">
        <f>J44/E45</f>
        <v/>
      </c>
    </row>
    <row r="47" ht="14.25" customFormat="1" customHeight="1" s="187">
      <c r="A47" s="177" t="inlineStr">
        <is>
          <t>Составил ______________________    Е. М. Добровольская</t>
        </is>
      </c>
    </row>
    <row r="48" ht="14.25" customFormat="1" customHeight="1" s="187">
      <c r="A48" s="188" t="inlineStr">
        <is>
          <t xml:space="preserve">                         (подпись, инициалы, фамилия)</t>
        </is>
      </c>
    </row>
    <row r="49" ht="14.25" customFormat="1" customHeight="1" s="187">
      <c r="A49" s="177" t="n"/>
    </row>
    <row r="50" ht="14.25" customFormat="1" customHeight="1" s="187">
      <c r="A50" s="177" t="inlineStr">
        <is>
          <t>Проверил ______________________        А.В. Костянецкая</t>
        </is>
      </c>
    </row>
    <row r="51" ht="14.25" customFormat="1" customHeight="1" s="187">
      <c r="A51" s="188" t="inlineStr">
        <is>
          <t xml:space="preserve">                        (подпись, инициалы, фамилия)</t>
        </is>
      </c>
    </row>
  </sheetData>
  <mergeCells count="19">
    <mergeCell ref="H9:H10"/>
    <mergeCell ref="A4:J4"/>
    <mergeCell ref="B15:H15"/>
    <mergeCell ref="H2:J2"/>
    <mergeCell ref="C9:C10"/>
    <mergeCell ref="E9:E10"/>
    <mergeCell ref="B35:H35"/>
    <mergeCell ref="B8:I8"/>
    <mergeCell ref="B9:B10"/>
    <mergeCell ref="D9:D10"/>
    <mergeCell ref="B18:H18"/>
    <mergeCell ref="B12:H12"/>
    <mergeCell ref="F9:G9"/>
    <mergeCell ref="B17:H17"/>
    <mergeCell ref="A9:A10"/>
    <mergeCell ref="B29:H29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176" min="1" max="1"/>
    <col width="17.5703125" customWidth="1" style="176" min="2" max="2"/>
    <col width="39.140625" customWidth="1" style="176" min="3" max="3"/>
    <col width="10.7109375" customWidth="1" style="176" min="4" max="4"/>
    <col width="13.85546875" customWidth="1" style="176" min="5" max="5"/>
    <col width="13.28515625" customWidth="1" style="176" min="6" max="6"/>
    <col width="14.140625" customWidth="1" style="176" min="7" max="7"/>
  </cols>
  <sheetData>
    <row r="1">
      <c r="A1" s="243" t="inlineStr">
        <is>
          <t>Приложение №6</t>
        </is>
      </c>
    </row>
    <row r="2" ht="21.75" customHeight="1" s="176">
      <c r="A2" s="243" t="n"/>
      <c r="B2" s="243" t="n"/>
      <c r="C2" s="243" t="n"/>
      <c r="D2" s="243" t="n"/>
      <c r="E2" s="243" t="n"/>
      <c r="F2" s="243" t="n"/>
      <c r="G2" s="243" t="n"/>
    </row>
    <row r="3">
      <c r="A3" s="220" t="inlineStr">
        <is>
          <t>Расчет стоимости оборудования</t>
        </is>
      </c>
    </row>
    <row r="4" ht="25.5" customHeight="1" s="176">
      <c r="A4" s="224">
        <f>'Прил.1 Сравнит табл'!B7</f>
        <v/>
      </c>
    </row>
    <row r="5">
      <c r="A5" s="177" t="n"/>
      <c r="B5" s="177" t="n"/>
      <c r="C5" s="177" t="n"/>
      <c r="D5" s="177" t="n"/>
      <c r="E5" s="177" t="n"/>
      <c r="F5" s="177" t="n"/>
      <c r="G5" s="177" t="n"/>
    </row>
    <row r="6" ht="30" customHeight="1" s="176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27" t="inlineStr">
        <is>
          <t>Кол-во единиц по проектным данным</t>
        </is>
      </c>
      <c r="F6" s="248" t="inlineStr">
        <is>
          <t>Сметная стоимость в ценах на 01.01.2000 (руб.)</t>
        </is>
      </c>
      <c r="G6" s="251" t="n"/>
    </row>
    <row r="7">
      <c r="A7" s="253" t="n"/>
      <c r="B7" s="253" t="n"/>
      <c r="C7" s="253" t="n"/>
      <c r="D7" s="253" t="n"/>
      <c r="E7" s="253" t="n"/>
      <c r="F7" s="227" t="inlineStr">
        <is>
          <t>на ед. изм.</t>
        </is>
      </c>
      <c r="G7" s="227" t="inlineStr">
        <is>
          <t>общая</t>
        </is>
      </c>
    </row>
    <row r="8">
      <c r="A8" s="227" t="n">
        <v>1</v>
      </c>
      <c r="B8" s="227" t="n">
        <v>2</v>
      </c>
      <c r="C8" s="227" t="n">
        <v>3</v>
      </c>
      <c r="D8" s="227" t="n">
        <v>4</v>
      </c>
      <c r="E8" s="227" t="n">
        <v>5</v>
      </c>
      <c r="F8" s="227" t="n">
        <v>6</v>
      </c>
      <c r="G8" s="227" t="n">
        <v>7</v>
      </c>
    </row>
    <row r="9" ht="15" customHeight="1" s="176">
      <c r="A9" s="190" t="n"/>
      <c r="B9" s="235" t="inlineStr">
        <is>
          <t>ИНЖЕНЕРНОЕ ОБОРУДОВАНИЕ</t>
        </is>
      </c>
      <c r="C9" s="250" t="n"/>
      <c r="D9" s="250" t="n"/>
      <c r="E9" s="250" t="n"/>
      <c r="F9" s="250" t="n"/>
      <c r="G9" s="251" t="n"/>
    </row>
    <row r="10" ht="27" customHeight="1" s="176">
      <c r="A10" s="227" t="n"/>
      <c r="B10" s="234" t="n"/>
      <c r="C10" s="235" t="inlineStr">
        <is>
          <t>ИТОГО ИНЖЕНЕРНОЕ ОБОРУДОВАНИЕ</t>
        </is>
      </c>
      <c r="D10" s="234" t="n"/>
      <c r="E10" s="15" t="n"/>
      <c r="F10" s="237" t="n"/>
      <c r="G10" s="237" t="n">
        <v>0</v>
      </c>
    </row>
    <row r="11">
      <c r="A11" s="227" t="n"/>
      <c r="B11" s="235" t="inlineStr">
        <is>
          <t>ТЕХНОЛОГИЧЕСКОЕ ОБОРУДОВАНИЕ</t>
        </is>
      </c>
      <c r="C11" s="250" t="n"/>
      <c r="D11" s="250" t="n"/>
      <c r="E11" s="250" t="n"/>
      <c r="F11" s="250" t="n"/>
      <c r="G11" s="251" t="n"/>
    </row>
    <row r="12">
      <c r="A12" s="227" t="n"/>
      <c r="B12" s="235" t="n"/>
      <c r="C12" s="235" t="n"/>
      <c r="D12" s="227" t="n"/>
      <c r="E12" s="227" t="n"/>
      <c r="F12" s="237" t="n"/>
      <c r="G12" s="129" t="n"/>
    </row>
    <row r="13" ht="25.5" customHeight="1" s="176">
      <c r="A13" s="227" t="n"/>
      <c r="B13" s="235" t="n"/>
      <c r="C13" s="235" t="inlineStr">
        <is>
          <t>ИТОГО ТЕХНОЛОГИЧЕСКОЕ ОБОРУДОВАНИЕ</t>
        </is>
      </c>
      <c r="D13" s="235" t="n"/>
      <c r="E13" s="247" t="n"/>
      <c r="F13" s="237" t="n"/>
      <c r="G13" s="129">
        <f>SUM(G12:G12)</f>
        <v/>
      </c>
    </row>
    <row r="14" ht="19.5" customHeight="1" s="176">
      <c r="A14" s="227" t="n"/>
      <c r="B14" s="235" t="n"/>
      <c r="C14" s="235" t="inlineStr">
        <is>
          <t>Всего по разделу «Оборудование»</t>
        </is>
      </c>
      <c r="D14" s="235" t="n"/>
      <c r="E14" s="247" t="n"/>
      <c r="F14" s="237" t="n"/>
      <c r="G14" s="129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>
      <c r="A16" s="177" t="inlineStr">
        <is>
          <t>Составил ______________________    Е. М. Добровольская</t>
        </is>
      </c>
      <c r="B16" s="187" t="n"/>
      <c r="C16" s="187" t="n"/>
      <c r="D16" s="185" t="n"/>
      <c r="E16" s="185" t="n"/>
      <c r="F16" s="185" t="n"/>
      <c r="G16" s="185" t="n"/>
    </row>
    <row r="17">
      <c r="A17" s="188" t="inlineStr">
        <is>
          <t xml:space="preserve">                         (подпись, инициалы, фамилия)</t>
        </is>
      </c>
      <c r="B17" s="187" t="n"/>
      <c r="C17" s="187" t="n"/>
      <c r="D17" s="185" t="n"/>
      <c r="E17" s="185" t="n"/>
      <c r="F17" s="185" t="n"/>
      <c r="G17" s="185" t="n"/>
    </row>
    <row r="18">
      <c r="A18" s="177" t="n"/>
      <c r="B18" s="187" t="n"/>
      <c r="C18" s="187" t="n"/>
      <c r="D18" s="185" t="n"/>
      <c r="E18" s="185" t="n"/>
      <c r="F18" s="185" t="n"/>
      <c r="G18" s="185" t="n"/>
    </row>
    <row r="19">
      <c r="A19" s="177" t="inlineStr">
        <is>
          <t>Проверил ______________________        А.В. Костянецкая</t>
        </is>
      </c>
      <c r="B19" s="187" t="n"/>
      <c r="C19" s="187" t="n"/>
      <c r="D19" s="185" t="n"/>
      <c r="E19" s="185" t="n"/>
      <c r="F19" s="185" t="n"/>
      <c r="G19" s="185" t="n"/>
    </row>
    <row r="20">
      <c r="A20" s="188" t="inlineStr">
        <is>
          <t xml:space="preserve">                        (подпись, инициалы, фамилия)</t>
        </is>
      </c>
      <c r="B20" s="187" t="n"/>
      <c r="C20" s="187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76" min="1" max="1"/>
    <col width="29.7109375" customWidth="1" style="176" min="2" max="2"/>
    <col width="35" customWidth="1" style="176" min="3" max="3"/>
    <col width="27.5703125" customWidth="1" style="176" min="4" max="4"/>
    <col width="24.85546875" customWidth="1" style="176" min="5" max="5"/>
    <col width="8.85546875" customWidth="1" style="176" min="6" max="6"/>
  </cols>
  <sheetData>
    <row r="1">
      <c r="B1" s="177" t="n"/>
      <c r="C1" s="177" t="n"/>
      <c r="D1" s="243" t="inlineStr">
        <is>
          <t>Приложение №7</t>
        </is>
      </c>
    </row>
    <row r="2">
      <c r="A2" s="243" t="n"/>
      <c r="B2" s="243" t="n"/>
      <c r="C2" s="243" t="n"/>
      <c r="D2" s="243" t="n"/>
    </row>
    <row r="3" ht="24.75" customHeight="1" s="176">
      <c r="A3" s="220" t="inlineStr">
        <is>
          <t>Расчет показателя УНЦ</t>
        </is>
      </c>
    </row>
    <row r="4" ht="24.75" customHeight="1" s="176">
      <c r="A4" s="220" t="n"/>
      <c r="B4" s="220" t="n"/>
      <c r="C4" s="220" t="n"/>
      <c r="D4" s="220" t="n"/>
    </row>
    <row r="5" ht="51" customHeight="1" s="176">
      <c r="A5" s="224" t="inlineStr">
        <is>
          <t xml:space="preserve">Наименование разрабатываемого показателя УНЦ - </t>
        </is>
      </c>
      <c r="D5" s="224">
        <f>'Прил.5 Расчет СМР и ОБ'!D6</f>
        <v/>
      </c>
    </row>
    <row r="6" ht="19.9" customHeight="1" s="176">
      <c r="A6" s="224">
        <f>'Прил.1 Сравнит табл'!B9</f>
        <v/>
      </c>
      <c r="D6" s="224" t="n"/>
    </row>
    <row r="7">
      <c r="A7" s="177" t="n"/>
      <c r="B7" s="177" t="n"/>
      <c r="C7" s="177" t="n"/>
      <c r="D7" s="177" t="n"/>
    </row>
    <row r="8" ht="14.45" customHeight="1" s="176">
      <c r="A8" s="211" t="inlineStr">
        <is>
          <t>Код показателя</t>
        </is>
      </c>
      <c r="B8" s="211" t="inlineStr">
        <is>
          <t>Наименование показателя</t>
        </is>
      </c>
      <c r="C8" s="211" t="inlineStr">
        <is>
          <t>Наименование РМ, входящих в состав показателя</t>
        </is>
      </c>
      <c r="D8" s="211" t="inlineStr">
        <is>
          <t>Норматив цены на 01.01.2023, тыс.руб.</t>
        </is>
      </c>
    </row>
    <row r="9" ht="15" customHeight="1" s="176">
      <c r="A9" s="253" t="n"/>
      <c r="B9" s="253" t="n"/>
      <c r="C9" s="253" t="n"/>
      <c r="D9" s="253" t="n"/>
    </row>
    <row r="10">
      <c r="A10" s="227" t="n">
        <v>1</v>
      </c>
      <c r="B10" s="227" t="n">
        <v>2</v>
      </c>
      <c r="C10" s="227" t="n">
        <v>3</v>
      </c>
      <c r="D10" s="227" t="n">
        <v>4</v>
      </c>
    </row>
    <row r="11" ht="38.25" customHeight="1" s="176">
      <c r="A11" s="227" t="inlineStr">
        <is>
          <t>Л8-04</t>
        </is>
      </c>
      <c r="B11" s="227" t="inlineStr">
        <is>
          <t>УНЦ провода ВЛ повышенной пропускной способности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77" t="inlineStr">
        <is>
          <t>Составил ______________________        Е.А. Князева</t>
        </is>
      </c>
      <c r="B13" s="187" t="n"/>
      <c r="C13" s="187" t="n"/>
      <c r="D13" s="185" t="n"/>
    </row>
    <row r="14">
      <c r="A14" s="188" t="inlineStr">
        <is>
          <t xml:space="preserve">                         (подпись, инициалы, фамилия)</t>
        </is>
      </c>
      <c r="B14" s="187" t="n"/>
      <c r="C14" s="187" t="n"/>
      <c r="D14" s="185" t="n"/>
    </row>
    <row r="15">
      <c r="A15" s="177" t="n"/>
      <c r="B15" s="187" t="n"/>
      <c r="C15" s="187" t="n"/>
      <c r="D15" s="185" t="n"/>
    </row>
    <row r="16">
      <c r="A16" s="177" t="inlineStr">
        <is>
          <t>Проверил ______________________        А.В. Костянецкая</t>
        </is>
      </c>
      <c r="B16" s="187" t="n"/>
      <c r="C16" s="187" t="n"/>
      <c r="D16" s="185" t="n"/>
    </row>
    <row r="17">
      <c r="A17" s="188" t="inlineStr">
        <is>
          <t xml:space="preserve">                        (подпись, инициалы, фамилия)</t>
        </is>
      </c>
      <c r="B17" s="187" t="n"/>
      <c r="C17" s="187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7" sqref="B27"/>
    </sheetView>
  </sheetViews>
  <sheetFormatPr baseColWidth="8" defaultRowHeight="15"/>
  <cols>
    <col width="9.140625" customWidth="1" style="176" min="1" max="1"/>
    <col width="40.7109375" customWidth="1" style="176" min="2" max="2"/>
    <col width="37" customWidth="1" style="176" min="3" max="3"/>
    <col width="32" customWidth="1" style="176" min="4" max="4"/>
    <col width="9.140625" customWidth="1" style="176" min="5" max="5"/>
  </cols>
  <sheetData>
    <row r="4" ht="15.75" customHeight="1" s="176">
      <c r="B4" s="206" t="inlineStr">
        <is>
          <t>Приложение № 10</t>
        </is>
      </c>
    </row>
    <row r="5" ht="18.75" customHeight="1" s="176">
      <c r="B5" s="50" t="n"/>
    </row>
    <row r="6" ht="15.75" customHeight="1" s="176">
      <c r="B6" s="210" t="inlineStr">
        <is>
          <t>Используемые индексы изменений сметной стоимости и нормы сопутствующих затрат</t>
        </is>
      </c>
    </row>
    <row r="7">
      <c r="B7" s="249" t="inlineStr">
        <is>
          <t>*Стоимость ПНР принята на основании СД ОП</t>
        </is>
      </c>
    </row>
    <row r="8">
      <c r="B8" s="249" t="n"/>
      <c r="C8" s="249" t="n"/>
      <c r="D8" s="249" t="n"/>
      <c r="E8" s="249" t="n"/>
    </row>
    <row r="9" ht="47.25" customHeight="1" s="176">
      <c r="B9" s="211" t="inlineStr">
        <is>
          <t>Наименование индекса / норм сопутствующих затрат</t>
        </is>
      </c>
      <c r="C9" s="211" t="inlineStr">
        <is>
          <t>Дата применения и обоснование индекса / норм сопутствующих затрат</t>
        </is>
      </c>
      <c r="D9" s="211" t="inlineStr">
        <is>
          <t>Размер индекса / норма сопутствующих затрат</t>
        </is>
      </c>
    </row>
    <row r="10" ht="15.75" customHeight="1" s="176">
      <c r="B10" s="211" t="n">
        <v>1</v>
      </c>
      <c r="C10" s="211" t="n">
        <v>2</v>
      </c>
      <c r="D10" s="211" t="n">
        <v>3</v>
      </c>
    </row>
    <row r="11" ht="47.25" customHeight="1" s="176">
      <c r="B11" s="211" t="inlineStr">
        <is>
          <t xml:space="preserve">Индекс изменения сметной стоимости на 1 квартал 2023 года. ОЗП </t>
        </is>
      </c>
      <c r="C11" s="211" t="inlineStr">
        <is>
          <t>Письмо Минстроя России от  01.04.2023г. №17772-ИФ/09  прил.9</t>
        </is>
      </c>
      <c r="D11" s="211" t="n">
        <v>46.83</v>
      </c>
    </row>
    <row r="12" ht="47.25" customHeight="1" s="176">
      <c r="B12" s="211" t="inlineStr">
        <is>
          <t>Индекс изменения сметной стоимости на 1 квартал 2023 года. ЭМ</t>
        </is>
      </c>
      <c r="C12" s="211" t="inlineStr">
        <is>
          <t>Письмо Минстроя России от  01.04.2023г. №17772-ИФ/09  прил.9</t>
        </is>
      </c>
      <c r="D12" s="211" t="n">
        <v>11.96</v>
      </c>
    </row>
    <row r="13" ht="47.25" customHeight="1" s="176">
      <c r="B13" s="211" t="inlineStr">
        <is>
          <t>Индекс изменения сметной стоимости на 1 квартал 2023 года. МАТ</t>
        </is>
      </c>
      <c r="C13" s="211" t="inlineStr">
        <is>
          <t>Письмо Минстроя России от  01.04.2023г. №17772-ИФ/09  прил.9</t>
        </is>
      </c>
      <c r="D13" s="211" t="n">
        <v>9.84</v>
      </c>
    </row>
    <row r="14" ht="31.5" customHeight="1" s="176">
      <c r="B14" s="211" t="inlineStr">
        <is>
          <t>Индекс изменения сметной стоимости на 1 квартал 2023 года. ОБ</t>
        </is>
      </c>
      <c r="C14" s="113" t="inlineStr">
        <is>
          <t>Письмо Минстроя России от 23.02.2023г. №9791-ИФ/09 прил.6</t>
        </is>
      </c>
      <c r="D14" s="211" t="n">
        <v>6.26</v>
      </c>
    </row>
    <row r="15" ht="89.25" customHeight="1" s="176">
      <c r="B15" s="211" t="inlineStr">
        <is>
          <t>Временные здания и сооружения</t>
        </is>
      </c>
      <c r="C15" s="21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53" t="n">
        <v>0.033</v>
      </c>
    </row>
    <row r="16" ht="78.75" customHeight="1" s="176">
      <c r="B16" s="211" t="inlineStr">
        <is>
          <t>Дополнительные затраты при производстве строительно-монтажных работ в зимнее время</t>
        </is>
      </c>
      <c r="C16" s="211" t="inlineStr">
        <is>
          <t xml:space="preserve">п..51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53" t="inlineStr">
        <is>
          <t>\</t>
        </is>
      </c>
    </row>
    <row r="17" ht="15.75" customHeight="1" s="176">
      <c r="B17" s="211" t="n"/>
      <c r="C17" s="211" t="n"/>
      <c r="D17" s="211" t="n"/>
    </row>
    <row r="18" ht="31.5" customHeight="1" s="176">
      <c r="B18" s="211" t="inlineStr">
        <is>
          <t>Строительный контроль</t>
        </is>
      </c>
      <c r="C18" s="211" t="inlineStr">
        <is>
          <t>Постановление Правительства РФ от 21.06.10 г. № 468</t>
        </is>
      </c>
      <c r="D18" s="53" t="n">
        <v>0.0214</v>
      </c>
    </row>
    <row r="19" ht="31.5" customHeight="1" s="176">
      <c r="B19" s="211" t="inlineStr">
        <is>
          <t>Авторский надзор - 0,2%</t>
        </is>
      </c>
      <c r="C19" s="211" t="inlineStr">
        <is>
          <t>Приказ от 4.08.2020 № 421/пр п.173</t>
        </is>
      </c>
      <c r="D19" s="53" t="n">
        <v>0.002</v>
      </c>
    </row>
    <row r="20" ht="24" customHeight="1" s="176">
      <c r="B20" s="211" t="inlineStr">
        <is>
          <t>Непредвиденные расходы</t>
        </is>
      </c>
      <c r="C20" s="211" t="inlineStr">
        <is>
          <t>Приказ от 4.08.2020 № 421/пр п.179</t>
        </is>
      </c>
      <c r="D20" s="53" t="n">
        <v>0.03</v>
      </c>
    </row>
    <row r="21" ht="18.75" customHeight="1" s="176">
      <c r="B21" s="51" t="n"/>
    </row>
    <row r="22" ht="18.75" customHeight="1" s="176">
      <c r="B22" s="51" t="n"/>
    </row>
    <row r="23" ht="18.75" customHeight="1" s="176">
      <c r="B23" s="51" t="n"/>
    </row>
    <row r="24" ht="18.75" customHeight="1" s="176">
      <c r="B24" s="51" t="n"/>
    </row>
    <row r="27">
      <c r="B27" s="177" t="inlineStr">
        <is>
          <t>Составил ______________________        Е.А. Князева</t>
        </is>
      </c>
      <c r="C27" s="187" t="n"/>
    </row>
    <row r="28">
      <c r="B28" s="188" t="inlineStr">
        <is>
          <t xml:space="preserve">                         (подпись, инициалы, фамилия)</t>
        </is>
      </c>
      <c r="C28" s="187" t="n"/>
    </row>
    <row r="29">
      <c r="B29" s="177" t="n"/>
      <c r="C29" s="187" t="n"/>
    </row>
    <row r="30">
      <c r="B30" s="177" t="inlineStr">
        <is>
          <t>Проверил ______________________        А.В. Костянецкая</t>
        </is>
      </c>
      <c r="C30" s="187" t="n"/>
    </row>
    <row r="31">
      <c r="B31" s="188" t="inlineStr">
        <is>
          <t xml:space="preserve">                        (подпись, инициалы, фамилия)</t>
        </is>
      </c>
      <c r="C31" s="1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D12" sqref="D12"/>
    </sheetView>
  </sheetViews>
  <sheetFormatPr baseColWidth="8" defaultRowHeight="15"/>
  <cols>
    <col width="9.140625" customWidth="1" style="176" min="1" max="1"/>
    <col width="44.85546875" customWidth="1" style="176" min="2" max="2"/>
    <col width="13" customWidth="1" style="176" min="3" max="3"/>
    <col width="22.85546875" customWidth="1" style="176" min="4" max="4"/>
    <col width="21.5703125" customWidth="1" style="176" min="5" max="5"/>
    <col width="43.85546875" customWidth="1" style="176" min="6" max="6"/>
    <col width="9.140625" customWidth="1" style="176" min="7" max="7"/>
  </cols>
  <sheetData>
    <row r="2" ht="17.25" customHeight="1" s="176">
      <c r="A2" s="21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6">
      <c r="A4" s="33" t="inlineStr">
        <is>
          <t>Составлен в уровне цен на 01.01.2023 г.</t>
        </is>
      </c>
      <c r="B4" s="34" t="n"/>
      <c r="C4" s="34" t="n"/>
      <c r="D4" s="34" t="n"/>
      <c r="E4" s="34" t="n"/>
      <c r="F4" s="34" t="n"/>
      <c r="G4" s="34" t="n"/>
    </row>
    <row r="5" ht="15.75" customHeight="1" s="176">
      <c r="A5" s="35" t="inlineStr">
        <is>
          <t>№ пп.</t>
        </is>
      </c>
      <c r="B5" s="35" t="inlineStr">
        <is>
          <t>Наименование элемента</t>
        </is>
      </c>
      <c r="C5" s="35" t="inlineStr">
        <is>
          <t>Обозначение</t>
        </is>
      </c>
      <c r="D5" s="35" t="inlineStr">
        <is>
          <t>Формула</t>
        </is>
      </c>
      <c r="E5" s="35" t="inlineStr">
        <is>
          <t>Величина элемента</t>
        </is>
      </c>
      <c r="F5" s="35" t="inlineStr">
        <is>
          <t>Наименования обосновывающих документов</t>
        </is>
      </c>
      <c r="G5" s="34" t="n"/>
    </row>
    <row r="6" ht="15.75" customHeight="1" s="176">
      <c r="A6" s="35" t="n">
        <v>1</v>
      </c>
      <c r="B6" s="35" t="n">
        <v>2</v>
      </c>
      <c r="C6" s="35" t="n">
        <v>3</v>
      </c>
      <c r="D6" s="35" t="n">
        <v>4</v>
      </c>
      <c r="E6" s="35" t="n">
        <v>5</v>
      </c>
      <c r="F6" s="35" t="n">
        <v>6</v>
      </c>
      <c r="G6" s="34" t="n"/>
    </row>
    <row r="7" ht="110.25" customHeight="1" s="176">
      <c r="A7" s="36" t="inlineStr">
        <is>
          <t>1.1</t>
        </is>
      </c>
      <c r="B7" s="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1" t="inlineStr">
        <is>
          <t>С1ср</t>
        </is>
      </c>
      <c r="D7" s="211" t="inlineStr">
        <is>
          <t>-</t>
        </is>
      </c>
      <c r="E7" s="39" t="n">
        <v>47872.94</v>
      </c>
      <c r="F7" s="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" t="n"/>
    </row>
    <row r="8" ht="31.5" customHeight="1" s="176">
      <c r="A8" s="36" t="inlineStr">
        <is>
          <t>1.2</t>
        </is>
      </c>
      <c r="B8" s="40" t="inlineStr">
        <is>
          <t>Среднегодовое нормативное число часов работы одного рабочего в месяц, часы (ч.)</t>
        </is>
      </c>
      <c r="C8" s="211" t="inlineStr">
        <is>
          <t>tср</t>
        </is>
      </c>
      <c r="D8" s="211" t="inlineStr">
        <is>
          <t>1973ч/12мес.</t>
        </is>
      </c>
      <c r="E8" s="39">
        <f>1973/12</f>
        <v/>
      </c>
      <c r="F8" s="40" t="inlineStr">
        <is>
          <t>Производственный календарь 2023 год
(40-часов.неделя)</t>
        </is>
      </c>
      <c r="G8" s="42" t="n"/>
    </row>
    <row r="9" ht="15.75" customHeight="1" s="176">
      <c r="A9" s="36" t="inlineStr">
        <is>
          <t>1.3</t>
        </is>
      </c>
      <c r="B9" s="40" t="inlineStr">
        <is>
          <t>Коэффициент увеличения</t>
        </is>
      </c>
      <c r="C9" s="211" t="inlineStr">
        <is>
          <t>Кув</t>
        </is>
      </c>
      <c r="D9" s="211" t="inlineStr">
        <is>
          <t>-</t>
        </is>
      </c>
      <c r="E9" s="39" t="n">
        <v>1</v>
      </c>
      <c r="F9" s="40" t="n"/>
      <c r="G9" s="42" t="n"/>
    </row>
    <row r="10" ht="15.75" customHeight="1" s="176">
      <c r="A10" s="36" t="inlineStr">
        <is>
          <t>1.4</t>
        </is>
      </c>
      <c r="B10" s="40" t="inlineStr">
        <is>
          <t>Средний разряд работ</t>
        </is>
      </c>
      <c r="C10" s="211" t="n"/>
      <c r="D10" s="211" t="n"/>
      <c r="E10" s="43" t="n">
        <v>4.1</v>
      </c>
      <c r="F10" s="40" t="inlineStr">
        <is>
          <t>РТМ</t>
        </is>
      </c>
      <c r="G10" s="42" t="n"/>
    </row>
    <row r="11" ht="78.75" customHeight="1" s="176">
      <c r="A11" s="36" t="inlineStr">
        <is>
          <t>1.5</t>
        </is>
      </c>
      <c r="B11" s="40" t="inlineStr">
        <is>
          <t>Тарифный коэффициент среднего разряда работ</t>
        </is>
      </c>
      <c r="C11" s="211" t="inlineStr">
        <is>
          <t>КТ</t>
        </is>
      </c>
      <c r="D11" s="211" t="inlineStr">
        <is>
          <t>-</t>
        </is>
      </c>
      <c r="E11" s="44" t="n">
        <v>1.359</v>
      </c>
      <c r="F11" s="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" t="n"/>
    </row>
    <row r="12" ht="78.75" customHeight="1" s="176">
      <c r="A12" s="36" t="inlineStr">
        <is>
          <t>1.6</t>
        </is>
      </c>
      <c r="B12" s="193" t="inlineStr">
        <is>
          <t>Коэффициент инфляции, определяемый поквартально</t>
        </is>
      </c>
      <c r="C12" s="211" t="inlineStr">
        <is>
          <t>Кинф</t>
        </is>
      </c>
      <c r="D12" s="211" t="inlineStr">
        <is>
          <t>-</t>
        </is>
      </c>
      <c r="E12" s="46" t="n">
        <v>1.139</v>
      </c>
      <c r="F12" s="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4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6">
      <c r="A13" s="36" t="inlineStr">
        <is>
          <t>1.7</t>
        </is>
      </c>
      <c r="B13" s="48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49">
        <f>((E7*E9/E8)*E11)*E12</f>
        <v/>
      </c>
      <c r="F13" s="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2025-01-24T12:10:46Z</dcterms:modified>
  <cp:lastModifiedBy>Виктор Плотников</cp:lastModifiedBy>
  <cp:lastPrinted>2023-11-26T13:06:34Z</cp:lastPrinted>
</cp:coreProperties>
</file>