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  <numFmt numFmtId="171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00"/>
      <sz val="11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2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pivotButton="0" quotePrefix="0" xfId="0"/>
    <xf numFmtId="0" fontId="17" fillId="0" borderId="1" applyAlignment="1" pivotButton="0" quotePrefix="1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167" fontId="17" fillId="0" borderId="1" applyAlignment="1" pivotButton="0" quotePrefix="0" xfId="0">
      <alignment horizontal="right" vertical="center"/>
    </xf>
    <xf numFmtId="167" fontId="17" fillId="0" borderId="1" applyAlignment="1" pivotButton="0" quotePrefix="0" xfId="0">
      <alignment horizontal="right" vertical="center" wrapText="1"/>
    </xf>
    <xf numFmtId="167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3" fontId="0" fillId="0" borderId="0" pivotButton="0" quotePrefix="0" xfId="0"/>
    <xf numFmtId="2" fontId="2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justify" vertical="center" wrapText="1"/>
    </xf>
    <xf numFmtId="2" fontId="24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2" fontId="24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9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tabSelected="1" view="pageBreakPreview" topLeftCell="A19" zoomScale="60" zoomScaleNormal="100" workbookViewId="0">
      <selection activeCell="C30" sqref="C30"/>
    </sheetView>
  </sheetViews>
  <sheetFormatPr baseColWidth="8" defaultRowHeight="15"/>
  <cols>
    <col width="36.85546875" customWidth="1" style="327" min="3" max="3"/>
    <col width="43.85546875" customWidth="1" style="327" min="4" max="4"/>
  </cols>
  <sheetData>
    <row r="3" ht="15.75" customHeight="1" s="327">
      <c r="B3" s="350" t="inlineStr">
        <is>
          <t>Приложение № 1</t>
        </is>
      </c>
    </row>
    <row r="4" ht="18.75" customHeight="1" s="327">
      <c r="B4" s="351" t="inlineStr">
        <is>
          <t>Сравнительная таблица отбора объекта-представителя</t>
        </is>
      </c>
    </row>
    <row r="5" ht="84" customHeight="1" s="32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165" t="n"/>
      <c r="C6" s="165" t="n"/>
      <c r="D6" s="165" t="n"/>
    </row>
    <row r="7" ht="42" customHeight="1" s="327">
      <c r="B7" s="349" t="inlineStr">
        <is>
          <t>Наименование разрабатываемого показателя УНЦ — УНЦ устройства лежневых дорог</t>
        </is>
      </c>
    </row>
    <row r="8" ht="31.5" customHeight="1" s="327">
      <c r="B8" s="349" t="inlineStr">
        <is>
          <t>Сопоставимый уровень цен: 1 кв. 2012 г</t>
        </is>
      </c>
    </row>
    <row r="9" ht="15.75" customHeight="1" s="327">
      <c r="B9" s="349" t="inlineStr">
        <is>
          <t>Единица измерения  — 1 км</t>
        </is>
      </c>
    </row>
    <row r="10" ht="18.75" customHeight="1" s="327">
      <c r="B10" s="194" t="n"/>
    </row>
    <row r="11" ht="15.75" customHeight="1" s="327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>Объект-представитель</t>
        </is>
      </c>
    </row>
    <row r="12" ht="41.25" customHeight="1" s="327">
      <c r="B12" s="368" t="n">
        <v>1</v>
      </c>
      <c r="C12" s="310" t="inlineStr">
        <is>
          <t>Наименование объекта-представителя</t>
        </is>
      </c>
      <c r="D12" s="368" t="inlineStr">
        <is>
          <t>ВЛ 220 кВ Уренгойская ГРЭС - Мангазея №1, 2</t>
        </is>
      </c>
    </row>
    <row r="13" ht="31.5" customHeight="1" s="327">
      <c r="B13" s="368" t="n">
        <v>2</v>
      </c>
      <c r="C13" s="310" t="inlineStr">
        <is>
          <t>Наименование субъекта Российской Федерации</t>
        </is>
      </c>
      <c r="D13" s="368" t="inlineStr">
        <is>
          <t>ЯНАО, Тюменская область</t>
        </is>
      </c>
    </row>
    <row r="14" ht="15.75" customHeight="1" s="327">
      <c r="B14" s="368" t="n">
        <v>3</v>
      </c>
      <c r="C14" s="310" t="inlineStr">
        <is>
          <t>Климатический район и подрайон</t>
        </is>
      </c>
      <c r="D14" s="368" t="inlineStr">
        <is>
          <t>IБ</t>
        </is>
      </c>
    </row>
    <row r="15" ht="15.75" customHeight="1" s="327">
      <c r="B15" s="368" t="n">
        <v>4</v>
      </c>
      <c r="C15" s="310" t="inlineStr">
        <is>
          <t>Мощность объекта</t>
        </is>
      </c>
      <c r="D15" s="368" t="n">
        <v>213.5</v>
      </c>
    </row>
    <row r="16" ht="126" customHeight="1" s="327">
      <c r="B16" s="368" t="n">
        <v>5</v>
      </c>
      <c r="C16" s="3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Протяженность трассы ВЛ -213,5 км
Рубка леса - 1023,76  га
Площадь отвода земельного участка (временный) - 2269,9092 га
Ширина полосы - 102 м
Площадь отвода земельного участка (постоянный) - 8,4182 *0,046848 - под пункты обогрева) га</t>
        </is>
      </c>
    </row>
    <row r="17" ht="78.75" customHeight="1" s="327">
      <c r="B17" s="368" t="n">
        <v>6</v>
      </c>
      <c r="C17" s="3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D18+D21</f>
        <v/>
      </c>
    </row>
    <row r="18" ht="15.75" customHeight="1" s="327">
      <c r="B18" s="170" t="inlineStr">
        <is>
          <t>6.1</t>
        </is>
      </c>
      <c r="C18" s="310" t="inlineStr">
        <is>
          <t>строительно-монтажные работы</t>
        </is>
      </c>
      <c r="D18" s="324">
        <f>'Прил.2 Расч стоим'!F13+'Прил.2 Расч стоим'!G13</f>
        <v/>
      </c>
    </row>
    <row r="19" ht="15.75" customHeight="1" s="327">
      <c r="B19" s="170" t="inlineStr">
        <is>
          <t>6.2</t>
        </is>
      </c>
      <c r="C19" s="310" t="inlineStr">
        <is>
          <t>оборудование и инвентарь</t>
        </is>
      </c>
      <c r="D19" s="324" t="n">
        <v>0</v>
      </c>
    </row>
    <row r="20" ht="15.75" customHeight="1" s="327">
      <c r="B20" s="170" t="inlineStr">
        <is>
          <t>6.3</t>
        </is>
      </c>
      <c r="C20" s="310" t="inlineStr">
        <is>
          <t>пусконаладочные работы</t>
        </is>
      </c>
      <c r="D20" s="324" t="n">
        <v>0</v>
      </c>
    </row>
    <row r="21" ht="15.75" customHeight="1" s="327">
      <c r="B21" s="170" t="inlineStr">
        <is>
          <t>6.4</t>
        </is>
      </c>
      <c r="C21" s="310" t="inlineStr">
        <is>
          <t>прочие и лимитированные затраты</t>
        </is>
      </c>
      <c r="D21" s="324">
        <f>'Прил.2 Расч стоим'!I14</f>
        <v/>
      </c>
    </row>
    <row r="22" ht="15.75" customHeight="1" s="327">
      <c r="B22" s="368" t="n">
        <v>7</v>
      </c>
      <c r="C22" s="310" t="inlineStr">
        <is>
          <t>Сопоставимый уровень цен</t>
        </is>
      </c>
      <c r="D22" s="319" t="inlineStr">
        <is>
          <t>1 кв. 2012 г</t>
        </is>
      </c>
    </row>
    <row r="23" ht="110.25" customHeight="1" s="327">
      <c r="B23" s="355" t="n">
        <v>8</v>
      </c>
      <c r="C23" s="3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</row>
    <row r="24" ht="61.5" customHeight="1" s="327">
      <c r="B24" s="368" t="n">
        <v>9</v>
      </c>
      <c r="C24" s="323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</row>
    <row r="25" ht="37.5" customHeight="1" s="327">
      <c r="B25" s="172" t="n"/>
      <c r="C25" s="173" t="n"/>
      <c r="D25" s="173" t="n"/>
    </row>
    <row r="26">
      <c r="B26" s="328" t="inlineStr">
        <is>
          <t>Составил ______________________        А.П. Николаева</t>
        </is>
      </c>
      <c r="C26" s="338" t="n"/>
    </row>
    <row r="27">
      <c r="B27" s="339" t="inlineStr">
        <is>
          <t xml:space="preserve">                         (подпись, инициалы, фамилия)</t>
        </is>
      </c>
      <c r="C27" s="338" t="n"/>
    </row>
    <row r="28">
      <c r="B28" s="328" t="n"/>
      <c r="C28" s="338" t="n"/>
    </row>
    <row r="29">
      <c r="B29" s="328" t="inlineStr">
        <is>
          <t>Проверил ______________________        А.В. Костянецкая</t>
        </is>
      </c>
      <c r="C29" s="338" t="n"/>
    </row>
    <row r="30">
      <c r="B30" s="339" t="inlineStr">
        <is>
          <t xml:space="preserve">                        (подпись, инициалы, фамилия)</t>
        </is>
      </c>
      <c r="C30" s="338" t="n"/>
    </row>
    <row r="31" ht="15.75" customHeight="1" s="327">
      <c r="B31" s="173" t="n"/>
      <c r="C31" s="173" t="n"/>
      <c r="D31" s="17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13" zoomScale="60" zoomScaleNormal="100" workbookViewId="0">
      <selection activeCell="E17" sqref="E17"/>
    </sheetView>
  </sheetViews>
  <sheetFormatPr baseColWidth="8" defaultRowHeight="15"/>
  <cols>
    <col width="5.5703125" customWidth="1" style="327" min="1" max="1"/>
    <col width="35.28515625" customWidth="1" style="327" min="3" max="3"/>
    <col width="13.85546875" customWidth="1" style="327" min="4" max="4"/>
    <col width="17.42578125" customWidth="1" style="327" min="5" max="5"/>
    <col width="14.28515625" customWidth="1" style="327" min="6" max="6"/>
    <col width="14.85546875" customWidth="1" style="327" min="7" max="7"/>
    <col width="16.7109375" customWidth="1" style="327" min="8" max="8"/>
    <col width="13" customWidth="1" style="327" min="9" max="9"/>
    <col width="14.28515625" customWidth="1" style="327" min="10" max="10"/>
    <col hidden="1" width="18" customWidth="1" style="327" min="11" max="11"/>
  </cols>
  <sheetData>
    <row r="3" ht="15.75" customHeight="1" s="327">
      <c r="B3" s="350" t="inlineStr">
        <is>
          <t>Приложение № 2</t>
        </is>
      </c>
    </row>
    <row r="4" ht="15.75" customHeight="1" s="327">
      <c r="B4" s="354" t="inlineStr">
        <is>
          <t>Расчет стоимости основных видов работ для выбора объекта-представителя</t>
        </is>
      </c>
    </row>
    <row r="5" ht="15.75" customHeight="1" s="327">
      <c r="B5" s="174" t="n"/>
      <c r="C5" s="174" t="n"/>
      <c r="D5" s="174" t="n"/>
      <c r="E5" s="174" t="n"/>
      <c r="F5" s="174" t="n"/>
      <c r="G5" s="174" t="n"/>
      <c r="H5" s="174" t="n"/>
      <c r="I5" s="174" t="n"/>
      <c r="J5" s="174" t="n"/>
      <c r="K5" s="174" t="n"/>
    </row>
    <row r="6" ht="15.75" customHeight="1" s="327">
      <c r="B6" s="349" t="inlineStr">
        <is>
          <t>Наименование разрабатываемого показателя УНЦ — УНЦ устройства лежневых дорог</t>
        </is>
      </c>
    </row>
    <row r="7" ht="15.75" customHeight="1" s="327">
      <c r="B7" s="349" t="inlineStr">
        <is>
          <t>Единица измерения  — 1 км</t>
        </is>
      </c>
    </row>
    <row r="8" ht="18.75" customHeight="1" s="327">
      <c r="B8" s="194" t="n"/>
    </row>
    <row r="9" ht="15.75" customHeight="1" s="327"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7">
      <c r="B10" s="441" t="n"/>
      <c r="C10" s="441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1 кв. 2012 г., тыс. руб.</t>
        </is>
      </c>
      <c r="G10" s="439" t="n"/>
      <c r="H10" s="439" t="n"/>
      <c r="I10" s="439" t="n"/>
      <c r="J10" s="440" t="n"/>
    </row>
    <row r="11" ht="31.5" customHeight="1" s="327">
      <c r="B11" s="442" t="n"/>
      <c r="C11" s="442" t="n"/>
      <c r="D11" s="442" t="n"/>
      <c r="E11" s="442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</row>
    <row r="12" ht="173.25" customHeight="1" s="327">
      <c r="B12" s="308" t="n">
        <v>1</v>
      </c>
      <c r="C12" s="356">
        <f>'Прил.1 Сравнит табл'!D16</f>
        <v/>
      </c>
      <c r="D12" s="309" t="inlineStr">
        <is>
          <t xml:space="preserve">8-1-7.1 </t>
        </is>
      </c>
      <c r="E12" s="310" t="inlineStr">
        <is>
          <t>Лежневая дорога</t>
        </is>
      </c>
      <c r="F12" s="311" t="n">
        <v>1416904.8985</v>
      </c>
      <c r="G12" s="311" t="n"/>
      <c r="H12" s="311" t="n">
        <v>0</v>
      </c>
      <c r="I12" s="311" t="n"/>
      <c r="J12" s="312">
        <f>SUM(F12:I12)</f>
        <v/>
      </c>
    </row>
    <row r="13" ht="15.75" customHeight="1" s="327">
      <c r="B13" s="353" t="inlineStr">
        <is>
          <t>Всего по объекту:</t>
        </is>
      </c>
      <c r="C13" s="439" t="n"/>
      <c r="D13" s="439" t="n"/>
      <c r="E13" s="440" t="n"/>
      <c r="F13" s="314">
        <f>SUM(F12:F12)</f>
        <v/>
      </c>
      <c r="G13" s="314">
        <f>SUM(G12:G12)</f>
        <v/>
      </c>
      <c r="H13" s="314">
        <f>SUM(H12:H12)</f>
        <v/>
      </c>
      <c r="I13" s="314" t="n"/>
      <c r="J13" s="314">
        <f>SUM(F13:I13)</f>
        <v/>
      </c>
    </row>
    <row r="14" ht="15.75" customHeight="1" s="327">
      <c r="B14" s="353" t="inlineStr">
        <is>
          <t>Всего по объекту в сопоставимом уровне цен 1 кв. 2012г:</t>
        </is>
      </c>
      <c r="C14" s="439" t="n"/>
      <c r="D14" s="439" t="n"/>
      <c r="E14" s="440" t="n"/>
      <c r="F14" s="314">
        <f>F13</f>
        <v/>
      </c>
      <c r="G14" s="314">
        <f>G13</f>
        <v/>
      </c>
      <c r="H14" s="314">
        <f>H13</f>
        <v/>
      </c>
      <c r="I14" s="314">
        <f>(F14+G14)*3.3%+((F14+G14)*3.3%+F14+G14)*1.7%*1.3*1.05</f>
        <v/>
      </c>
      <c r="J14" s="314">
        <f>SUM(F14:I14)</f>
        <v/>
      </c>
    </row>
    <row r="15" ht="18.75" customHeight="1" s="327">
      <c r="B15" s="194" t="n"/>
    </row>
    <row r="18">
      <c r="C18" s="328" t="inlineStr">
        <is>
          <t>Составил ______________________        А.П. Николаева</t>
        </is>
      </c>
      <c r="D18" s="338" t="n"/>
      <c r="F18" s="206" t="n"/>
      <c r="G18" s="317" t="n"/>
    </row>
    <row r="19">
      <c r="C19" s="339" t="inlineStr">
        <is>
          <t xml:space="preserve">                         (подпись, инициалы, фамилия)</t>
        </is>
      </c>
      <c r="D19" s="338" t="n"/>
      <c r="F19" s="206" t="n"/>
      <c r="G19" s="317" t="n"/>
    </row>
    <row r="20">
      <c r="C20" s="328" t="n"/>
      <c r="D20" s="338" t="n"/>
      <c r="F20" s="206" t="n"/>
      <c r="G20" s="317" t="n"/>
    </row>
    <row r="21">
      <c r="C21" s="328" t="inlineStr">
        <is>
          <t>Проверил ______________________        А.В. Костянецкая</t>
        </is>
      </c>
      <c r="D21" s="338" t="n"/>
      <c r="F21" s="206" t="n"/>
      <c r="G21" s="317" t="n"/>
    </row>
    <row r="22">
      <c r="C22" s="339" t="inlineStr">
        <is>
          <t xml:space="preserve">                        (подпись, инициалы, фамилия)</t>
        </is>
      </c>
      <c r="D22" s="33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7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3" zoomScale="118" zoomScaleSheetLayoutView="118" workbookViewId="0">
      <selection activeCell="D182" sqref="D182"/>
    </sheetView>
  </sheetViews>
  <sheetFormatPr baseColWidth="8" defaultRowHeight="15"/>
  <cols>
    <col width="8.5703125" customWidth="1" style="327" min="1" max="1"/>
    <col width="12.85546875" customWidth="1" style="327" min="2" max="2"/>
    <col width="16.85546875" customWidth="1" style="327" min="3" max="3"/>
    <col width="49.85546875" customWidth="1" style="327" min="4" max="4"/>
    <col width="12.28515625" customWidth="1" style="327" min="5" max="5"/>
    <col width="19.85546875" customWidth="1" style="327" min="6" max="6"/>
    <col width="17.85546875" customWidth="1" style="327" min="7" max="7"/>
    <col width="19.42578125" customWidth="1" style="256" min="8" max="8"/>
  </cols>
  <sheetData>
    <row r="2" ht="15.75" customHeight="1" s="327">
      <c r="A2" s="350" t="inlineStr">
        <is>
          <t xml:space="preserve">Приложение № 3 </t>
        </is>
      </c>
    </row>
    <row r="3" ht="18.75" customHeight="1" s="327">
      <c r="A3" s="351" t="inlineStr">
        <is>
          <t>Объектная ресурсная ведомость</t>
        </is>
      </c>
    </row>
    <row r="4" ht="25.5" customHeight="1" s="327">
      <c r="B4" s="326" t="n"/>
      <c r="C4" s="370" t="n"/>
    </row>
    <row r="5" ht="15.75" customHeight="1" s="327">
      <c r="C5" s="238" t="n"/>
      <c r="D5" s="238" t="n"/>
      <c r="E5" s="238" t="n"/>
      <c r="F5" s="238" t="n"/>
      <c r="G5" s="238" t="n"/>
      <c r="H5" s="239" t="n"/>
    </row>
    <row r="6" ht="15" customHeight="1" s="327">
      <c r="A6" s="367" t="inlineStr">
        <is>
          <t>Наименование разрабатываемого показателя УНЦ — УНЦ устройства лежневых дорог</t>
        </is>
      </c>
      <c r="G6" s="240" t="n"/>
      <c r="H6" s="241" t="n"/>
    </row>
    <row r="7" ht="14.25" customHeight="1" s="327">
      <c r="G7" s="240" t="n"/>
      <c r="H7" s="241" t="n"/>
    </row>
    <row r="8" ht="15.75" customHeight="1" s="327">
      <c r="C8" s="242" t="n"/>
      <c r="D8" s="260" t="n"/>
      <c r="E8" s="261" t="n"/>
      <c r="F8" s="259" t="n"/>
      <c r="G8" s="262" t="n"/>
      <c r="H8" s="247" t="n"/>
    </row>
    <row r="9" ht="38.25" customHeight="1" s="327">
      <c r="A9" s="368" t="inlineStr">
        <is>
          <t>п/п</t>
        </is>
      </c>
      <c r="B9" s="368" t="inlineStr">
        <is>
          <t>№ЛСР</t>
        </is>
      </c>
      <c r="C9" s="368" t="inlineStr">
        <is>
          <t>Код ресурса</t>
        </is>
      </c>
      <c r="D9" s="368" t="inlineStr">
        <is>
          <t>Наименование ресурса</t>
        </is>
      </c>
      <c r="E9" s="368" t="inlineStr">
        <is>
          <t>Ед. изм.</t>
        </is>
      </c>
      <c r="F9" s="368" t="inlineStr">
        <is>
          <t>Кол-во единиц по данным объекта-представителя</t>
        </is>
      </c>
      <c r="G9" s="368" t="inlineStr">
        <is>
          <t>Сметная стоимость в ценах на 01.01.2000 (руб.)</t>
        </is>
      </c>
      <c r="H9" s="440" t="n"/>
    </row>
    <row r="10" ht="40.5" customHeight="1" s="327">
      <c r="A10" s="442" t="n"/>
      <c r="B10" s="442" t="n"/>
      <c r="C10" s="442" t="n"/>
      <c r="D10" s="442" t="n"/>
      <c r="E10" s="442" t="n"/>
      <c r="F10" s="442" t="n"/>
      <c r="G10" s="368" t="inlineStr">
        <is>
          <t>на ед.изм.</t>
        </is>
      </c>
      <c r="H10" s="368" t="inlineStr">
        <is>
          <t>общая</t>
        </is>
      </c>
    </row>
    <row r="11" ht="15.75" customHeight="1" s="327">
      <c r="A11" s="368" t="n">
        <v>1</v>
      </c>
      <c r="B11" s="248" t="n"/>
      <c r="C11" s="368" t="n">
        <v>2</v>
      </c>
      <c r="D11" s="368" t="inlineStr">
        <is>
          <t>З</t>
        </is>
      </c>
      <c r="E11" s="368" t="n">
        <v>4</v>
      </c>
      <c r="F11" s="368" t="n">
        <v>5</v>
      </c>
      <c r="G11" s="248" t="n">
        <v>6</v>
      </c>
      <c r="H11" s="248" t="n">
        <v>7</v>
      </c>
    </row>
    <row r="12" ht="15" customHeight="1" s="327">
      <c r="A12" s="365" t="inlineStr">
        <is>
          <t>Затраты труда рабочих</t>
        </is>
      </c>
      <c r="B12" s="439" t="n"/>
      <c r="C12" s="439" t="n"/>
      <c r="D12" s="440" t="n"/>
      <c r="E12" s="249" t="n"/>
      <c r="F12" s="280">
        <f>SUM(F13:F14)</f>
        <v/>
      </c>
      <c r="G12" s="249" t="n"/>
      <c r="H12" s="281">
        <f>SUM(H13:H14)</f>
        <v/>
      </c>
    </row>
    <row r="13" ht="15" customHeight="1" s="327">
      <c r="A13" s="294" t="inlineStr">
        <is>
          <t>1</t>
        </is>
      </c>
      <c r="B13" s="294" t="n"/>
      <c r="C13" s="294" t="inlineStr">
        <is>
          <t>1-3-8</t>
        </is>
      </c>
      <c r="D13" s="373" t="inlineStr">
        <is>
          <t>Затраты труда рабочих (ср 3,8)</t>
        </is>
      </c>
      <c r="E13" s="292" t="inlineStr">
        <is>
          <t>чел.час</t>
        </is>
      </c>
      <c r="F13" s="287" t="n">
        <v>1035295.63</v>
      </c>
      <c r="G13" s="253" t="n">
        <v>9.4</v>
      </c>
      <c r="H13" s="284">
        <f>ROUND(F13*G13,2)</f>
        <v/>
      </c>
    </row>
    <row r="14" ht="15" customHeight="1" s="327">
      <c r="A14" s="294" t="inlineStr">
        <is>
          <t>2</t>
        </is>
      </c>
      <c r="B14" s="294" t="n"/>
      <c r="C14" s="294" t="inlineStr">
        <is>
          <t>1-2-8</t>
        </is>
      </c>
      <c r="D14" s="373" t="inlineStr">
        <is>
          <t>Затраты труда рабочих (ср 2,8)</t>
        </is>
      </c>
      <c r="E14" s="292" t="inlineStr">
        <is>
          <t>чел.час</t>
        </is>
      </c>
      <c r="F14" s="287" t="n">
        <v>266682.3</v>
      </c>
      <c r="G14" s="253" t="n">
        <v>8.380000000000001</v>
      </c>
      <c r="H14" s="284">
        <f>ROUND(F14*G14,2)</f>
        <v/>
      </c>
    </row>
    <row r="15">
      <c r="A15" s="443" t="inlineStr">
        <is>
          <t>Затраты труда машинистов</t>
        </is>
      </c>
      <c r="B15" s="444" t="n"/>
      <c r="C15" s="444" t="n"/>
      <c r="D15" s="445" t="n"/>
      <c r="E15" s="393" t="n"/>
      <c r="F15" s="298" t="n"/>
      <c r="G15" s="253" t="n"/>
      <c r="H15" s="282">
        <f>H16</f>
        <v/>
      </c>
    </row>
    <row r="16">
      <c r="A16" s="294">
        <f>A14+1</f>
        <v/>
      </c>
      <c r="B16" s="275" t="n"/>
      <c r="C16" s="294" t="n">
        <v>2</v>
      </c>
      <c r="D16" s="373" t="inlineStr">
        <is>
          <t>Затраты труда машинистов</t>
        </is>
      </c>
      <c r="E16" s="374" t="inlineStr">
        <is>
          <t>чел.час</t>
        </is>
      </c>
      <c r="F16" s="296" t="n">
        <v>19169.95</v>
      </c>
      <c r="G16" s="392" t="n"/>
      <c r="H16" s="297" t="n">
        <v>241926.65</v>
      </c>
    </row>
    <row r="17" ht="15" customHeight="1" s="327">
      <c r="A17" s="365" t="inlineStr">
        <is>
          <t>Машины и механизмы</t>
        </is>
      </c>
      <c r="B17" s="439" t="n"/>
      <c r="C17" s="439" t="n"/>
      <c r="D17" s="440" t="n"/>
      <c r="E17" s="249" t="n"/>
      <c r="F17" s="249" t="n"/>
      <c r="G17" s="249" t="n"/>
      <c r="H17" s="283">
        <f>SUM(H18:H21)</f>
        <v/>
      </c>
    </row>
    <row r="18">
      <c r="A18" s="374">
        <f>A16+1</f>
        <v/>
      </c>
      <c r="B18" s="294" t="n"/>
      <c r="C18" s="294" t="inlineStr">
        <is>
          <t>91.05.05-014</t>
        </is>
      </c>
      <c r="D18" s="373" t="inlineStr">
        <is>
          <t>Краны на автомобильном ходу, грузоподъемность 10 т</t>
        </is>
      </c>
      <c r="E18" s="374" t="inlineStr">
        <is>
          <t>маш.час</t>
        </is>
      </c>
      <c r="F18" s="374" t="n">
        <v>6580.64</v>
      </c>
      <c r="G18" s="376" t="n">
        <v>111.99</v>
      </c>
      <c r="H18" s="284">
        <f>ROUND(F18*G18,2)</f>
        <v/>
      </c>
    </row>
    <row r="19">
      <c r="A19" s="374">
        <f>A18+1</f>
        <v/>
      </c>
      <c r="B19" s="294" t="n"/>
      <c r="C19" s="294" t="inlineStr">
        <is>
          <t>91.14.02-001</t>
        </is>
      </c>
      <c r="D19" s="373" t="inlineStr">
        <is>
          <t>Автомобили бортовые, грузоподъемность: до 5 т</t>
        </is>
      </c>
      <c r="E19" s="374" t="inlineStr">
        <is>
          <t>маш.час</t>
        </is>
      </c>
      <c r="F19" s="374" t="n">
        <v>8877.73</v>
      </c>
      <c r="G19" s="376" t="n">
        <v>65.70999999999999</v>
      </c>
      <c r="H19" s="284">
        <f>ROUND(F19*G19,2)</f>
        <v/>
      </c>
    </row>
    <row r="20" ht="25.5" customHeight="1" s="327">
      <c r="A20" s="374">
        <f>A19+1</f>
        <v/>
      </c>
      <c r="B20" s="294" t="n"/>
      <c r="C20" s="294" t="inlineStr">
        <is>
          <t>91.15.02-023</t>
        </is>
      </c>
      <c r="D20" s="373" t="inlineStr">
        <is>
          <t>Тракторы на гусеничном ходу, мощность 59 кВт (80 л.с.)</t>
        </is>
      </c>
      <c r="E20" s="374" t="inlineStr">
        <is>
          <t>маш.час</t>
        </is>
      </c>
      <c r="F20" s="374" t="n">
        <v>2323.81</v>
      </c>
      <c r="G20" s="376" t="n">
        <v>77.2</v>
      </c>
      <c r="H20" s="284">
        <f>ROUND(F20*G20,2)</f>
        <v/>
      </c>
    </row>
    <row r="21" ht="25.5" customHeight="1" s="327">
      <c r="A21" s="374">
        <f>A20+1</f>
        <v/>
      </c>
      <c r="B21" s="294" t="n"/>
      <c r="C21" s="294" t="inlineStr">
        <is>
          <t>91.01.02-004</t>
        </is>
      </c>
      <c r="D21" s="373" t="inlineStr">
        <is>
          <t>Автогрейдеры: среднего типа, мощность 99 кВт (135 л.с.)</t>
        </is>
      </c>
      <c r="E21" s="374" t="inlineStr">
        <is>
          <t>маш.час</t>
        </is>
      </c>
      <c r="F21" s="374" t="n">
        <v>1387.77</v>
      </c>
      <c r="G21" s="376" t="n">
        <v>123</v>
      </c>
      <c r="H21" s="284">
        <f>ROUND(F21*G21,2)</f>
        <v/>
      </c>
    </row>
    <row r="22" ht="15" customHeight="1" s="327">
      <c r="A22" s="366" t="inlineStr">
        <is>
          <t>Оборудование</t>
        </is>
      </c>
      <c r="B22" s="439" t="n"/>
      <c r="C22" s="439" t="n"/>
      <c r="D22" s="440" t="n"/>
      <c r="E22" s="254" t="n"/>
      <c r="F22" s="255" t="n"/>
      <c r="G22" s="253" t="n"/>
      <c r="H22" s="289">
        <f>SUM(H23:H23)</f>
        <v/>
      </c>
    </row>
    <row r="23" ht="15" customHeight="1" s="327">
      <c r="A23" s="374" t="n"/>
      <c r="B23" s="366" t="n"/>
      <c r="C23" s="294" t="n"/>
      <c r="D23" s="299" t="n"/>
      <c r="E23" s="393" t="n"/>
      <c r="F23" s="393" t="n"/>
      <c r="G23" s="376" t="n"/>
      <c r="H23" s="284" t="n"/>
    </row>
    <row r="24" ht="15" customHeight="1" s="327">
      <c r="A24" s="365" t="inlineStr">
        <is>
          <t>Материалы</t>
        </is>
      </c>
      <c r="B24" s="439" t="n"/>
      <c r="C24" s="439" t="n"/>
      <c r="D24" s="440" t="n"/>
      <c r="E24" s="271" t="n"/>
      <c r="F24" s="271" t="n"/>
      <c r="G24" s="249" t="n"/>
      <c r="H24" s="283">
        <f>SUM(H25:H26)</f>
        <v/>
      </c>
    </row>
    <row r="25" ht="15" customHeight="1" s="327">
      <c r="A25" s="374">
        <f>A21+1</f>
        <v/>
      </c>
      <c r="B25" s="298" t="n"/>
      <c r="C25" s="298" t="inlineStr">
        <is>
          <t>11.1.02.04-0031</t>
        </is>
      </c>
      <c r="D25" s="299" t="inlineStr">
        <is>
          <t>Лесоматериалы круглые хвойных пород для строительства диаметром 14-24 см, длиной 3-6,5 м</t>
        </is>
      </c>
      <c r="E25" s="393" t="inlineStr">
        <is>
          <t>м3</t>
        </is>
      </c>
      <c r="F25" s="393" t="n">
        <v>226285</v>
      </c>
      <c r="G25" s="253" t="n">
        <v>558.33</v>
      </c>
      <c r="H25" s="284">
        <f>ROUND(F25*G25,2)</f>
        <v/>
      </c>
    </row>
    <row r="26" ht="15" customHeight="1" s="327">
      <c r="A26" s="374">
        <f>A25+1</f>
        <v/>
      </c>
      <c r="B26" s="298" t="n"/>
      <c r="C26" s="298" t="inlineStr">
        <is>
          <t>08.3.03.05-0017</t>
        </is>
      </c>
      <c r="D26" s="299" t="inlineStr">
        <is>
          <t>Проволока стальная низкоуглеродистая разного назначения оцинкованная диаметром: 3,0 мм</t>
        </is>
      </c>
      <c r="E26" s="393" t="inlineStr">
        <is>
          <t>т</t>
        </is>
      </c>
      <c r="F26" s="393" t="n">
        <v>66.8</v>
      </c>
      <c r="G26" s="253" t="n">
        <v>12242</v>
      </c>
      <c r="H26" s="284">
        <f>ROUND(F26*G26,2)</f>
        <v/>
      </c>
    </row>
    <row r="27">
      <c r="C27" s="259" t="n"/>
      <c r="D27" s="260" t="n"/>
      <c r="E27" s="261" t="n"/>
      <c r="F27" s="261" t="n"/>
      <c r="G27" s="262" t="n"/>
      <c r="H27" s="263" t="n"/>
    </row>
    <row r="30" ht="14.25" customFormat="1" customHeight="1" s="338">
      <c r="A30" s="328" t="inlineStr">
        <is>
          <t>Составил ______________________        А.П. Николаева</t>
        </is>
      </c>
    </row>
    <row r="31" ht="14.25" customFormat="1" customHeight="1" s="338">
      <c r="A31" s="339" t="inlineStr">
        <is>
          <t xml:space="preserve">                         (подпись, инициалы, фамилия)</t>
        </is>
      </c>
    </row>
    <row r="32" ht="14.25" customFormat="1" customHeight="1" s="338">
      <c r="A32" s="328" t="n"/>
    </row>
    <row r="33" ht="14.25" customFormat="1" customHeight="1" s="338">
      <c r="A33" s="328" t="inlineStr">
        <is>
          <t>Проверил ______________________        А.В. Костянецкая</t>
        </is>
      </c>
    </row>
    <row r="34" ht="14.25" customFormat="1" customHeight="1" s="338">
      <c r="A34" s="339" t="inlineStr">
        <is>
          <t xml:space="preserve">                        (подпись, инициалы, фамилия)</t>
        </is>
      </c>
    </row>
  </sheetData>
  <mergeCells count="16">
    <mergeCell ref="C9:C10"/>
    <mergeCell ref="A17:D17"/>
    <mergeCell ref="A3:H3"/>
    <mergeCell ref="E9:E10"/>
    <mergeCell ref="D9:D10"/>
    <mergeCell ref="A6:F7"/>
    <mergeCell ref="F9:F10"/>
    <mergeCell ref="A22:D22"/>
    <mergeCell ref="A9:A10"/>
    <mergeCell ref="A12:D12"/>
    <mergeCell ref="B9:B10"/>
    <mergeCell ref="A2:H2"/>
    <mergeCell ref="A15:D15"/>
    <mergeCell ref="A24:D24"/>
    <mergeCell ref="C4:H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9.140625" customWidth="1" style="327" min="6" max="10"/>
    <col width="13.5703125" customWidth="1" style="327" min="11" max="11"/>
    <col width="9.140625" customWidth="1" style="327" min="12" max="12"/>
  </cols>
  <sheetData>
    <row r="1">
      <c r="B1" s="328" t="n"/>
      <c r="C1" s="328" t="n"/>
      <c r="D1" s="328" t="n"/>
      <c r="E1" s="328" t="n"/>
    </row>
    <row r="2">
      <c r="B2" s="328" t="n"/>
      <c r="C2" s="328" t="n"/>
      <c r="D2" s="328" t="n"/>
      <c r="E2" s="388" t="inlineStr">
        <is>
          <t>Приложение № 4</t>
        </is>
      </c>
    </row>
    <row r="3">
      <c r="B3" s="328" t="n"/>
      <c r="C3" s="328" t="n"/>
      <c r="D3" s="328" t="n"/>
      <c r="E3" s="328" t="n"/>
    </row>
    <row r="4">
      <c r="B4" s="328" t="n"/>
      <c r="C4" s="328" t="n"/>
      <c r="D4" s="328" t="n"/>
      <c r="E4" s="328" t="n"/>
    </row>
    <row r="5">
      <c r="B5" s="342" t="inlineStr">
        <is>
          <t>Ресурсная модель</t>
        </is>
      </c>
    </row>
    <row r="6">
      <c r="B6" s="199" t="n"/>
      <c r="C6" s="328" t="n"/>
      <c r="D6" s="328" t="n"/>
      <c r="E6" s="328" t="n"/>
    </row>
    <row r="7" ht="25.5" customHeight="1" s="327">
      <c r="B7" s="371" t="inlineStr">
        <is>
          <t>Наименование разрабатываемого показателя УНЦ — УНЦ устройства лежневых дорог</t>
        </is>
      </c>
    </row>
    <row r="8">
      <c r="B8" s="372" t="inlineStr">
        <is>
          <t>Единица измерения  — 1 км</t>
        </is>
      </c>
    </row>
    <row r="9">
      <c r="B9" s="199" t="n"/>
      <c r="C9" s="328" t="n"/>
      <c r="D9" s="328" t="n"/>
      <c r="E9" s="328" t="n"/>
    </row>
    <row r="10" ht="51" customHeight="1" s="327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341" t="inlineStr">
        <is>
          <t>Оплата труда рабочих</t>
        </is>
      </c>
      <c r="C11" s="333">
        <f>'Прил.5 Расчет СМР и ОБ'!J15</f>
        <v/>
      </c>
      <c r="D11" s="203">
        <f>C11/$C$24</f>
        <v/>
      </c>
      <c r="E11" s="203">
        <f>C11/$C$40</f>
        <v/>
      </c>
    </row>
    <row r="12">
      <c r="B12" s="341" t="inlineStr">
        <is>
          <t>Эксплуатация машин основных</t>
        </is>
      </c>
      <c r="C12" s="333">
        <f>'Прил.5 Расчет СМР и ОБ'!J23</f>
        <v/>
      </c>
      <c r="D12" s="203">
        <f>C12/$C$24</f>
        <v/>
      </c>
      <c r="E12" s="203">
        <f>C12/$C$40</f>
        <v/>
      </c>
    </row>
    <row r="13">
      <c r="B13" s="341" t="inlineStr">
        <is>
          <t>Эксплуатация машин прочих</t>
        </is>
      </c>
      <c r="C13" s="333">
        <f>'Прил.5 Расчет СМР и ОБ'!J25</f>
        <v/>
      </c>
      <c r="D13" s="203">
        <f>C13/$C$24</f>
        <v/>
      </c>
      <c r="E13" s="203">
        <f>C13/$C$40</f>
        <v/>
      </c>
    </row>
    <row r="14">
      <c r="B14" s="341" t="inlineStr">
        <is>
          <t>ЭКСПЛУАТАЦИЯ МАШИН, ВСЕГО:</t>
        </is>
      </c>
      <c r="C14" s="333">
        <f>C13+C12</f>
        <v/>
      </c>
      <c r="D14" s="203">
        <f>C14/$C$24</f>
        <v/>
      </c>
      <c r="E14" s="203">
        <f>C14/$C$40</f>
        <v/>
      </c>
    </row>
    <row r="15">
      <c r="B15" s="341" t="inlineStr">
        <is>
          <t>в том числе зарплата машинистов</t>
        </is>
      </c>
      <c r="C15" s="333">
        <f>'Прил.5 Расчет СМР и ОБ'!J17</f>
        <v/>
      </c>
      <c r="D15" s="203">
        <f>C15/$C$24</f>
        <v/>
      </c>
      <c r="E15" s="203">
        <f>C15/$C$40</f>
        <v/>
      </c>
    </row>
    <row r="16">
      <c r="B16" s="341" t="inlineStr">
        <is>
          <t>Материалы основные</t>
        </is>
      </c>
      <c r="C16" s="333">
        <f>'Прил.5 Расчет СМР и ОБ'!J36</f>
        <v/>
      </c>
      <c r="D16" s="203">
        <f>C16/$C$24</f>
        <v/>
      </c>
      <c r="E16" s="203">
        <f>C16/$C$40</f>
        <v/>
      </c>
    </row>
    <row r="17">
      <c r="B17" s="341" t="inlineStr">
        <is>
          <t>Материалы прочие</t>
        </is>
      </c>
      <c r="C17" s="333">
        <f>'Прил.5 Расчет СМР и ОБ'!J38</f>
        <v/>
      </c>
      <c r="D17" s="203">
        <f>C17/$C$24</f>
        <v/>
      </c>
      <c r="E17" s="203">
        <f>C17/$C$40</f>
        <v/>
      </c>
    </row>
    <row r="18">
      <c r="B18" s="341" t="inlineStr">
        <is>
          <t>МАТЕРИАЛЫ, ВСЕГО:</t>
        </is>
      </c>
      <c r="C18" s="333">
        <f>C17+C16</f>
        <v/>
      </c>
      <c r="D18" s="203">
        <f>C18/$C$24</f>
        <v/>
      </c>
      <c r="E18" s="203">
        <f>C18/$C$40</f>
        <v/>
      </c>
    </row>
    <row r="19">
      <c r="B19" s="341" t="inlineStr">
        <is>
          <t>ИТОГО</t>
        </is>
      </c>
      <c r="C19" s="333">
        <f>C18+C14+C11</f>
        <v/>
      </c>
      <c r="D19" s="203" t="n"/>
      <c r="E19" s="341" t="n"/>
    </row>
    <row r="20">
      <c r="B20" s="341" t="inlineStr">
        <is>
          <t>Сметная прибыль, руб.</t>
        </is>
      </c>
      <c r="C20" s="333">
        <f>ROUND(C21*(C11+C15),2)</f>
        <v/>
      </c>
      <c r="D20" s="203">
        <f>C20/$C$24</f>
        <v/>
      </c>
      <c r="E20" s="203">
        <f>C20/$C$40</f>
        <v/>
      </c>
    </row>
    <row r="21">
      <c r="B21" s="341" t="inlineStr">
        <is>
          <t>Сметная прибыль, %</t>
        </is>
      </c>
      <c r="C21" s="204">
        <f>'Прил.5 Расчет СМР и ОБ'!D42</f>
        <v/>
      </c>
      <c r="D21" s="203" t="n"/>
      <c r="E21" s="341" t="n"/>
    </row>
    <row r="22">
      <c r="B22" s="341" t="inlineStr">
        <is>
          <t>Накладные расходы, руб.</t>
        </is>
      </c>
      <c r="C22" s="333">
        <f>ROUND(C23*(C11+C15),2)</f>
        <v/>
      </c>
      <c r="D22" s="203">
        <f>C22/$C$24</f>
        <v/>
      </c>
      <c r="E22" s="203">
        <f>C22/$C$40</f>
        <v/>
      </c>
    </row>
    <row r="23">
      <c r="B23" s="341" t="inlineStr">
        <is>
          <t>Накладные расходы, %</t>
        </is>
      </c>
      <c r="C23" s="204">
        <f>'Прил.5 Расчет СМР и ОБ'!D41</f>
        <v/>
      </c>
      <c r="D23" s="203" t="n"/>
      <c r="E23" s="341" t="n"/>
    </row>
    <row r="24">
      <c r="B24" s="341" t="inlineStr">
        <is>
          <t>ВСЕГО СМР с НР и СП</t>
        </is>
      </c>
      <c r="C24" s="333">
        <f>C19+C20+C22</f>
        <v/>
      </c>
      <c r="D24" s="203">
        <f>C24/$C$24</f>
        <v/>
      </c>
      <c r="E24" s="203">
        <f>C24/$C$40</f>
        <v/>
      </c>
    </row>
    <row r="25" ht="25.5" customHeight="1" s="327">
      <c r="B25" s="341" t="inlineStr">
        <is>
          <t>ВСЕГО стоимость оборудования, в том числе</t>
        </is>
      </c>
      <c r="C25" s="333">
        <f>'Прил.5 Расчет СМР и ОБ'!J31</f>
        <v/>
      </c>
      <c r="D25" s="203" t="n"/>
      <c r="E25" s="203">
        <f>C25/$C$40</f>
        <v/>
      </c>
    </row>
    <row r="26" ht="25.5" customHeight="1" s="327">
      <c r="B26" s="341" t="inlineStr">
        <is>
          <t>стоимость оборудования технологического</t>
        </is>
      </c>
      <c r="C26" s="333">
        <f>C25</f>
        <v/>
      </c>
      <c r="D26" s="203" t="n"/>
      <c r="E26" s="203">
        <f>C26/$C$40</f>
        <v/>
      </c>
    </row>
    <row r="27">
      <c r="B27" s="341" t="inlineStr">
        <is>
          <t>ИТОГО (СМР + ОБОРУДОВАНИЕ)</t>
        </is>
      </c>
      <c r="C27" s="304">
        <f>C24+C25</f>
        <v/>
      </c>
      <c r="D27" s="203" t="n"/>
      <c r="E27" s="203">
        <f>C27/$C$40</f>
        <v/>
      </c>
    </row>
    <row r="28" ht="33" customHeight="1" s="327">
      <c r="B28" s="341" t="inlineStr">
        <is>
          <t>ПРОЧ. ЗАТР., УЧТЕННЫЕ ПОКАЗАТЕЛЕМ,  в том числе</t>
        </is>
      </c>
      <c r="C28" s="341" t="n"/>
      <c r="D28" s="341" t="n"/>
      <c r="E28" s="341" t="n"/>
    </row>
    <row r="29" ht="25.5" customHeight="1" s="327">
      <c r="B29" s="341" t="inlineStr">
        <is>
          <t>Временные здания и сооружения - 3,3%</t>
        </is>
      </c>
      <c r="C29" s="304">
        <f>ROUND(C24*3.3%,2)</f>
        <v/>
      </c>
      <c r="D29" s="341" t="n"/>
      <c r="E29" s="203">
        <f>C29/$C$40</f>
        <v/>
      </c>
    </row>
    <row r="30" ht="38.25" customHeight="1" s="327">
      <c r="B30" s="341" t="inlineStr">
        <is>
          <t>Дополнительные затраты при производстве строительно-монтажных работ в зимнее время - 1,0%</t>
        </is>
      </c>
      <c r="C30" s="304">
        <f>ROUND((C24+C29)*1%,2)</f>
        <v/>
      </c>
      <c r="D30" s="341" t="n"/>
      <c r="E30" s="203">
        <f>C30/$C$40</f>
        <v/>
      </c>
    </row>
    <row r="31">
      <c r="B31" s="341" t="inlineStr">
        <is>
          <t>Пусконаладочные работы</t>
        </is>
      </c>
      <c r="C31" s="304" t="n">
        <v>0</v>
      </c>
      <c r="D31" s="341" t="n"/>
      <c r="E31" s="203">
        <f>C31/$C$40</f>
        <v/>
      </c>
    </row>
    <row r="32" ht="25.5" customHeight="1" s="327">
      <c r="B32" s="341" t="inlineStr">
        <is>
          <t>Затраты по перевозке работников к месту работы и обратно</t>
        </is>
      </c>
      <c r="C32" s="304" t="n">
        <v>0</v>
      </c>
      <c r="D32" s="341" t="n"/>
      <c r="E32" s="203">
        <f>C32/$C$40</f>
        <v/>
      </c>
    </row>
    <row r="33" ht="25.5" customHeight="1" s="327">
      <c r="B33" s="341" t="inlineStr">
        <is>
          <t>Затраты, связанные с осуществлением работ вахтовым методом</t>
        </is>
      </c>
      <c r="C33" s="304">
        <f>ROUND(C27*0%,2)</f>
        <v/>
      </c>
      <c r="D33" s="341" t="n"/>
      <c r="E33" s="203">
        <f>C33/$C$40</f>
        <v/>
      </c>
    </row>
    <row r="34" ht="51" customHeight="1" s="327">
      <c r="B34" s="3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4" t="n">
        <v>0</v>
      </c>
      <c r="D34" s="341" t="n"/>
      <c r="E34" s="203">
        <f>C34/$C$40</f>
        <v/>
      </c>
    </row>
    <row r="35" ht="76.5" customHeight="1" s="327">
      <c r="B35" s="3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4" t="n">
        <v>0</v>
      </c>
      <c r="D35" s="341" t="n"/>
      <c r="E35" s="203">
        <f>C35/$C$40</f>
        <v/>
      </c>
    </row>
    <row r="36" ht="25.5" customHeight="1" s="327">
      <c r="B36" s="341" t="inlineStr">
        <is>
          <t>Строительный контроль и содержание службы заказчика - 2,14%</t>
        </is>
      </c>
      <c r="C36" s="304">
        <f>ROUND((C27+C32+C33+C34+C35+C29+C31+C30)*2.14%,2)</f>
        <v/>
      </c>
      <c r="D36" s="341" t="n"/>
      <c r="E36" s="203">
        <f>C36/$C$40</f>
        <v/>
      </c>
      <c r="K36" s="206" t="n"/>
    </row>
    <row r="37">
      <c r="B37" s="341" t="inlineStr">
        <is>
          <t>Авторский надзор - 0,2%</t>
        </is>
      </c>
      <c r="C37" s="304">
        <f>ROUND((C27+C32+C33+C34+C35+C29+C31+C30)*0.2%,2)</f>
        <v/>
      </c>
      <c r="D37" s="341" t="n"/>
      <c r="E37" s="203">
        <f>C37/$C$40</f>
        <v/>
      </c>
      <c r="K37" s="206" t="n"/>
    </row>
    <row r="38" ht="38.25" customHeight="1" s="327">
      <c r="B38" s="341" t="inlineStr">
        <is>
          <t>ИТОГО (СМР+ОБОРУДОВАНИЕ+ПРОЧ. ЗАТР., УЧТЕННЫЕ ПОКАЗАТЕЛЕМ)</t>
        </is>
      </c>
      <c r="C38" s="333">
        <f>C27+C32+C33+C34+C35+C29+C31+C30+C36+C37</f>
        <v/>
      </c>
      <c r="D38" s="341" t="n"/>
      <c r="E38" s="203">
        <f>C38/$C$40</f>
        <v/>
      </c>
    </row>
    <row r="39" ht="13.5" customHeight="1" s="327">
      <c r="B39" s="341" t="inlineStr">
        <is>
          <t>Непредвиденные расходы</t>
        </is>
      </c>
      <c r="C39" s="333">
        <f>ROUND(C38*3%,2)</f>
        <v/>
      </c>
      <c r="D39" s="341" t="n"/>
      <c r="E39" s="203">
        <f>C39/$C$38</f>
        <v/>
      </c>
    </row>
    <row r="40">
      <c r="B40" s="341" t="inlineStr">
        <is>
          <t>ВСЕГО:</t>
        </is>
      </c>
      <c r="C40" s="333">
        <f>C39+C38</f>
        <v/>
      </c>
      <c r="D40" s="341" t="n"/>
      <c r="E40" s="203">
        <f>C40/$C$40</f>
        <v/>
      </c>
    </row>
    <row r="41">
      <c r="B41" s="341" t="inlineStr">
        <is>
          <t>ИТОГО ПОКАЗАТЕЛЬ НА ЕД. ИЗМ.</t>
        </is>
      </c>
      <c r="C41" s="333">
        <f>C40/'Прил.5 Расчет СМР и ОБ'!E45</f>
        <v/>
      </c>
      <c r="D41" s="341" t="n"/>
      <c r="E41" s="341" t="n"/>
    </row>
    <row r="42">
      <c r="B42" s="335" t="n"/>
      <c r="C42" s="328" t="n"/>
      <c r="D42" s="328" t="n"/>
      <c r="E42" s="328" t="n"/>
    </row>
    <row r="43">
      <c r="B43" s="328" t="inlineStr">
        <is>
          <t>Составил ______________________        А.П. Николаева</t>
        </is>
      </c>
      <c r="C43" s="328" t="n"/>
      <c r="D43" s="328" t="n"/>
      <c r="E43" s="328" t="n"/>
    </row>
    <row r="44">
      <c r="B44" s="335" t="inlineStr">
        <is>
          <t xml:space="preserve">(должность, подпись, инициалы, фамилия) </t>
        </is>
      </c>
      <c r="C44" s="328" t="n"/>
      <c r="D44" s="328" t="n"/>
      <c r="E44" s="328" t="n"/>
    </row>
    <row r="45">
      <c r="B45" s="335" t="n"/>
      <c r="C45" s="328" t="n"/>
      <c r="D45" s="328" t="n"/>
      <c r="E45" s="328" t="n"/>
    </row>
    <row r="46">
      <c r="B46" s="335" t="inlineStr">
        <is>
          <t>Проверил ____________________________ А.В. Костянецкая</t>
        </is>
      </c>
      <c r="C46" s="328" t="n"/>
      <c r="D46" s="328" t="n"/>
      <c r="E46" s="328" t="n"/>
    </row>
    <row r="47">
      <c r="B47" s="372" t="inlineStr">
        <is>
          <t>(должность, подпись, инициалы, фамилия)</t>
        </is>
      </c>
      <c r="D47" s="328" t="n"/>
      <c r="E47" s="328" t="n"/>
    </row>
    <row r="49">
      <c r="B49" s="328" t="n"/>
      <c r="C49" s="328" t="n"/>
      <c r="D49" s="328" t="n"/>
      <c r="E49" s="328" t="n"/>
    </row>
    <row r="50">
      <c r="B50" s="328" t="n"/>
      <c r="C50" s="328" t="n"/>
      <c r="D50" s="328" t="n"/>
      <c r="E50" s="3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1"/>
  <sheetViews>
    <sheetView view="pageBreakPreview" topLeftCell="A35" zoomScale="118" zoomScaleSheetLayoutView="118" workbookViewId="0">
      <selection activeCell="B185" sqref="B185"/>
    </sheetView>
  </sheetViews>
  <sheetFormatPr baseColWidth="8" defaultColWidth="9.140625" defaultRowHeight="15" outlineLevelRow="1"/>
  <cols>
    <col width="5.7109375" customWidth="1" style="338" min="1" max="1"/>
    <col width="22.5703125" customWidth="1" style="338" min="2" max="2"/>
    <col width="39.140625" customWidth="1" style="338" min="3" max="3"/>
    <col width="10.7109375" customWidth="1" style="338" min="4" max="4"/>
    <col width="14" customWidth="1" style="338" min="5" max="5"/>
    <col width="14.5703125" customWidth="1" style="338" min="6" max="6"/>
    <col width="17.7109375" customWidth="1" style="338" min="7" max="7"/>
    <col width="12.7109375" customWidth="1" style="338" min="8" max="8"/>
    <col width="13.85546875" customWidth="1" style="338" min="9" max="9"/>
    <col width="17.5703125" customWidth="1" style="338" min="10" max="10"/>
    <col width="10.85546875" customWidth="1" style="338" min="11" max="11"/>
    <col width="9.140625" customWidth="1" style="338" min="12" max="12"/>
    <col width="9.140625" customWidth="1" style="327" min="13" max="13"/>
  </cols>
  <sheetData>
    <row r="1" s="327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27">
      <c r="A2" s="338" t="n"/>
      <c r="B2" s="338" t="n"/>
      <c r="C2" s="338" t="n"/>
      <c r="D2" s="338" t="n"/>
      <c r="E2" s="338" t="n"/>
      <c r="F2" s="338" t="n"/>
      <c r="G2" s="338" t="n"/>
      <c r="H2" s="383" t="inlineStr">
        <is>
          <t>Приложение №5</t>
        </is>
      </c>
      <c r="K2" s="338" t="n"/>
      <c r="L2" s="338" t="n"/>
      <c r="M2" s="338" t="n"/>
      <c r="N2" s="338" t="n"/>
    </row>
    <row r="3" s="327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28">
      <c r="A4" s="342" t="inlineStr">
        <is>
          <t>Расчет стоимости СМР и оборудования</t>
        </is>
      </c>
    </row>
    <row r="5" ht="12.75" customFormat="1" customHeight="1" s="328">
      <c r="A5" s="342" t="n"/>
      <c r="B5" s="342" t="n"/>
      <c r="C5" s="395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28">
      <c r="A6" s="340" t="inlineStr">
        <is>
          <t>Наименование разрабатываемого показателя УНЦ</t>
        </is>
      </c>
      <c r="B6" s="302" t="n"/>
      <c r="C6" s="302" t="n"/>
      <c r="D6" s="340" t="inlineStr">
        <is>
          <t xml:space="preserve">УНЦ устройства лежневых дорог </t>
        </is>
      </c>
      <c r="E6" s="302" t="n"/>
      <c r="F6" s="302" t="n"/>
      <c r="G6" s="302" t="n"/>
      <c r="H6" s="302" t="n"/>
      <c r="I6" s="214" t="n"/>
      <c r="J6" s="214" t="n"/>
    </row>
    <row r="7" ht="12.75" customFormat="1" customHeight="1" s="328">
      <c r="A7" s="345" t="inlineStr">
        <is>
          <t>Единица измерения  — 1 км</t>
        </is>
      </c>
      <c r="I7" s="371" t="n"/>
      <c r="J7" s="371" t="n"/>
    </row>
    <row r="8" ht="13.5" customFormat="1" customHeight="1" s="328">
      <c r="A8" s="345" t="n"/>
    </row>
    <row r="9" ht="13.15" customFormat="1" customHeight="1" s="328"/>
    <row r="10" ht="27" customHeight="1" s="327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0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0" t="n"/>
      <c r="K10" s="338" t="n"/>
      <c r="L10" s="338" t="n"/>
      <c r="M10" s="338" t="n"/>
      <c r="N10" s="338" t="n"/>
    </row>
    <row r="11" ht="28.5" customHeight="1" s="327">
      <c r="A11" s="442" t="n"/>
      <c r="B11" s="442" t="n"/>
      <c r="C11" s="442" t="n"/>
      <c r="D11" s="442" t="n"/>
      <c r="E11" s="442" t="n"/>
      <c r="F11" s="374" t="inlineStr">
        <is>
          <t>на ед. изм.</t>
        </is>
      </c>
      <c r="G11" s="374" t="inlineStr">
        <is>
          <t>общая</t>
        </is>
      </c>
      <c r="H11" s="442" t="n"/>
      <c r="I11" s="374" t="inlineStr">
        <is>
          <t>на ед. изм.</t>
        </is>
      </c>
      <c r="J11" s="374" t="inlineStr">
        <is>
          <t>общая</t>
        </is>
      </c>
      <c r="K11" s="338" t="n"/>
      <c r="L11" s="338" t="n"/>
      <c r="M11" s="338" t="n"/>
      <c r="N11" s="338" t="n"/>
    </row>
    <row r="12" s="327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86" t="n">
        <v>9</v>
      </c>
      <c r="J12" s="386" t="n">
        <v>10</v>
      </c>
      <c r="K12" s="338" t="n"/>
      <c r="L12" s="338" t="n"/>
      <c r="M12" s="338" t="n"/>
      <c r="N12" s="338" t="n"/>
    </row>
    <row r="13">
      <c r="A13" s="374" t="n"/>
      <c r="B13" s="378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34" t="n"/>
      <c r="J13" s="234" t="n"/>
    </row>
    <row r="14" ht="25.5" customHeight="1" s="327">
      <c r="A14" s="374" t="n">
        <v>1</v>
      </c>
      <c r="B14" s="294" t="inlineStr">
        <is>
          <t>1-3-6</t>
        </is>
      </c>
      <c r="C14" s="373" t="inlineStr">
        <is>
          <t>Затраты труда рабочих-строителей среднего разряда (3,6)</t>
        </is>
      </c>
      <c r="D14" s="374" t="inlineStr">
        <is>
          <t>чел.-ч.</t>
        </is>
      </c>
      <c r="E14" s="286">
        <f>G14/F14</f>
        <v/>
      </c>
      <c r="F14" s="284" t="n">
        <v>9.18</v>
      </c>
      <c r="G14" s="284" t="n">
        <v>11966576.59</v>
      </c>
      <c r="H14" s="290">
        <f>G14/G15</f>
        <v/>
      </c>
      <c r="I14" s="284">
        <f>ФОТр.тек.!E13</f>
        <v/>
      </c>
      <c r="J14" s="284">
        <f>ROUND(I14*E14,2)</f>
        <v/>
      </c>
    </row>
    <row r="15" ht="25.5" customFormat="1" customHeight="1" s="338">
      <c r="A15" s="374" t="n"/>
      <c r="B15" s="374" t="n"/>
      <c r="C15" s="378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286">
        <f>SUM(E14:E14)</f>
        <v/>
      </c>
      <c r="F15" s="284" t="n"/>
      <c r="G15" s="284">
        <f>SUM(G14:G14)</f>
        <v/>
      </c>
      <c r="H15" s="377" t="n">
        <v>1</v>
      </c>
      <c r="I15" s="234" t="n"/>
      <c r="J15" s="284">
        <f>SUM(J14:J14)</f>
        <v/>
      </c>
    </row>
    <row r="16" ht="14.25" customFormat="1" customHeight="1" s="338">
      <c r="A16" s="374" t="n"/>
      <c r="B16" s="373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34" t="n"/>
      <c r="J16" s="234" t="n"/>
    </row>
    <row r="17" ht="14.25" customFormat="1" customHeight="1" s="338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286">
        <f>Прил.3!F16</f>
        <v/>
      </c>
      <c r="F17" s="284">
        <f>G17/E17</f>
        <v/>
      </c>
      <c r="G17" s="284">
        <f>Прил.3!H16</f>
        <v/>
      </c>
      <c r="H17" s="377" t="n">
        <v>1</v>
      </c>
      <c r="I17" s="284">
        <f>ROUND(F17*Прил.10!D11,2)</f>
        <v/>
      </c>
      <c r="J17" s="284">
        <f>ROUND(I17*E17,2)</f>
        <v/>
      </c>
    </row>
    <row r="18" ht="14.25" customFormat="1" customHeight="1" s="338">
      <c r="A18" s="374" t="n"/>
      <c r="B18" s="378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34" t="n"/>
      <c r="J18" s="234" t="n"/>
    </row>
    <row r="19" ht="14.25" customFormat="1" customHeight="1" s="338">
      <c r="A19" s="374" t="n"/>
      <c r="B19" s="373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34" t="n"/>
      <c r="J19" s="234" t="n"/>
    </row>
    <row r="20" ht="25.5" customFormat="1" customHeight="1" s="338">
      <c r="A20" s="374" t="n">
        <v>3</v>
      </c>
      <c r="B20" s="294" t="inlineStr">
        <is>
          <t>91.05.05-014</t>
        </is>
      </c>
      <c r="C20" s="373" t="inlineStr">
        <is>
          <t>Краны на автомобильном ходу, грузоподъемность 10 т</t>
        </is>
      </c>
      <c r="D20" s="374" t="inlineStr">
        <is>
          <t>маш.час</t>
        </is>
      </c>
      <c r="E20" s="301" t="n">
        <v>6580.64</v>
      </c>
      <c r="F20" s="376" t="n">
        <v>111.99</v>
      </c>
      <c r="G20" s="284">
        <f>ROUND(E20*F20,2)</f>
        <v/>
      </c>
      <c r="H20" s="290">
        <f>G20/$G$26</f>
        <v/>
      </c>
      <c r="I20" s="284">
        <f>ROUND(F20*Прил.10!$D$12,2)</f>
        <v/>
      </c>
      <c r="J20" s="284">
        <f>ROUND(I20*E20,2)</f>
        <v/>
      </c>
    </row>
    <row r="21" ht="25.5" customFormat="1" customHeight="1" s="338">
      <c r="A21" s="374" t="n">
        <v>4</v>
      </c>
      <c r="B21" s="294" t="inlineStr">
        <is>
          <t>91.14.02-001</t>
        </is>
      </c>
      <c r="C21" s="373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301" t="n">
        <v>8877.73</v>
      </c>
      <c r="F21" s="376" t="n">
        <v>65.70999999999999</v>
      </c>
      <c r="G21" s="284">
        <f>ROUND(E21*F21,2)</f>
        <v/>
      </c>
      <c r="H21" s="290">
        <f>G21/$G$26</f>
        <v/>
      </c>
      <c r="I21" s="284">
        <f>ROUND(F21*Прил.10!$D$12,2)</f>
        <v/>
      </c>
      <c r="J21" s="284">
        <f>ROUND(I21*E21,2)</f>
        <v/>
      </c>
    </row>
    <row r="22" ht="25.5" customFormat="1" customHeight="1" s="338">
      <c r="A22" s="374" t="n">
        <v>5</v>
      </c>
      <c r="B22" s="294" t="inlineStr">
        <is>
          <t>91.15.02-023</t>
        </is>
      </c>
      <c r="C22" s="373" t="inlineStr">
        <is>
          <t>Тракторы на гусеничном ходу, мощность 59 кВт (80 л.с.)</t>
        </is>
      </c>
      <c r="D22" s="374" t="inlineStr">
        <is>
          <t>маш.час</t>
        </is>
      </c>
      <c r="E22" s="301" t="n">
        <v>2323.81</v>
      </c>
      <c r="F22" s="376" t="n">
        <v>77.2</v>
      </c>
      <c r="G22" s="284">
        <f>ROUND(E22*F22,2)</f>
        <v/>
      </c>
      <c r="H22" s="290">
        <f>G22/$G$26</f>
        <v/>
      </c>
      <c r="I22" s="284">
        <f>ROUND(F22*Прил.10!$D$12,2)</f>
        <v/>
      </c>
      <c r="J22" s="284">
        <f>ROUND(I22*E22,2)</f>
        <v/>
      </c>
    </row>
    <row r="23" ht="14.25" customFormat="1" customHeight="1" s="338">
      <c r="A23" s="374" t="n"/>
      <c r="B23" s="374" t="n"/>
      <c r="C23" s="373" t="inlineStr">
        <is>
          <t>Итого основные машины и механизмы</t>
        </is>
      </c>
      <c r="D23" s="374" t="n"/>
      <c r="E23" s="286" t="n"/>
      <c r="F23" s="284" t="n"/>
      <c r="G23" s="284">
        <f>SUM(G20:G22)</f>
        <v/>
      </c>
      <c r="H23" s="377">
        <f>G23/G26</f>
        <v/>
      </c>
      <c r="I23" s="235" t="n"/>
      <c r="J23" s="284">
        <f>SUM(J20:J22)</f>
        <v/>
      </c>
    </row>
    <row r="24" hidden="1" outlineLevel="1" ht="25.5" customFormat="1" customHeight="1" s="338">
      <c r="A24" s="374" t="n">
        <v>6</v>
      </c>
      <c r="B24" s="294" t="inlineStr">
        <is>
          <t>91.01.02-004</t>
        </is>
      </c>
      <c r="C24" s="373" t="inlineStr">
        <is>
          <t>Автогрейдеры: среднего типа, мощность 99 кВт (135 л.с.)</t>
        </is>
      </c>
      <c r="D24" s="374" t="inlineStr">
        <is>
          <t>маш.час</t>
        </is>
      </c>
      <c r="E24" s="301" t="n">
        <v>1387.77</v>
      </c>
      <c r="F24" s="376" t="n">
        <v>123</v>
      </c>
      <c r="G24" s="284">
        <f>ROUND(E24*F24,2)</f>
        <v/>
      </c>
      <c r="H24" s="290">
        <f>G24/$G$26</f>
        <v/>
      </c>
      <c r="I24" s="284">
        <f>ROUND(F24*Прил.10!$D$12,2)</f>
        <v/>
      </c>
      <c r="J24" s="284">
        <f>ROUND(I24*E24,2)</f>
        <v/>
      </c>
    </row>
    <row r="25" collapsed="1" ht="14.25" customFormat="1" customHeight="1" s="338">
      <c r="A25" s="374" t="n"/>
      <c r="B25" s="374" t="n"/>
      <c r="C25" s="373" t="inlineStr">
        <is>
          <t>Итого прочие машины и механизмы</t>
        </is>
      </c>
      <c r="D25" s="374" t="n"/>
      <c r="E25" s="375" t="n"/>
      <c r="F25" s="284" t="n"/>
      <c r="G25" s="235">
        <f>SUM(G24:G24)</f>
        <v/>
      </c>
      <c r="H25" s="290">
        <f>G25/G26</f>
        <v/>
      </c>
      <c r="I25" s="284" t="n"/>
      <c r="J25" s="284">
        <f>SUM(J24:J24)</f>
        <v/>
      </c>
    </row>
    <row r="26" ht="25.5" customFormat="1" customHeight="1" s="338">
      <c r="A26" s="374" t="n"/>
      <c r="B26" s="374" t="n"/>
      <c r="C26" s="378" t="inlineStr">
        <is>
          <t>Итого по разделу «Машины и механизмы»</t>
        </is>
      </c>
      <c r="D26" s="374" t="n"/>
      <c r="E26" s="375" t="n"/>
      <c r="F26" s="284" t="n"/>
      <c r="G26" s="284">
        <f>G25+G23</f>
        <v/>
      </c>
      <c r="H26" s="228" t="n">
        <v>1</v>
      </c>
      <c r="I26" s="229" t="n"/>
      <c r="J26" s="230">
        <f>J25+J23</f>
        <v/>
      </c>
    </row>
    <row r="27" ht="14.25" customFormat="1" customHeight="1" s="338">
      <c r="A27" s="374" t="n"/>
      <c r="B27" s="378" t="inlineStr">
        <is>
          <t>Оборудование</t>
        </is>
      </c>
      <c r="C27" s="439" t="n"/>
      <c r="D27" s="439" t="n"/>
      <c r="E27" s="439" t="n"/>
      <c r="F27" s="439" t="n"/>
      <c r="G27" s="439" t="n"/>
      <c r="H27" s="440" t="n"/>
      <c r="I27" s="234" t="n"/>
      <c r="J27" s="234" t="n"/>
    </row>
    <row r="28">
      <c r="A28" s="374" t="n"/>
      <c r="B28" s="373" t="inlineStr">
        <is>
          <t>Основное оборудование</t>
        </is>
      </c>
      <c r="C28" s="439" t="n"/>
      <c r="D28" s="439" t="n"/>
      <c r="E28" s="439" t="n"/>
      <c r="F28" s="439" t="n"/>
      <c r="G28" s="439" t="n"/>
      <c r="H28" s="440" t="n"/>
      <c r="I28" s="234" t="n"/>
      <c r="J28" s="234" t="n"/>
      <c r="K28" s="338" t="n"/>
      <c r="L28" s="338" t="n"/>
    </row>
    <row r="29">
      <c r="A29" s="374" t="n"/>
      <c r="B29" s="374" t="n"/>
      <c r="C29" s="373" t="inlineStr">
        <is>
          <t>Итого основное оборудование</t>
        </is>
      </c>
      <c r="D29" s="374" t="n"/>
      <c r="E29" s="286" t="n"/>
      <c r="F29" s="376" t="n"/>
      <c r="G29" s="284" t="n">
        <v>0</v>
      </c>
      <c r="H29" s="377" t="n">
        <v>0</v>
      </c>
      <c r="I29" s="235" t="n"/>
      <c r="J29" s="284" t="n">
        <v>0</v>
      </c>
      <c r="K29" s="338" t="n"/>
      <c r="L29" s="338" t="n"/>
    </row>
    <row r="30">
      <c r="A30" s="374" t="n"/>
      <c r="B30" s="374" t="n"/>
      <c r="C30" s="373" t="inlineStr">
        <is>
          <t>Итого прочее оборудование</t>
        </is>
      </c>
      <c r="D30" s="374" t="n"/>
      <c r="E30" s="286" t="n"/>
      <c r="F30" s="376" t="n"/>
      <c r="G30" s="284" t="n">
        <v>0</v>
      </c>
      <c r="H30" s="377" t="n">
        <v>0</v>
      </c>
      <c r="I30" s="235" t="n"/>
      <c r="J30" s="284" t="n">
        <v>0</v>
      </c>
      <c r="K30" s="338" t="n"/>
      <c r="L30" s="338" t="n"/>
    </row>
    <row r="31">
      <c r="A31" s="374" t="n"/>
      <c r="B31" s="374" t="n"/>
      <c r="C31" s="378" t="inlineStr">
        <is>
          <t>Итого по разделу «Оборудование»</t>
        </is>
      </c>
      <c r="D31" s="374" t="n"/>
      <c r="E31" s="375" t="n"/>
      <c r="F31" s="376" t="n"/>
      <c r="G31" s="284">
        <f>G29+G30</f>
        <v/>
      </c>
      <c r="H31" s="377" t="n">
        <v>0</v>
      </c>
      <c r="I31" s="235" t="n"/>
      <c r="J31" s="284">
        <f>J30+J29</f>
        <v/>
      </c>
      <c r="K31" s="338" t="n"/>
      <c r="L31" s="338" t="n"/>
    </row>
    <row r="32" ht="25.5" customHeight="1" s="327">
      <c r="A32" s="374" t="n"/>
      <c r="B32" s="374" t="n"/>
      <c r="C32" s="373" t="inlineStr">
        <is>
          <t>в том числе технологическое оборудование</t>
        </is>
      </c>
      <c r="D32" s="374" t="n"/>
      <c r="E32" s="236" t="n"/>
      <c r="F32" s="376" t="n"/>
      <c r="G32" s="284">
        <f>G31</f>
        <v/>
      </c>
      <c r="H32" s="377" t="n"/>
      <c r="I32" s="235" t="n"/>
      <c r="J32" s="284">
        <f>J31</f>
        <v/>
      </c>
      <c r="K32" s="338" t="n"/>
      <c r="L32" s="338" t="n"/>
    </row>
    <row r="33" ht="14.25" customFormat="1" customHeight="1" s="338">
      <c r="A33" s="374" t="n"/>
      <c r="B33" s="378" t="inlineStr">
        <is>
          <t>Материалы</t>
        </is>
      </c>
      <c r="C33" s="439" t="n"/>
      <c r="D33" s="439" t="n"/>
      <c r="E33" s="439" t="n"/>
      <c r="F33" s="439" t="n"/>
      <c r="G33" s="439" t="n"/>
      <c r="H33" s="440" t="n"/>
      <c r="I33" s="234" t="n"/>
      <c r="J33" s="234" t="n"/>
    </row>
    <row r="34" ht="14.25" customFormat="1" customHeight="1" s="338">
      <c r="A34" s="374" t="n"/>
      <c r="B34" s="373" t="inlineStr">
        <is>
          <t>Основные материалы</t>
        </is>
      </c>
      <c r="C34" s="439" t="n"/>
      <c r="D34" s="439" t="n"/>
      <c r="E34" s="439" t="n"/>
      <c r="F34" s="439" t="n"/>
      <c r="G34" s="439" t="n"/>
      <c r="H34" s="440" t="n"/>
      <c r="I34" s="234" t="n"/>
      <c r="J34" s="234" t="n"/>
    </row>
    <row r="35" ht="38.25" customFormat="1" customHeight="1" s="338">
      <c r="A35" s="374" t="n">
        <v>7</v>
      </c>
      <c r="B35" s="294" t="inlineStr">
        <is>
          <t>11.1.02.04-0031</t>
        </is>
      </c>
      <c r="C35" s="373" t="inlineStr">
        <is>
          <t>Лесоматериалы круглые хвойных пород для строительства диаметром 14-24 см, длиной 3-6,5 м</t>
        </is>
      </c>
      <c r="D35" s="374" t="inlineStr">
        <is>
          <t>м3</t>
        </is>
      </c>
      <c r="E35" s="301" t="n">
        <v>226285</v>
      </c>
      <c r="F35" s="376" t="n">
        <v>558.33</v>
      </c>
      <c r="G35" s="284">
        <f>ROUND(E35*F35,2)</f>
        <v/>
      </c>
      <c r="H35" s="290">
        <f>G35/$G$39</f>
        <v/>
      </c>
      <c r="I35" s="284" t="n">
        <v>4488.97</v>
      </c>
      <c r="J35" s="284">
        <f>ROUND(I35*E35,2)</f>
        <v/>
      </c>
    </row>
    <row r="36" ht="14.25" customFormat="1" customHeight="1" s="338">
      <c r="A36" s="374" t="n"/>
      <c r="B36" s="294" t="n"/>
      <c r="C36" s="373" t="inlineStr">
        <is>
          <t>Итого основные материалы</t>
        </is>
      </c>
      <c r="D36" s="374" t="n"/>
      <c r="E36" s="286" t="n"/>
      <c r="F36" s="284" t="n"/>
      <c r="G36" s="284">
        <f>SUM(G35)</f>
        <v/>
      </c>
      <c r="H36" s="290">
        <f>G36/$G$39</f>
        <v/>
      </c>
      <c r="I36" s="284" t="n"/>
      <c r="J36" s="284">
        <f>SUM(J35)</f>
        <v/>
      </c>
    </row>
    <row r="37" hidden="1" outlineLevel="1" ht="38.25" customFormat="1" customHeight="1" s="338">
      <c r="A37" s="374" t="n">
        <v>8</v>
      </c>
      <c r="B37" s="294" t="inlineStr">
        <is>
          <t>08.3.03.05-0017</t>
        </is>
      </c>
      <c r="C37" s="373" t="inlineStr">
        <is>
          <t>Проволока стальная низкоуглеродистая разного назначения оцинкованная диаметром: 3,0 мм</t>
        </is>
      </c>
      <c r="D37" s="374" t="inlineStr">
        <is>
          <t>т</t>
        </is>
      </c>
      <c r="E37" s="301" t="n">
        <v>66.8</v>
      </c>
      <c r="F37" s="376" t="n">
        <v>12242</v>
      </c>
      <c r="G37" s="284">
        <f>ROUND(E37*F37,2)</f>
        <v/>
      </c>
      <c r="H37" s="290">
        <f>G37/$G$39</f>
        <v/>
      </c>
      <c r="I37" s="284" t="n">
        <v>98425.67999999999</v>
      </c>
      <c r="J37" s="284">
        <f>ROUND(I37*E37,2)</f>
        <v/>
      </c>
    </row>
    <row r="38" collapsed="1" ht="14.25" customFormat="1" customHeight="1" s="338">
      <c r="A38" s="374" t="n"/>
      <c r="B38" s="374" t="n"/>
      <c r="C38" s="373" t="inlineStr">
        <is>
          <t>Итого прочие материалы</t>
        </is>
      </c>
      <c r="D38" s="374" t="n"/>
      <c r="E38" s="375" t="n"/>
      <c r="F38" s="376" t="n"/>
      <c r="G38" s="284">
        <f>G37</f>
        <v/>
      </c>
      <c r="H38" s="290">
        <f>G38/$G$39</f>
        <v/>
      </c>
      <c r="I38" s="284" t="n"/>
      <c r="J38" s="284">
        <f>J37</f>
        <v/>
      </c>
    </row>
    <row r="39" ht="14.25" customFormat="1" customHeight="1" s="338">
      <c r="A39" s="374" t="n"/>
      <c r="B39" s="374" t="n"/>
      <c r="C39" s="378" t="inlineStr">
        <is>
          <t>Итого по разделу «Материалы»</t>
        </is>
      </c>
      <c r="D39" s="374" t="n"/>
      <c r="E39" s="375" t="n"/>
      <c r="F39" s="376" t="n"/>
      <c r="G39" s="284">
        <f>SUM(G36,G38)</f>
        <v/>
      </c>
      <c r="H39" s="377" t="n">
        <v>1</v>
      </c>
      <c r="I39" s="284" t="n"/>
      <c r="J39" s="284">
        <f>SUM(J36,J38)</f>
        <v/>
      </c>
    </row>
    <row r="40" ht="14.25" customFormat="1" customHeight="1" s="338">
      <c r="A40" s="374" t="n"/>
      <c r="B40" s="374" t="n"/>
      <c r="C40" s="373" t="inlineStr">
        <is>
          <t>ИТОГО ПО РМ</t>
        </is>
      </c>
      <c r="D40" s="374" t="n"/>
      <c r="E40" s="375" t="n"/>
      <c r="F40" s="376" t="n"/>
      <c r="G40" s="284">
        <f>G15+G26+G39</f>
        <v/>
      </c>
      <c r="H40" s="377" t="n"/>
      <c r="I40" s="284" t="n"/>
      <c r="J40" s="284">
        <f>J15+J26+J39</f>
        <v/>
      </c>
    </row>
    <row r="41" ht="14.25" customFormat="1" customHeight="1" s="338">
      <c r="A41" s="374" t="n"/>
      <c r="B41" s="374" t="n"/>
      <c r="C41" s="373" t="inlineStr">
        <is>
          <t>Накладные расходы</t>
        </is>
      </c>
      <c r="D41" s="237">
        <f>ROUND(G41/(G$17+$G$15),2)</f>
        <v/>
      </c>
      <c r="E41" s="375" t="n"/>
      <c r="F41" s="376" t="n"/>
      <c r="G41" s="284" t="n">
        <v>19045274</v>
      </c>
      <c r="H41" s="377" t="n"/>
      <c r="I41" s="284" t="n"/>
      <c r="J41" s="284">
        <f>ROUND(D41*(J15+J17),2)</f>
        <v/>
      </c>
    </row>
    <row r="42" ht="14.25" customFormat="1" customHeight="1" s="338">
      <c r="A42" s="374" t="n"/>
      <c r="B42" s="374" t="n"/>
      <c r="C42" s="373" t="inlineStr">
        <is>
          <t>Сметная прибыль</t>
        </is>
      </c>
      <c r="D42" s="237">
        <f>ROUND(G42/(G$15+G$17),2)</f>
        <v/>
      </c>
      <c r="E42" s="375" t="n"/>
      <c r="F42" s="376" t="n"/>
      <c r="G42" s="284" t="n">
        <v>11598084</v>
      </c>
      <c r="H42" s="377" t="n"/>
      <c r="I42" s="284" t="n"/>
      <c r="J42" s="284">
        <f>ROUND(D42*(J15+J17),2)</f>
        <v/>
      </c>
    </row>
    <row r="43" ht="14.25" customFormat="1" customHeight="1" s="338">
      <c r="A43" s="374" t="n"/>
      <c r="B43" s="374" t="n"/>
      <c r="C43" s="373" t="inlineStr">
        <is>
          <t>Итого СМР (с НР и СП)</t>
        </is>
      </c>
      <c r="D43" s="374" t="n"/>
      <c r="E43" s="375" t="n"/>
      <c r="F43" s="376" t="n"/>
      <c r="G43" s="284">
        <f>G15+G26+G39+G41+G42</f>
        <v/>
      </c>
      <c r="H43" s="377" t="n"/>
      <c r="I43" s="284" t="n"/>
      <c r="J43" s="284">
        <f>J15+J26+J39+J41+J42</f>
        <v/>
      </c>
    </row>
    <row r="44" ht="14.25" customFormat="1" customHeight="1" s="338">
      <c r="A44" s="374" t="n"/>
      <c r="B44" s="374" t="n"/>
      <c r="C44" s="373" t="inlineStr">
        <is>
          <t>ВСЕГО СМР + ОБОРУДОВАНИЕ</t>
        </is>
      </c>
      <c r="D44" s="374" t="n"/>
      <c r="E44" s="375" t="n"/>
      <c r="F44" s="376" t="n"/>
      <c r="G44" s="284">
        <f>G43+G31</f>
        <v/>
      </c>
      <c r="H44" s="377" t="n"/>
      <c r="I44" s="284" t="n"/>
      <c r="J44" s="284">
        <f>J43+J31</f>
        <v/>
      </c>
    </row>
    <row r="45" ht="34.5" customFormat="1" customHeight="1" s="338">
      <c r="A45" s="374" t="n"/>
      <c r="B45" s="374" t="n"/>
      <c r="C45" s="373" t="inlineStr">
        <is>
          <t>ИТОГО ПОКАЗАТЕЛЬ НА ЕД. ИЗМ.</t>
        </is>
      </c>
      <c r="D45" s="374" t="inlineStr">
        <is>
          <t>ед.</t>
        </is>
      </c>
      <c r="E45" s="375">
        <f>'Прил.1 Сравнит табл'!D15</f>
        <v/>
      </c>
      <c r="F45" s="376" t="n"/>
      <c r="G45" s="284">
        <f>G44/E45</f>
        <v/>
      </c>
      <c r="H45" s="377" t="n"/>
      <c r="I45" s="284" t="n"/>
      <c r="J45" s="284">
        <f>J44/E45</f>
        <v/>
      </c>
    </row>
    <row r="47" ht="14.25" customFormat="1" customHeight="1" s="338">
      <c r="A47" s="328" t="inlineStr">
        <is>
          <t>Составил ______________________        А.П. Николаева</t>
        </is>
      </c>
    </row>
    <row r="48" ht="14.25" customFormat="1" customHeight="1" s="338">
      <c r="A48" s="339" t="inlineStr">
        <is>
          <t xml:space="preserve">                         (подпись, инициалы, фамилия)</t>
        </is>
      </c>
    </row>
    <row r="49" ht="14.25" customFormat="1" customHeight="1" s="338">
      <c r="A49" s="328" t="n"/>
    </row>
    <row r="50" ht="14.25" customFormat="1" customHeight="1" s="338">
      <c r="A50" s="328" t="inlineStr">
        <is>
          <t>Проверил ______________________        А.В. Костянецкая</t>
        </is>
      </c>
    </row>
    <row r="51" ht="14.25" customFormat="1" customHeight="1" s="338">
      <c r="A51" s="339" t="inlineStr">
        <is>
          <t xml:space="preserve">                        (подпись, инициалы, фамилия)</t>
        </is>
      </c>
    </row>
  </sheetData>
  <mergeCells count="20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D25" sqref="D25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8" t="inlineStr">
        <is>
          <t>Приложение №6</t>
        </is>
      </c>
    </row>
    <row r="2" ht="21.75" customHeight="1" s="327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25.5" customHeight="1" s="327">
      <c r="A4" s="345" t="inlineStr">
        <is>
          <t>Наименование разрабатываемого показателя УНЦ — УНЦ устройства лежневых дорог</t>
        </is>
      </c>
    </row>
    <row r="5">
      <c r="A5" s="328" t="n"/>
      <c r="B5" s="328" t="n"/>
      <c r="C5" s="328" t="n"/>
      <c r="D5" s="328" t="n"/>
      <c r="E5" s="328" t="n"/>
      <c r="F5" s="328" t="n"/>
      <c r="G5" s="328" t="n"/>
    </row>
    <row r="6" ht="30" customHeight="1" s="327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4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7">
      <c r="A9" s="341" t="n"/>
      <c r="B9" s="373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7">
      <c r="A10" s="374" t="n"/>
      <c r="B10" s="378" t="n"/>
      <c r="C10" s="373" t="inlineStr">
        <is>
          <t>ИТОГО ИНЖЕНЕРНОЕ ОБОРУДОВАНИЕ</t>
        </is>
      </c>
      <c r="D10" s="378" t="n"/>
      <c r="E10" s="142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>
      <c r="A12" s="374" t="n"/>
      <c r="B12" s="373" t="n"/>
      <c r="C12" s="373" t="n"/>
      <c r="D12" s="374" t="n"/>
      <c r="E12" s="374" t="n"/>
      <c r="F12" s="376" t="n"/>
      <c r="G12" s="284" t="n"/>
    </row>
    <row r="13" ht="25.5" customHeight="1" s="327">
      <c r="A13" s="374" t="n"/>
      <c r="B13" s="373" t="n"/>
      <c r="C13" s="373" t="inlineStr">
        <is>
          <t>ИТОГО ТЕХНОЛОГИЧЕСКОЕ ОБОРУДОВАНИЕ</t>
        </is>
      </c>
      <c r="D13" s="373" t="n"/>
      <c r="E13" s="392" t="n"/>
      <c r="F13" s="376" t="n"/>
      <c r="G13" s="284">
        <f>SUM(G12:G12)</f>
        <v/>
      </c>
    </row>
    <row r="14" ht="19.5" customHeight="1" s="327">
      <c r="A14" s="374" t="n"/>
      <c r="B14" s="373" t="n"/>
      <c r="C14" s="373" t="inlineStr">
        <is>
          <t>Всего по разделу «Оборудование»</t>
        </is>
      </c>
      <c r="D14" s="373" t="n"/>
      <c r="E14" s="392" t="n"/>
      <c r="F14" s="376" t="n"/>
      <c r="G14" s="284">
        <f>G10+G13</f>
        <v/>
      </c>
    </row>
    <row r="15">
      <c r="A15" s="336" t="n"/>
      <c r="B15" s="337" t="n"/>
      <c r="C15" s="336" t="n"/>
      <c r="D15" s="336" t="n"/>
      <c r="E15" s="336" t="n"/>
      <c r="F15" s="336" t="n"/>
      <c r="G15" s="336" t="n"/>
    </row>
    <row r="16">
      <c r="A16" s="328" t="inlineStr">
        <is>
          <t>Составил ______________________        А.П. Николаева</t>
        </is>
      </c>
      <c r="B16" s="338" t="n"/>
      <c r="C16" s="338" t="n"/>
      <c r="D16" s="336" t="n"/>
      <c r="E16" s="336" t="n"/>
      <c r="F16" s="336" t="n"/>
      <c r="G16" s="336" t="n"/>
    </row>
    <row r="17">
      <c r="A17" s="339" t="inlineStr">
        <is>
          <t xml:space="preserve">                         (подпись, инициалы, фамилия)</t>
        </is>
      </c>
      <c r="B17" s="338" t="n"/>
      <c r="C17" s="338" t="n"/>
      <c r="D17" s="336" t="n"/>
      <c r="E17" s="336" t="n"/>
      <c r="F17" s="336" t="n"/>
      <c r="G17" s="336" t="n"/>
    </row>
    <row r="18">
      <c r="A18" s="328" t="n"/>
      <c r="B18" s="338" t="n"/>
      <c r="C18" s="338" t="n"/>
      <c r="D18" s="336" t="n"/>
      <c r="E18" s="336" t="n"/>
      <c r="F18" s="336" t="n"/>
      <c r="G18" s="336" t="n"/>
    </row>
    <row r="19">
      <c r="A19" s="328" t="inlineStr">
        <is>
          <t>Проверил ______________________        А.В. Костянецкая</t>
        </is>
      </c>
      <c r="B19" s="338" t="n"/>
      <c r="C19" s="338" t="n"/>
      <c r="D19" s="336" t="n"/>
      <c r="E19" s="336" t="n"/>
      <c r="F19" s="336" t="n"/>
      <c r="G19" s="336" t="n"/>
    </row>
    <row r="20">
      <c r="A20" s="339" t="inlineStr">
        <is>
          <t xml:space="preserve">                        (подпись, инициалы, фамилия)</t>
        </is>
      </c>
      <c r="B20" s="338" t="n"/>
      <c r="C20" s="338" t="n"/>
      <c r="D20" s="336" t="n"/>
      <c r="E20" s="336" t="n"/>
      <c r="F20" s="336" t="n"/>
      <c r="G20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327" min="1" max="1"/>
    <col width="29.7109375" customWidth="1" style="327" min="2" max="2"/>
    <col width="35" customWidth="1" style="327" min="3" max="3"/>
    <col width="27.5703125" customWidth="1" style="327" min="4" max="4"/>
    <col width="24.85546875" customWidth="1" style="327" min="5" max="5"/>
    <col width="8.85546875" customWidth="1" style="327" min="6" max="6"/>
  </cols>
  <sheetData>
    <row r="1">
      <c r="B1" s="328" t="n"/>
      <c r="C1" s="328" t="n"/>
      <c r="D1" s="388" t="inlineStr">
        <is>
          <t>Приложение №7</t>
        </is>
      </c>
    </row>
    <row r="2">
      <c r="A2" s="388" t="n"/>
      <c r="B2" s="388" t="n"/>
      <c r="C2" s="388" t="n"/>
      <c r="D2" s="388" t="n"/>
    </row>
    <row r="3" ht="24.75" customHeight="1" s="327">
      <c r="A3" s="342" t="inlineStr">
        <is>
          <t>Расчет показателя УНЦ</t>
        </is>
      </c>
    </row>
    <row r="4" ht="24.75" customHeight="1" s="327">
      <c r="A4" s="342" t="n"/>
      <c r="B4" s="342" t="n"/>
      <c r="C4" s="342" t="n"/>
      <c r="D4" s="342" t="n"/>
    </row>
    <row r="5" ht="36" customHeight="1" s="327">
      <c r="A5" s="345" t="inlineStr">
        <is>
          <t xml:space="preserve">Наименование разрабатываемого показателя УНЦ - </t>
        </is>
      </c>
      <c r="D5" s="345">
        <f>'Прил.5 Расчет СМР и ОБ'!D6</f>
        <v/>
      </c>
    </row>
    <row r="6" ht="19.9" customHeight="1" s="327">
      <c r="A6" s="345">
        <f>'Прил.1 Сравнит табл'!B9</f>
        <v/>
      </c>
      <c r="D6" s="345" t="n"/>
    </row>
    <row r="7">
      <c r="A7" s="328" t="n"/>
      <c r="B7" s="328" t="n"/>
      <c r="C7" s="328" t="n"/>
      <c r="D7" s="328" t="n"/>
    </row>
    <row r="8" ht="14.45" customHeight="1" s="327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27">
      <c r="A9" s="442" t="n"/>
      <c r="B9" s="442" t="n"/>
      <c r="C9" s="442" t="n"/>
      <c r="D9" s="442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7">
      <c r="A11" s="374" t="inlineStr">
        <is>
          <t>Л9-01</t>
        </is>
      </c>
      <c r="B11" s="374" t="inlineStr">
        <is>
          <t>УНЦ устройства лежневых дорог</t>
        </is>
      </c>
      <c r="C11" s="333">
        <f>D5</f>
        <v/>
      </c>
      <c r="D11" s="334">
        <f>'Прил.4 РМ'!C41/1000</f>
        <v/>
      </c>
      <c r="E11" s="335" t="n"/>
    </row>
    <row r="12">
      <c r="A12" s="336" t="n"/>
      <c r="B12" s="337" t="n"/>
      <c r="C12" s="336" t="n"/>
      <c r="D12" s="336" t="n"/>
    </row>
    <row r="13">
      <c r="A13" s="328" t="inlineStr">
        <is>
          <t>Составил ______________________        А.П. Николаева</t>
        </is>
      </c>
      <c r="B13" s="338" t="n"/>
      <c r="C13" s="338" t="n"/>
      <c r="D13" s="336" t="n"/>
    </row>
    <row r="14">
      <c r="A14" s="339" t="inlineStr">
        <is>
          <t xml:space="preserve">                         (подпись, инициалы, фамилия)</t>
        </is>
      </c>
      <c r="B14" s="338" t="n"/>
      <c r="C14" s="338" t="n"/>
      <c r="D14" s="336" t="n"/>
    </row>
    <row r="15">
      <c r="A15" s="328" t="n"/>
      <c r="B15" s="338" t="n"/>
      <c r="C15" s="338" t="n"/>
      <c r="D15" s="336" t="n"/>
    </row>
    <row r="16">
      <c r="A16" s="328" t="inlineStr">
        <is>
          <t>Проверил ______________________        А.В. Костянецкая</t>
        </is>
      </c>
      <c r="B16" s="338" t="n"/>
      <c r="C16" s="338" t="n"/>
      <c r="D16" s="336" t="n"/>
    </row>
    <row r="17">
      <c r="A17" s="339" t="inlineStr">
        <is>
          <t xml:space="preserve">                        (подпись, инициалы, фамилия)</t>
        </is>
      </c>
      <c r="B17" s="338" t="n"/>
      <c r="C17" s="338" t="n"/>
      <c r="D17" s="3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6" sqref="D26"/>
    </sheetView>
  </sheetViews>
  <sheetFormatPr baseColWidth="8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0" t="inlineStr">
        <is>
          <t>Приложение № 10</t>
        </is>
      </c>
    </row>
    <row r="5" ht="18.75" customHeight="1" s="327">
      <c r="B5" s="193" t="n"/>
    </row>
    <row r="6" ht="15.75" customHeight="1" s="327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7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27">
      <c r="B10" s="368" t="n">
        <v>1</v>
      </c>
      <c r="C10" s="368" t="n">
        <v>2</v>
      </c>
      <c r="D10" s="368" t="n">
        <v>3</v>
      </c>
    </row>
    <row r="11" ht="45" customHeight="1" s="327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01.04.2023г. №17772-ИФ/09 прил.9</t>
        </is>
      </c>
      <c r="D11" s="368" t="n">
        <v>46.83</v>
      </c>
    </row>
    <row r="12" ht="31.5" customHeight="1" s="327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01.04.2023г. №17772-ИФ/09 прил.9</t>
        </is>
      </c>
      <c r="D12" s="368" t="n">
        <v>11.96</v>
      </c>
    </row>
    <row r="13" ht="31.5" customHeight="1" s="327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01.04.2023г. №17772-ИФ/09 прил.9</t>
        </is>
      </c>
      <c r="D13" s="368" t="n">
        <v>9.84</v>
      </c>
    </row>
    <row r="14" ht="31.5" customHeight="1" s="327">
      <c r="B14" s="368" t="inlineStr">
        <is>
          <t>Индекс изменения сметной стоимости на 1 квартал 2023 года. ОБ</t>
        </is>
      </c>
      <c r="C14" s="323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27">
      <c r="B15" s="368" t="inlineStr">
        <is>
          <t>Временные здания и сооружения</t>
        </is>
      </c>
      <c r="C15" s="36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6" t="n">
        <v>0.033</v>
      </c>
    </row>
    <row r="16" ht="78.75" customHeight="1" s="327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6" t="n">
        <v>0.01</v>
      </c>
    </row>
    <row r="17" ht="15.75" customHeight="1" s="327">
      <c r="B17" s="368" t="n"/>
      <c r="C17" s="368" t="n"/>
      <c r="D17" s="368" t="n"/>
    </row>
    <row r="18" ht="31.5" customHeight="1" s="327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196" t="n">
        <v>0.0214</v>
      </c>
    </row>
    <row r="19" ht="31.5" customHeight="1" s="327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196" t="n">
        <v>0.002</v>
      </c>
    </row>
    <row r="20" ht="24" customHeight="1" s="327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196" t="n">
        <v>0.03</v>
      </c>
    </row>
    <row r="21" ht="18.75" customHeight="1" s="327">
      <c r="B21" s="194" t="n"/>
    </row>
    <row r="22" ht="18.75" customHeight="1" s="327">
      <c r="B22" s="194" t="n"/>
    </row>
    <row r="23" ht="18.75" customHeight="1" s="327">
      <c r="B23" s="194" t="n"/>
    </row>
    <row r="24" ht="18.75" customHeight="1" s="327">
      <c r="B24" s="194" t="n"/>
    </row>
    <row r="27">
      <c r="B27" s="328" t="inlineStr">
        <is>
          <t>Составил ______________________        А.П. Николаева</t>
        </is>
      </c>
      <c r="C27" s="338" t="n"/>
    </row>
    <row r="28">
      <c r="B28" s="339" t="inlineStr">
        <is>
          <t xml:space="preserve">                         (подпись, инициалы, фамилия)</t>
        </is>
      </c>
      <c r="C28" s="338" t="n"/>
    </row>
    <row r="29">
      <c r="B29" s="328" t="n"/>
      <c r="C29" s="338" t="n"/>
    </row>
    <row r="30">
      <c r="B30" s="328" t="inlineStr">
        <is>
          <t>Проверил ______________________        А.В. Костянецкая</t>
        </is>
      </c>
      <c r="C30" s="338" t="n"/>
    </row>
    <row r="31">
      <c r="B31" s="339" t="inlineStr">
        <is>
          <t xml:space="preserve">                        (подпись, инициалы, фамилия)</t>
        </is>
      </c>
      <c r="C31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26" sqref="B26"/>
    </sheetView>
  </sheetViews>
  <sheetFormatPr baseColWidth="8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6" t="inlineStr">
        <is>
          <t>Составлен в уровне цен на 01.01.2023 г.</t>
        </is>
      </c>
      <c r="B4" s="177" t="n"/>
      <c r="C4" s="177" t="n"/>
      <c r="D4" s="177" t="n"/>
      <c r="E4" s="177" t="n"/>
      <c r="F4" s="177" t="n"/>
      <c r="G4" s="177" t="n"/>
    </row>
    <row r="5" ht="15.75" customHeight="1" s="327">
      <c r="A5" s="178" t="inlineStr">
        <is>
          <t>№ пп.</t>
        </is>
      </c>
      <c r="B5" s="178" t="inlineStr">
        <is>
          <t>Наименование элемента</t>
        </is>
      </c>
      <c r="C5" s="178" t="inlineStr">
        <is>
          <t>Обозначение</t>
        </is>
      </c>
      <c r="D5" s="178" t="inlineStr">
        <is>
          <t>Формула</t>
        </is>
      </c>
      <c r="E5" s="178" t="inlineStr">
        <is>
          <t>Величина элемента</t>
        </is>
      </c>
      <c r="F5" s="178" t="inlineStr">
        <is>
          <t>Наименования обосновывающих документов</t>
        </is>
      </c>
      <c r="G5" s="177" t="n"/>
    </row>
    <row r="6" ht="15.75" customHeight="1" s="327">
      <c r="A6" s="178" t="n">
        <v>1</v>
      </c>
      <c r="B6" s="178" t="n">
        <v>2</v>
      </c>
      <c r="C6" s="178" t="n">
        <v>3</v>
      </c>
      <c r="D6" s="178" t="n">
        <v>4</v>
      </c>
      <c r="E6" s="178" t="n">
        <v>5</v>
      </c>
      <c r="F6" s="178" t="n">
        <v>6</v>
      </c>
      <c r="G6" s="177" t="n"/>
    </row>
    <row r="7" ht="110.25" customHeight="1" s="327">
      <c r="A7" s="179" t="inlineStr">
        <is>
          <t>1.1</t>
        </is>
      </c>
      <c r="B7" s="18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182" t="n">
        <v>47872.94</v>
      </c>
      <c r="F7" s="18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7" t="n"/>
    </row>
    <row r="8" ht="31.5" customHeight="1" s="327">
      <c r="A8" s="179" t="inlineStr">
        <is>
          <t>1.2</t>
        </is>
      </c>
      <c r="B8" s="183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182">
        <f>1973/12</f>
        <v/>
      </c>
      <c r="F8" s="183" t="inlineStr">
        <is>
          <t>Производственный календарь 2023 год
(40-часов.неделя)</t>
        </is>
      </c>
      <c r="G8" s="185" t="n"/>
    </row>
    <row r="9" ht="15.75" customHeight="1" s="327">
      <c r="A9" s="179" t="inlineStr">
        <is>
          <t>1.3</t>
        </is>
      </c>
      <c r="B9" s="183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182" t="n">
        <v>1</v>
      </c>
      <c r="F9" s="183" t="n"/>
      <c r="G9" s="185" t="n"/>
    </row>
    <row r="10" ht="15.75" customHeight="1" s="327">
      <c r="A10" s="179" t="inlineStr">
        <is>
          <t>1.4</t>
        </is>
      </c>
      <c r="B10" s="183" t="inlineStr">
        <is>
          <t>Средний разряд работ</t>
        </is>
      </c>
      <c r="C10" s="368" t="n"/>
      <c r="D10" s="368" t="n"/>
      <c r="E10" s="186" t="n">
        <v>3.6</v>
      </c>
      <c r="F10" s="183" t="inlineStr">
        <is>
          <t>РТМ</t>
        </is>
      </c>
      <c r="G10" s="185" t="n"/>
    </row>
    <row r="11" ht="78.75" customHeight="1" s="327">
      <c r="A11" s="179" t="inlineStr">
        <is>
          <t>1.5</t>
        </is>
      </c>
      <c r="B11" s="183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187" t="n">
        <v>1.278</v>
      </c>
      <c r="F11" s="18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7" t="n"/>
    </row>
    <row r="12" ht="78.75" customHeight="1" s="327">
      <c r="A12" s="179" t="inlineStr">
        <is>
          <t>1.6</t>
        </is>
      </c>
      <c r="B12" s="310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189" t="n">
        <v>1.139</v>
      </c>
      <c r="F12" s="19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179" t="inlineStr">
        <is>
          <t>1.7</t>
        </is>
      </c>
      <c r="B13" s="191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192">
        <f>((E7*E9/E8)*E11)*E12</f>
        <v/>
      </c>
      <c r="F13" s="18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2025-01-24T12:10:46Z</dcterms:modified>
  <cp:lastModifiedBy>Danil</cp:lastModifiedBy>
  <cp:lastPrinted>2023-11-27T08:22:49Z</cp:lastPrinted>
</cp:coreProperties>
</file>