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tabSelected="1" view="pageBreakPreview" topLeftCell="A16" zoomScale="60" zoomScaleNormal="85" workbookViewId="0">
      <selection activeCell="C27" sqref="C27"/>
    </sheetView>
  </sheetViews>
  <sheetFormatPr baseColWidth="8" defaultColWidth="9.140625" defaultRowHeight="15.75"/>
  <cols>
    <col width="9.140625" customWidth="1" style="301" min="1" max="2"/>
    <col width="36.85546875" customWidth="1" style="301" min="3" max="3"/>
    <col width="36.5703125" customWidth="1" style="301" min="4" max="5"/>
    <col width="37.42578125" customWidth="1" style="301" min="6" max="6"/>
    <col width="9.140625" customWidth="1" style="301" min="7" max="7"/>
  </cols>
  <sheetData>
    <row r="3">
      <c r="B3" s="313" t="inlineStr">
        <is>
          <t>Приложение № 1</t>
        </is>
      </c>
    </row>
    <row r="4">
      <c r="B4" s="314" t="inlineStr">
        <is>
          <t>Сравнительная таблица отбора объекта-представителя</t>
        </is>
      </c>
    </row>
    <row r="5">
      <c r="B5" s="243" t="n"/>
      <c r="C5" s="243" t="n"/>
      <c r="D5" s="243" t="n"/>
      <c r="E5" s="243" t="n"/>
    </row>
    <row r="6">
      <c r="B6" s="243" t="n"/>
      <c r="C6" s="243" t="n"/>
      <c r="D6" s="243" t="n"/>
      <c r="E6" s="243" t="n"/>
    </row>
    <row r="7">
      <c r="B7" s="315" t="inlineStr">
        <is>
          <t>Наименование разрабатываемого показателя УНЦ — Противооползневые мероприятия  ВЛ220-750кВ</t>
        </is>
      </c>
      <c r="F7" s="242" t="n"/>
    </row>
    <row r="8" ht="31.5" customHeight="1" s="299">
      <c r="B8" s="315" t="inlineStr">
        <is>
          <t>Сопоставимый уровень цен: 2 кв 2019</t>
        </is>
      </c>
    </row>
    <row r="9">
      <c r="B9" s="315" t="inlineStr">
        <is>
          <t>Единица измерения  — опора</t>
        </is>
      </c>
      <c r="F9" s="242" t="n"/>
    </row>
    <row r="10">
      <c r="B10" s="315" t="n"/>
    </row>
    <row r="11">
      <c r="B11" s="321" t="inlineStr">
        <is>
          <t>№ п/п</t>
        </is>
      </c>
      <c r="C11" s="321" t="inlineStr">
        <is>
          <t>Параметр</t>
        </is>
      </c>
      <c r="D11" s="237" t="inlineStr">
        <is>
          <t>Объект-представитель 1</t>
        </is>
      </c>
      <c r="E11" s="237" t="inlineStr">
        <is>
          <t>Объект-представитель 2</t>
        </is>
      </c>
      <c r="F11" s="242" t="n"/>
    </row>
    <row r="12" ht="96.75" customHeight="1" s="299">
      <c r="B12" s="321" t="n">
        <v>1</v>
      </c>
      <c r="C12" s="237" t="inlineStr">
        <is>
          <t>Наименование объекта-представителя</t>
        </is>
      </c>
      <c r="D12" s="237" t="inlineStr">
        <is>
          <t xml:space="preserve"> ВЛ 220 кВ Адлерская ТЭС - Псоу</t>
        </is>
      </c>
      <c r="E12" s="237" t="inlineStr">
        <is>
          <t>ВЛ 330 кВ Артем-Дербент</t>
        </is>
      </c>
    </row>
    <row r="13" ht="31.5" customHeight="1" s="299">
      <c r="B13" s="321" t="n">
        <v>2</v>
      </c>
      <c r="C13" s="237" t="inlineStr">
        <is>
          <t>Наименование субъекта Российской Федерации</t>
        </is>
      </c>
      <c r="D13" s="237" t="inlineStr">
        <is>
          <t>Краснодарский край</t>
        </is>
      </c>
      <c r="E13" s="237" t="inlineStr">
        <is>
          <t>Республика Дагестан</t>
        </is>
      </c>
    </row>
    <row r="14">
      <c r="B14" s="321" t="n">
        <v>3</v>
      </c>
      <c r="C14" s="237" t="inlineStr">
        <is>
          <t>Климатический район и подрайон</t>
        </is>
      </c>
      <c r="D14" s="237" t="inlineStr">
        <is>
          <t>IVБ</t>
        </is>
      </c>
      <c r="E14" s="237" t="inlineStr">
        <is>
          <t>IVБ</t>
        </is>
      </c>
    </row>
    <row r="15">
      <c r="B15" s="321" t="n">
        <v>4</v>
      </c>
      <c r="C15" s="237" t="inlineStr">
        <is>
          <t>Мощность объекта</t>
        </is>
      </c>
      <c r="D15" s="264" t="n">
        <v>1</v>
      </c>
      <c r="E15" s="264" t="n">
        <v>1</v>
      </c>
    </row>
    <row r="16" ht="116.25" customHeight="1" s="299">
      <c r="B16" s="32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7" t="inlineStr">
        <is>
          <t>Водоотводной лоток, срезка/подсыпка грунта</t>
        </is>
      </c>
      <c r="E16" s="237" t="inlineStr">
        <is>
          <t>Водоотводная канава, срезка/подсыпка косогоров</t>
        </is>
      </c>
    </row>
    <row r="17" ht="78.75" customHeight="1" s="299">
      <c r="B17" s="32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SUM(D18:D21)</f>
        <v/>
      </c>
      <c r="E17" s="263">
        <f>SUM(E18:E21)</f>
        <v/>
      </c>
      <c r="F17" s="280" t="n"/>
    </row>
    <row r="18">
      <c r="B18" s="241" t="inlineStr">
        <is>
          <t>6.1</t>
        </is>
      </c>
      <c r="C18" s="237" t="inlineStr">
        <is>
          <t>строительно-монтажные работы</t>
        </is>
      </c>
      <c r="D18" s="263" t="n">
        <v>2169.13</v>
      </c>
      <c r="E18" s="263" t="n">
        <v>3298.1</v>
      </c>
    </row>
    <row r="19" ht="15.75" customHeight="1" s="299">
      <c r="B19" s="241" t="inlineStr">
        <is>
          <t>6.2</t>
        </is>
      </c>
      <c r="C19" s="237" t="inlineStr">
        <is>
          <t>оборудование и инвентарь</t>
        </is>
      </c>
      <c r="D19" s="263" t="n">
        <v>0</v>
      </c>
      <c r="E19" s="263" t="n">
        <v>0</v>
      </c>
    </row>
    <row r="20" ht="16.5" customHeight="1" s="299">
      <c r="B20" s="241" t="inlineStr">
        <is>
          <t>6.3</t>
        </is>
      </c>
      <c r="C20" s="237" t="inlineStr">
        <is>
          <t>пусконаладочные работы</t>
        </is>
      </c>
      <c r="D20" s="263" t="n">
        <v>0</v>
      </c>
      <c r="E20" s="263" t="n">
        <v>0</v>
      </c>
    </row>
    <row r="21" ht="35.25" customHeight="1" s="299">
      <c r="B21" s="241" t="inlineStr">
        <is>
          <t>6.4</t>
        </is>
      </c>
      <c r="C21" s="240" t="inlineStr">
        <is>
          <t>прочие и лимитированные затраты</t>
        </is>
      </c>
      <c r="D21" s="263">
        <f>D18*3.3%*0.8+(D18+D18*3.3%*0.8)*0.3%</f>
        <v/>
      </c>
      <c r="E21" s="263">
        <f>E18*3.3%+(E18+E18*3.3%)*0.3%*1.1</f>
        <v/>
      </c>
    </row>
    <row r="22">
      <c r="B22" s="321" t="n">
        <v>7</v>
      </c>
      <c r="C22" s="240" t="inlineStr">
        <is>
          <t>Сопоставимый уровень цен</t>
        </is>
      </c>
      <c r="D22" s="321" t="inlineStr">
        <is>
          <t>2 кв 2019</t>
        </is>
      </c>
      <c r="E22" s="321" t="inlineStr">
        <is>
          <t>2 кв 2019</t>
        </is>
      </c>
      <c r="F22" s="238" t="n"/>
    </row>
    <row r="23" ht="123" customHeight="1" s="299">
      <c r="B23" s="321" t="n">
        <v>8</v>
      </c>
      <c r="C23" s="23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5">
        <f>D17/6.87*8.16</f>
        <v/>
      </c>
      <c r="E23" s="265">
        <f>E17/7.57*8.16</f>
        <v/>
      </c>
      <c r="F23" s="280" t="n"/>
    </row>
    <row r="24" ht="60.75" customHeight="1" s="299">
      <c r="B24" s="32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5">
        <f>D23/D15</f>
        <v/>
      </c>
      <c r="E24" s="265">
        <f>E23/E15</f>
        <v/>
      </c>
      <c r="F24" s="238" t="n"/>
    </row>
    <row r="25" ht="164.25" customHeight="1" s="299">
      <c r="B25" s="321" t="n">
        <v>10</v>
      </c>
      <c r="C25" s="237" t="inlineStr">
        <is>
          <t>Примечание</t>
        </is>
      </c>
      <c r="D25" s="237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 Рекомендуемая расчетная единица  УНЦ - 1 опора</t>
        </is>
      </c>
      <c r="E25" s="237" t="n"/>
    </row>
    <row r="26">
      <c r="B26" s="236" t="n"/>
      <c r="C26" s="235" t="n"/>
      <c r="D26" s="235" t="n"/>
      <c r="E26" s="235" t="n"/>
    </row>
    <row r="27">
      <c r="B27" s="234" t="n"/>
    </row>
    <row r="28">
      <c r="B28" s="301" t="inlineStr">
        <is>
          <t>Составил ______________________        А.П. Николаева</t>
        </is>
      </c>
    </row>
    <row r="29">
      <c r="B29" s="234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234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2"/>
  <sheetViews>
    <sheetView view="pageBreakPreview" topLeftCell="A19" zoomScale="115" zoomScaleNormal="70" zoomScaleSheetLayoutView="115" workbookViewId="0">
      <selection activeCell="C28" sqref="C28"/>
    </sheetView>
  </sheetViews>
  <sheetFormatPr baseColWidth="8" defaultColWidth="9.140625" defaultRowHeight="15.75"/>
  <cols>
    <col width="5.5703125" customWidth="1" style="301" min="1" max="1"/>
    <col width="9.140625" customWidth="1" style="301" min="2" max="2"/>
    <col width="35.28515625" customWidth="1" style="301" min="3" max="3"/>
    <col width="13.85546875" customWidth="1" style="301" min="4" max="4"/>
    <col width="24.85546875" customWidth="1" style="301" min="5" max="5"/>
    <col width="15.5703125" customWidth="1" style="301" min="6" max="6"/>
    <col width="14.85546875" customWidth="1" style="301" min="7" max="7"/>
    <col width="16.7109375" customWidth="1" style="301" min="8" max="8"/>
    <col width="13" customWidth="1" style="301" min="9" max="10"/>
    <col width="18" customWidth="1" style="301" min="11" max="11"/>
    <col width="9.140625" customWidth="1" style="301" min="12" max="12"/>
  </cols>
  <sheetData>
    <row r="3">
      <c r="B3" s="313" t="inlineStr">
        <is>
          <t>Приложение № 2</t>
        </is>
      </c>
      <c r="K3" s="234" t="n"/>
    </row>
    <row r="4">
      <c r="B4" s="314" t="inlineStr">
        <is>
          <t>Расчет стоимости основных видов работ для выбора объекта-представителя</t>
        </is>
      </c>
    </row>
    <row r="5">
      <c r="B5" s="243" t="n"/>
      <c r="C5" s="243" t="n"/>
      <c r="D5" s="243" t="n"/>
      <c r="E5" s="243" t="n"/>
      <c r="F5" s="243" t="n"/>
      <c r="G5" s="243" t="n"/>
      <c r="H5" s="243" t="n"/>
      <c r="I5" s="243" t="n"/>
      <c r="J5" s="243" t="n"/>
      <c r="K5" s="243" t="n"/>
    </row>
    <row r="6" ht="15.75" customHeight="1" s="299">
      <c r="B6" s="320" t="inlineStr">
        <is>
          <t>Наименование разрабатываемого показателя УНЦ —  Противооползневые мероприятия  ВЛ220-750кВ</t>
        </is>
      </c>
      <c r="K6" s="234" t="n"/>
      <c r="L6" s="242" t="n"/>
    </row>
    <row r="7">
      <c r="B7" s="315" t="inlineStr">
        <is>
          <t>Единица измерения  — опора</t>
        </is>
      </c>
      <c r="L7" s="242" t="n"/>
    </row>
    <row r="8">
      <c r="B8" s="315" t="n"/>
    </row>
    <row r="9">
      <c r="B9" s="321" t="inlineStr">
        <is>
          <t>№ п/п</t>
        </is>
      </c>
      <c r="C9" s="3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1" t="inlineStr">
        <is>
          <t>Объект-представитель 1</t>
        </is>
      </c>
      <c r="E9" s="408" t="n"/>
      <c r="F9" s="408" t="n"/>
      <c r="G9" s="408" t="n"/>
      <c r="H9" s="408" t="n"/>
      <c r="I9" s="408" t="n"/>
      <c r="J9" s="409" t="n"/>
    </row>
    <row r="10">
      <c r="B10" s="410" t="n"/>
      <c r="C10" s="410" t="n"/>
      <c r="D10" s="321" t="inlineStr">
        <is>
          <t>Номер сметы</t>
        </is>
      </c>
      <c r="E10" s="321" t="inlineStr">
        <is>
          <t>Наименование сметы</t>
        </is>
      </c>
      <c r="F10" s="321" t="inlineStr">
        <is>
          <t>Сметная стоимость в уровне цен 2 кв. 2019 г., тыс. руб.</t>
        </is>
      </c>
      <c r="G10" s="408" t="n"/>
      <c r="H10" s="408" t="n"/>
      <c r="I10" s="408" t="n"/>
      <c r="J10" s="409" t="n"/>
    </row>
    <row r="11" ht="31.5" customHeight="1" s="299">
      <c r="B11" s="411" t="n"/>
      <c r="C11" s="411" t="n"/>
      <c r="D11" s="411" t="n"/>
      <c r="E11" s="411" t="n"/>
      <c r="F11" s="321" t="inlineStr">
        <is>
          <t>Строительные работы</t>
        </is>
      </c>
      <c r="G11" s="321" t="inlineStr">
        <is>
          <t>Монтажные работы</t>
        </is>
      </c>
      <c r="H11" s="321" t="inlineStr">
        <is>
          <t>Оборудование</t>
        </is>
      </c>
      <c r="I11" s="321" t="inlineStr">
        <is>
          <t>Прочее</t>
        </is>
      </c>
      <c r="J11" s="321" t="inlineStr">
        <is>
          <t>Всего</t>
        </is>
      </c>
    </row>
    <row r="12" ht="150" customHeight="1" s="299">
      <c r="B12" s="262" t="n">
        <v>1</v>
      </c>
      <c r="C12" s="237" t="inlineStr">
        <is>
          <t>Водоотводной лоток, срезка/подсыпка грунта</t>
        </is>
      </c>
      <c r="D12" s="261" t="inlineStr">
        <is>
          <t>02-04-01</t>
        </is>
      </c>
      <c r="E12" s="237" t="inlineStr">
        <is>
          <t xml:space="preserve">Этап 4. Реконструкция ВЛ 220 кВ Адлерская ТЭС-Псоу в части мероприятий противооползневой защиты (защита основания опоры – 1 шт.).  </t>
        </is>
      </c>
      <c r="F12" s="257">
        <f>315.74*6.87</f>
        <v/>
      </c>
      <c r="G12" s="246" t="n"/>
      <c r="H12" s="246" t="n"/>
      <c r="I12" s="246" t="n"/>
      <c r="J12" s="259">
        <f>SUM(F12:I12)</f>
        <v/>
      </c>
    </row>
    <row r="13">
      <c r="B13" s="319" t="inlineStr">
        <is>
          <t>Всего по объекту:</t>
        </is>
      </c>
      <c r="C13" s="408" t="n"/>
      <c r="D13" s="408" t="n"/>
      <c r="E13" s="409" t="n"/>
      <c r="F13" s="258">
        <f>SUM(F12:F12)</f>
        <v/>
      </c>
      <c r="G13" s="245" t="n"/>
      <c r="H13" s="245" t="n"/>
      <c r="I13" s="245" t="n"/>
      <c r="J13" s="260">
        <f>SUM(F13:I13)</f>
        <v/>
      </c>
    </row>
    <row r="14" ht="28.5" customHeight="1" s="299">
      <c r="B14" s="319" t="inlineStr">
        <is>
          <t>Всего по объекту в сопоставимом уровне цен 2 кв. 2019 г:</t>
        </is>
      </c>
      <c r="C14" s="408" t="n"/>
      <c r="D14" s="408" t="n"/>
      <c r="E14" s="409" t="n"/>
      <c r="F14" s="258">
        <f>F13</f>
        <v/>
      </c>
      <c r="G14" s="245" t="n"/>
      <c r="H14" s="245" t="n"/>
      <c r="I14" s="245" t="n"/>
      <c r="J14" s="260">
        <f>SUM(F14:I14)</f>
        <v/>
      </c>
    </row>
    <row r="15">
      <c r="B15" s="315" t="n"/>
    </row>
    <row r="16">
      <c r="B16" s="321" t="inlineStr">
        <is>
          <t>№ п/п</t>
        </is>
      </c>
      <c r="C16" s="3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321" t="inlineStr">
        <is>
          <t>Объект-представитель 2</t>
        </is>
      </c>
      <c r="E16" s="408" t="n"/>
      <c r="F16" s="408" t="n"/>
      <c r="G16" s="408" t="n"/>
      <c r="H16" s="408" t="n"/>
      <c r="I16" s="408" t="n"/>
      <c r="J16" s="409" t="n"/>
    </row>
    <row r="17">
      <c r="B17" s="410" t="n"/>
      <c r="C17" s="410" t="n"/>
      <c r="D17" s="321" t="inlineStr">
        <is>
          <t>Номер сметы</t>
        </is>
      </c>
      <c r="E17" s="321" t="inlineStr">
        <is>
          <t>Наименование сметы</t>
        </is>
      </c>
      <c r="F17" s="321" t="inlineStr">
        <is>
          <t>Сметная стоимость в уровне цен 1 кв. 2019 г., тыс. руб.</t>
        </is>
      </c>
      <c r="G17" s="408" t="n"/>
      <c r="H17" s="408" t="n"/>
      <c r="I17" s="408" t="n"/>
      <c r="J17" s="409" t="n"/>
    </row>
    <row r="18" ht="31.5" customHeight="1" s="299">
      <c r="B18" s="411" t="n"/>
      <c r="C18" s="411" t="n"/>
      <c r="D18" s="411" t="n"/>
      <c r="E18" s="411" t="n"/>
      <c r="F18" s="321" t="inlineStr">
        <is>
          <t>Строительные работы</t>
        </is>
      </c>
      <c r="G18" s="321" t="inlineStr">
        <is>
          <t>Монтажные работы</t>
        </is>
      </c>
      <c r="H18" s="321" t="inlineStr">
        <is>
          <t>Оборудование</t>
        </is>
      </c>
      <c r="I18" s="321" t="inlineStr">
        <is>
          <t>Прочее</t>
        </is>
      </c>
      <c r="J18" s="321" t="inlineStr">
        <is>
          <t>Всего</t>
        </is>
      </c>
    </row>
    <row r="19" ht="73.5" customHeight="1" s="299">
      <c r="B19" s="262" t="n">
        <v>1</v>
      </c>
      <c r="C19" s="264" t="inlineStr">
        <is>
          <t>Водоотводная канава, срезка/подсыпка косогоров</t>
        </is>
      </c>
      <c r="D19" s="261" t="inlineStr">
        <is>
          <t>02-01-50</t>
        </is>
      </c>
      <c r="E19" s="237" t="inlineStr">
        <is>
          <t xml:space="preserve">Перетрассировка. Устройство фундаментов. Участок Уг60а-оп. № 556 </t>
        </is>
      </c>
      <c r="F19" s="257">
        <f>435.68*7.57</f>
        <v/>
      </c>
      <c r="G19" s="246" t="n"/>
      <c r="H19" s="246" t="n"/>
      <c r="I19" s="246" t="n"/>
      <c r="J19" s="259">
        <f>SUM(F19:I19)</f>
        <v/>
      </c>
    </row>
    <row r="20">
      <c r="B20" s="319" t="inlineStr">
        <is>
          <t>Всего по объекту:</t>
        </is>
      </c>
      <c r="C20" s="408" t="n"/>
      <c r="D20" s="408" t="n"/>
      <c r="E20" s="409" t="n"/>
      <c r="F20" s="258">
        <f>SUM(F19:F19)</f>
        <v/>
      </c>
      <c r="G20" s="245" t="n"/>
      <c r="H20" s="245" t="n"/>
      <c r="I20" s="245" t="n"/>
      <c r="J20" s="260">
        <f>SUM(F20:I20)</f>
        <v/>
      </c>
    </row>
    <row r="21" ht="28.5" customHeight="1" s="299">
      <c r="B21" s="319" t="inlineStr">
        <is>
          <t>Всего по объекту в сопоставимом уровне цен 1 кв. 2019 г:</t>
        </is>
      </c>
      <c r="C21" s="408" t="n"/>
      <c r="D21" s="408" t="n"/>
      <c r="E21" s="409" t="n"/>
      <c r="F21" s="258">
        <f>F20</f>
        <v/>
      </c>
      <c r="G21" s="245" t="n"/>
      <c r="H21" s="245" t="n"/>
      <c r="I21" s="245" t="n"/>
      <c r="J21" s="260">
        <f>SUM(F21:I21)</f>
        <v/>
      </c>
    </row>
    <row r="24">
      <c r="B24" s="341" t="inlineStr">
        <is>
          <t>*</t>
        </is>
      </c>
      <c r="C24" s="301" t="inlineStr">
        <is>
          <t xml:space="preserve"> - стоимость с учетом исключения затрат на корректровку по транспортировке  свыше 30 км.</t>
        </is>
      </c>
    </row>
    <row r="28">
      <c r="B28" s="301" t="inlineStr">
        <is>
          <t>Составил ______________________        А.П. Николаева</t>
        </is>
      </c>
    </row>
    <row r="29">
      <c r="B29" s="234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234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0"/>
  <sheetViews>
    <sheetView view="pageBreakPreview" topLeftCell="A40" workbookViewId="0">
      <selection activeCell="C56" sqref="C56"/>
    </sheetView>
  </sheetViews>
  <sheetFormatPr baseColWidth="8" defaultColWidth="9.140625" defaultRowHeight="15.75"/>
  <cols>
    <col width="9.140625" customWidth="1" style="301" min="1" max="1"/>
    <col width="12.5703125" customWidth="1" style="301" min="2" max="2"/>
    <col width="22.42578125" customWidth="1" style="301" min="3" max="3"/>
    <col width="49.7109375" customWidth="1" style="301" min="4" max="4"/>
    <col width="10.140625" customWidth="1" style="301" min="5" max="5"/>
    <col width="20.7109375" customWidth="1" style="301" min="6" max="6"/>
    <col width="16.140625" customWidth="1" style="301" min="7" max="7"/>
    <col width="16.7109375" customWidth="1" style="301" min="8" max="8"/>
    <col width="9.140625" customWidth="1" style="301" min="9" max="9"/>
  </cols>
  <sheetData>
    <row r="2">
      <c r="A2" s="313" t="inlineStr">
        <is>
          <t xml:space="preserve">Приложение № 3 </t>
        </is>
      </c>
    </row>
    <row r="3">
      <c r="A3" s="314" t="inlineStr">
        <is>
          <t>Объектная ресурсная ведомость</t>
        </is>
      </c>
    </row>
    <row r="4">
      <c r="A4" s="315" t="n"/>
    </row>
    <row r="5">
      <c r="A5" s="320" t="inlineStr">
        <is>
          <t>Наименование разрабатываемого показателя УНЦ -  Противооползневые мероприятия  ВЛ220-750кВ</t>
        </is>
      </c>
    </row>
    <row r="6" s="299">
      <c r="A6" s="320" t="n"/>
      <c r="B6" s="320" t="n"/>
      <c r="C6" s="320" t="n"/>
      <c r="D6" s="320" t="n"/>
      <c r="E6" s="320" t="n"/>
      <c r="F6" s="320" t="n"/>
      <c r="G6" s="320" t="n"/>
      <c r="H6" s="320" t="n"/>
      <c r="I6" s="301" t="n"/>
    </row>
    <row r="7" s="299">
      <c r="A7" s="320" t="n"/>
      <c r="B7" s="320" t="n"/>
      <c r="C7" s="320" t="n"/>
      <c r="D7" s="320" t="n"/>
      <c r="E7" s="320" t="n"/>
      <c r="F7" s="320" t="n"/>
      <c r="G7" s="320" t="n"/>
      <c r="H7" s="320" t="n"/>
      <c r="I7" s="301" t="n"/>
    </row>
    <row r="8">
      <c r="A8" s="320" t="n"/>
      <c r="B8" s="320" t="n"/>
      <c r="C8" s="320" t="n"/>
      <c r="D8" s="320" t="n"/>
      <c r="E8" s="320" t="n"/>
      <c r="F8" s="320" t="n"/>
      <c r="G8" s="320" t="n"/>
      <c r="H8" s="320" t="n"/>
    </row>
    <row r="9" ht="38.25" customHeight="1" s="299">
      <c r="A9" s="321" t="inlineStr">
        <is>
          <t>п/п</t>
        </is>
      </c>
      <c r="B9" s="321" t="inlineStr">
        <is>
          <t>№ЛСР</t>
        </is>
      </c>
      <c r="C9" s="321" t="inlineStr">
        <is>
          <t>Код ресурса</t>
        </is>
      </c>
      <c r="D9" s="321" t="inlineStr">
        <is>
          <t>Наименование ресурса</t>
        </is>
      </c>
      <c r="E9" s="321" t="inlineStr">
        <is>
          <t>Ед. изм.</t>
        </is>
      </c>
      <c r="F9" s="321" t="inlineStr">
        <is>
          <t>Кол-во единиц по данным объекта-представителя</t>
        </is>
      </c>
      <c r="G9" s="321" t="inlineStr">
        <is>
          <t>Сметная стоимость в ценах на 01.01.2000 (руб.)</t>
        </is>
      </c>
      <c r="H9" s="409" t="n"/>
    </row>
    <row r="10" ht="40.5" customHeight="1" s="299">
      <c r="A10" s="411" t="n"/>
      <c r="B10" s="411" t="n"/>
      <c r="C10" s="411" t="n"/>
      <c r="D10" s="411" t="n"/>
      <c r="E10" s="411" t="n"/>
      <c r="F10" s="411" t="n"/>
      <c r="G10" s="321" t="inlineStr">
        <is>
          <t>на ед.изм.</t>
        </is>
      </c>
      <c r="H10" s="321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251">
      <c r="A12" s="322" t="inlineStr">
        <is>
          <t>Затраты труда рабочих</t>
        </is>
      </c>
      <c r="B12" s="408" t="n"/>
      <c r="C12" s="408" t="n"/>
      <c r="D12" s="408" t="n"/>
      <c r="E12" s="409" t="n"/>
      <c r="F12" s="252" t="n">
        <v>990.3423576</v>
      </c>
      <c r="G12" s="252" t="n"/>
      <c r="H12" s="252">
        <f>SUM(H13:H18)</f>
        <v/>
      </c>
    </row>
    <row r="13">
      <c r="A13" s="323" t="n">
        <v>1</v>
      </c>
      <c r="B13" s="255" t="inlineStr">
        <is>
          <t xml:space="preserve"> 02-04-01</t>
        </is>
      </c>
      <c r="C13" s="254" t="inlineStr">
        <is>
          <t>1-3-0</t>
        </is>
      </c>
      <c r="D13" s="324" t="inlineStr">
        <is>
          <t>Затраты труда рабочих (ср 3)</t>
        </is>
      </c>
      <c r="E13" s="323" t="inlineStr">
        <is>
          <t>чел.-ч</t>
        </is>
      </c>
      <c r="F13" s="323" t="n">
        <v>535.371492</v>
      </c>
      <c r="G13" s="248" t="n">
        <v>8.529999999999999</v>
      </c>
      <c r="H13" s="248">
        <f>ROUND(F13*G13,2)</f>
        <v/>
      </c>
      <c r="J13" s="301" t="n"/>
    </row>
    <row r="14">
      <c r="A14" s="323" t="n">
        <v>2</v>
      </c>
      <c r="B14" s="255" t="inlineStr">
        <is>
          <t xml:space="preserve"> 02-04-01</t>
        </is>
      </c>
      <c r="C14" s="254" t="inlineStr">
        <is>
          <t>1-3-4</t>
        </is>
      </c>
      <c r="D14" s="324" t="inlineStr">
        <is>
          <t>Затраты труда рабочих (ср 3,4)</t>
        </is>
      </c>
      <c r="E14" s="323" t="inlineStr">
        <is>
          <t>чел.-ч</t>
        </is>
      </c>
      <c r="F14" s="323" t="n">
        <v>268.488</v>
      </c>
      <c r="G14" s="248" t="n">
        <v>8.970000000000001</v>
      </c>
      <c r="H14" s="248">
        <f>ROUND(F14*G14,2)</f>
        <v/>
      </c>
      <c r="J14" s="301" t="n"/>
    </row>
    <row r="15">
      <c r="A15" s="323" t="n">
        <v>3</v>
      </c>
      <c r="B15" s="255" t="inlineStr">
        <is>
          <t xml:space="preserve"> 02-04-01</t>
        </is>
      </c>
      <c r="C15" s="254" t="inlineStr">
        <is>
          <t>1-2-2</t>
        </is>
      </c>
      <c r="D15" s="324" t="inlineStr">
        <is>
          <t>Затраты труда рабочих (ср 2,2)</t>
        </is>
      </c>
      <c r="E15" s="323" t="inlineStr">
        <is>
          <t>чел.-ч</t>
        </is>
      </c>
      <c r="F15" s="323" t="n">
        <v>110.2045</v>
      </c>
      <c r="G15" s="248" t="n">
        <v>7.94</v>
      </c>
      <c r="H15" s="248">
        <f>ROUND(F15*G15,2)</f>
        <v/>
      </c>
      <c r="J15" s="301" t="n"/>
    </row>
    <row r="16">
      <c r="A16" s="323" t="n">
        <v>4</v>
      </c>
      <c r="B16" s="255" t="inlineStr">
        <is>
          <t xml:space="preserve"> 02-04-01</t>
        </is>
      </c>
      <c r="C16" s="254" t="inlineStr">
        <is>
          <t>1-2-8</t>
        </is>
      </c>
      <c r="D16" s="324" t="inlineStr">
        <is>
          <t>Затраты труда рабочих (ср 2,8)</t>
        </is>
      </c>
      <c r="E16" s="323" t="inlineStr">
        <is>
          <t>чел.-ч</t>
        </is>
      </c>
      <c r="F16" s="323" t="n">
        <v>35.028</v>
      </c>
      <c r="G16" s="248" t="n">
        <v>8.380000000000001</v>
      </c>
      <c r="H16" s="248">
        <f>ROUND(F16*G16,2)</f>
        <v/>
      </c>
      <c r="J16" s="301" t="n"/>
    </row>
    <row r="17">
      <c r="A17" s="323" t="n">
        <v>5</v>
      </c>
      <c r="B17" s="255" t="inlineStr">
        <is>
          <t xml:space="preserve"> 02-04-01</t>
        </is>
      </c>
      <c r="C17" s="254" t="inlineStr">
        <is>
          <t>1-2-0</t>
        </is>
      </c>
      <c r="D17" s="324" t="inlineStr">
        <is>
          <t>Затраты труда рабочих (ср 2)</t>
        </is>
      </c>
      <c r="E17" s="323" t="inlineStr">
        <is>
          <t>чел.-ч</t>
        </is>
      </c>
      <c r="F17" s="323" t="n">
        <v>32.8203656</v>
      </c>
      <c r="G17" s="248" t="n">
        <v>7.8</v>
      </c>
      <c r="H17" s="248">
        <f>ROUND(F17*G17,2)</f>
        <v/>
      </c>
      <c r="J17" s="301" t="n"/>
    </row>
    <row r="18">
      <c r="A18" s="323" t="n">
        <v>6</v>
      </c>
      <c r="B18" s="255" t="inlineStr">
        <is>
          <t xml:space="preserve"> 02-04-01</t>
        </is>
      </c>
      <c r="C18" s="254" t="inlineStr">
        <is>
          <t>1-2-7</t>
        </is>
      </c>
      <c r="D18" s="324" t="inlineStr">
        <is>
          <t>Затраты труда рабочих (ср 2,7)</t>
        </is>
      </c>
      <c r="E18" s="323" t="inlineStr">
        <is>
          <t>чел.-ч</t>
        </is>
      </c>
      <c r="F18" s="323" t="n">
        <v>8.43</v>
      </c>
      <c r="G18" s="248" t="n">
        <v>8.31</v>
      </c>
      <c r="H18" s="248">
        <f>ROUND(F18*G18,2)</f>
        <v/>
      </c>
      <c r="J18" s="301" t="n"/>
    </row>
    <row r="19">
      <c r="A19" s="322" t="inlineStr">
        <is>
          <t>Затраты труда машинистов</t>
        </is>
      </c>
      <c r="B19" s="408" t="n"/>
      <c r="C19" s="408" t="n"/>
      <c r="D19" s="408" t="n"/>
      <c r="E19" s="409" t="n"/>
      <c r="F19" s="322" t="n">
        <v>211.893602</v>
      </c>
      <c r="G19" s="252" t="n"/>
      <c r="H19" s="252">
        <f>H20</f>
        <v/>
      </c>
    </row>
    <row r="20">
      <c r="A20" s="323" t="n">
        <v>7</v>
      </c>
      <c r="B20" s="323" t="inlineStr">
        <is>
          <t xml:space="preserve"> 02-04-01</t>
        </is>
      </c>
      <c r="C20" s="324" t="n">
        <v>2</v>
      </c>
      <c r="D20" s="324" t="inlineStr">
        <is>
          <t>Затраты труда машинистов</t>
        </is>
      </c>
      <c r="E20" s="323" t="inlineStr">
        <is>
          <t>чел.-ч</t>
        </is>
      </c>
      <c r="F20" s="323" t="n">
        <v>211.893602</v>
      </c>
      <c r="G20" s="248" t="n">
        <v>0</v>
      </c>
      <c r="H20" s="248" t="n">
        <v>7868.31</v>
      </c>
      <c r="J20" s="301" t="n"/>
    </row>
    <row r="21" customFormat="1" s="251">
      <c r="A21" s="322" t="inlineStr">
        <is>
          <t>Машины и механизмы</t>
        </is>
      </c>
      <c r="B21" s="408" t="n"/>
      <c r="C21" s="408" t="n"/>
      <c r="D21" s="408" t="n"/>
      <c r="E21" s="409" t="n"/>
      <c r="F21" s="322" t="n"/>
      <c r="G21" s="252" t="n"/>
      <c r="H21" s="252">
        <f>SUM(H22:H36)</f>
        <v/>
      </c>
    </row>
    <row r="22" ht="31.5" customHeight="1" s="299">
      <c r="A22" s="323" t="n">
        <v>8</v>
      </c>
      <c r="B22" s="323" t="inlineStr">
        <is>
          <t xml:space="preserve"> 02-04-01</t>
        </is>
      </c>
      <c r="C22" s="324" t="inlineStr">
        <is>
          <t>91.14.03-002</t>
        </is>
      </c>
      <c r="D22" s="324" t="inlineStr">
        <is>
          <t>Автомобили-самосвалы, грузоподъемность до 10 т</t>
        </is>
      </c>
      <c r="E22" s="323" t="inlineStr">
        <is>
          <t>маш.-ч</t>
        </is>
      </c>
      <c r="F22" s="323" t="n">
        <v>372.29</v>
      </c>
      <c r="G22" s="248" t="n">
        <v>87.48999999999999</v>
      </c>
      <c r="H22" s="248">
        <f>ROUND(F22*G22,2)</f>
        <v/>
      </c>
      <c r="J22" s="412" t="n"/>
      <c r="L22" s="267" t="n"/>
    </row>
    <row r="23" ht="31.5" customFormat="1" customHeight="1" s="251">
      <c r="A23" s="323" t="n">
        <v>9</v>
      </c>
      <c r="B23" s="323" t="inlineStr">
        <is>
          <t xml:space="preserve"> 02-04-01</t>
        </is>
      </c>
      <c r="C23" s="324" t="inlineStr">
        <is>
          <t>91.01.05-086</t>
        </is>
      </c>
      <c r="D23" s="324" t="inlineStr">
        <is>
          <t>Экскаваторы одноковшовые дизельные на гусеничном ходу, емкость ковша 0,65 м3</t>
        </is>
      </c>
      <c r="E23" s="323" t="inlineStr">
        <is>
          <t>маш.час</t>
        </is>
      </c>
      <c r="F23" s="323" t="n">
        <v>127.516431</v>
      </c>
      <c r="G23" s="248" t="n">
        <v>115.27</v>
      </c>
      <c r="H23" s="248">
        <f>ROUND(F23*G23,2)</f>
        <v/>
      </c>
      <c r="L23" s="267" t="n"/>
    </row>
    <row r="24" ht="31.5" customHeight="1" s="299">
      <c r="A24" s="323" t="n">
        <v>10</v>
      </c>
      <c r="B24" s="323" t="inlineStr">
        <is>
          <t xml:space="preserve"> 02-04-01</t>
        </is>
      </c>
      <c r="C24" s="324" t="inlineStr">
        <is>
          <t>91.05.06-012</t>
        </is>
      </c>
      <c r="D24" s="324" t="inlineStr">
        <is>
          <t>Краны на гусеничном ходу, грузоподъемность до 16 т</t>
        </is>
      </c>
      <c r="E24" s="323" t="inlineStr">
        <is>
          <t>маш.час</t>
        </is>
      </c>
      <c r="F24" s="323" t="n">
        <v>34.990902</v>
      </c>
      <c r="G24" s="248" t="n">
        <v>96.89</v>
      </c>
      <c r="H24" s="248">
        <f>ROUND(F24*G24,2)</f>
        <v/>
      </c>
      <c r="L24" s="267" t="n"/>
    </row>
    <row r="25">
      <c r="A25" s="323" t="n">
        <v>11</v>
      </c>
      <c r="B25" s="323" t="inlineStr">
        <is>
          <t xml:space="preserve"> 02-04-01</t>
        </is>
      </c>
      <c r="C25" s="324" t="inlineStr">
        <is>
          <t>91.01.01-035</t>
        </is>
      </c>
      <c r="D25" s="324" t="inlineStr">
        <is>
          <t>Бульдозеры, мощность 79 кВт (108 л.с.)</t>
        </is>
      </c>
      <c r="E25" s="323" t="inlineStr">
        <is>
          <t>маш.час</t>
        </is>
      </c>
      <c r="F25" s="323" t="n">
        <v>25.649885</v>
      </c>
      <c r="G25" s="248" t="n">
        <v>79.06999999999999</v>
      </c>
      <c r="H25" s="248">
        <f>ROUND(F25*G25,2)</f>
        <v/>
      </c>
      <c r="L25" s="267" t="n"/>
    </row>
    <row r="26">
      <c r="A26" s="323" t="n">
        <v>12</v>
      </c>
      <c r="B26" s="323" t="inlineStr">
        <is>
          <t xml:space="preserve"> 02-04-01</t>
        </is>
      </c>
      <c r="C26" s="324" t="inlineStr">
        <is>
          <t>91.01.01-036</t>
        </is>
      </c>
      <c r="D26" s="324" t="inlineStr">
        <is>
          <t>Бульдозеры, мощность 96 кВт (130 л.с.)</t>
        </is>
      </c>
      <c r="E26" s="323" t="inlineStr">
        <is>
          <t>маш.час</t>
        </is>
      </c>
      <c r="F26" s="323" t="n">
        <v>13.670027</v>
      </c>
      <c r="G26" s="248" t="n">
        <v>94.05</v>
      </c>
      <c r="H26" s="248">
        <f>ROUND(F26*G26,2)</f>
        <v/>
      </c>
      <c r="L26" s="267" t="n"/>
    </row>
    <row r="27">
      <c r="A27" s="323" t="n">
        <v>13</v>
      </c>
      <c r="B27" s="323" t="inlineStr">
        <is>
          <t xml:space="preserve"> 02-04-01</t>
        </is>
      </c>
      <c r="C27" s="324" t="inlineStr">
        <is>
          <t>91.01.01-034</t>
        </is>
      </c>
      <c r="D27" s="324" t="inlineStr">
        <is>
          <t>Бульдозеры, мощность 59 кВт (80 л.с.)</t>
        </is>
      </c>
      <c r="E27" s="323" t="inlineStr">
        <is>
          <t>маш.час</t>
        </is>
      </c>
      <c r="F27" s="323" t="n">
        <v>6.97125</v>
      </c>
      <c r="G27" s="248" t="n">
        <v>59.47</v>
      </c>
      <c r="H27" s="248">
        <f>ROUND(F27*G27,2)</f>
        <v/>
      </c>
      <c r="L27" s="267" t="n"/>
    </row>
    <row r="28" ht="31.5" customHeight="1" s="299">
      <c r="A28" s="323" t="n">
        <v>14</v>
      </c>
      <c r="B28" s="323" t="inlineStr">
        <is>
          <t xml:space="preserve"> 02-04-01</t>
        </is>
      </c>
      <c r="C28" s="324" t="inlineStr">
        <is>
          <t>91.12.07-001</t>
        </is>
      </c>
      <c r="D28" s="324" t="inlineStr">
        <is>
          <t>Агрегаты для травосеяния на откосах автомобильных и железных дорог</t>
        </is>
      </c>
      <c r="E28" s="323" t="inlineStr">
        <is>
          <t>маш.час</t>
        </is>
      </c>
      <c r="F28" s="323" t="n">
        <v>12.35</v>
      </c>
      <c r="G28" s="248" t="n">
        <v>25.1</v>
      </c>
      <c r="H28" s="248">
        <f>ROUND(F28*G28,2)</f>
        <v/>
      </c>
    </row>
    <row r="29">
      <c r="A29" s="323" t="n">
        <v>15</v>
      </c>
      <c r="B29" s="323" t="inlineStr">
        <is>
          <t xml:space="preserve"> 02-04-01</t>
        </is>
      </c>
      <c r="C29" s="324" t="inlineStr">
        <is>
          <t>91.14.02-001</t>
        </is>
      </c>
      <c r="D29" s="324" t="inlineStr">
        <is>
          <t>Автомобили бортовые, грузоподъемность до 5 т</t>
        </is>
      </c>
      <c r="E29" s="323" t="inlineStr">
        <is>
          <t>маш.час</t>
        </is>
      </c>
      <c r="F29" s="323" t="n">
        <v>1.964598</v>
      </c>
      <c r="G29" s="248" t="n">
        <v>65.70999999999999</v>
      </c>
      <c r="H29" s="248">
        <f>ROUND(F29*G29,2)</f>
        <v/>
      </c>
    </row>
    <row r="30" ht="31.5" customHeight="1" s="299">
      <c r="A30" s="323" t="n">
        <v>16</v>
      </c>
      <c r="B30" s="323" t="inlineStr">
        <is>
          <t xml:space="preserve"> 02-04-01</t>
        </is>
      </c>
      <c r="C30" s="324" t="inlineStr">
        <is>
          <t>91.05.05-015</t>
        </is>
      </c>
      <c r="D30" s="324" t="inlineStr">
        <is>
          <t>Краны на автомобильном ходу, грузоподъемность 16 т</t>
        </is>
      </c>
      <c r="E30" s="323" t="inlineStr">
        <is>
          <t>маш.час</t>
        </is>
      </c>
      <c r="F30" s="323" t="n">
        <v>0.473856</v>
      </c>
      <c r="G30" s="248" t="n">
        <v>115.4</v>
      </c>
      <c r="H30" s="248">
        <f>ROUND(F30*G30,2)</f>
        <v/>
      </c>
    </row>
    <row r="31" ht="47.25" customHeight="1" s="299">
      <c r="A31" s="323" t="n">
        <v>17</v>
      </c>
      <c r="B31" s="323" t="inlineStr">
        <is>
          <t xml:space="preserve"> 02-04-01</t>
        </is>
      </c>
      <c r="C31" s="324" t="inlineStr">
        <is>
          <t>91.06.05-057</t>
        </is>
      </c>
      <c r="D31" s="324" t="inlineStr">
        <is>
          <t>Погрузчики одноковшовые универсальные фронтальные пневмоколесные, грузоподъемность 3 т</t>
        </is>
      </c>
      <c r="E31" s="323" t="inlineStr">
        <is>
          <t>маш.час</t>
        </is>
      </c>
      <c r="F31" s="323" t="n">
        <v>0.4039</v>
      </c>
      <c r="G31" s="248" t="n">
        <v>90.40000000000001</v>
      </c>
      <c r="H31" s="248">
        <f>ROUND(F31*G31,2)</f>
        <v/>
      </c>
    </row>
    <row r="32" ht="31.5" customHeight="1" s="299">
      <c r="A32" s="323" t="n">
        <v>18</v>
      </c>
      <c r="B32" s="323" t="inlineStr">
        <is>
          <t xml:space="preserve"> 02-04-01</t>
        </is>
      </c>
      <c r="C32" s="324" t="inlineStr">
        <is>
          <t>91.14.03-001</t>
        </is>
      </c>
      <c r="D32" s="324" t="inlineStr">
        <is>
          <t>Автомобили-самосвалы, грузоподъемность до 7 т</t>
        </is>
      </c>
      <c r="E32" s="323" t="inlineStr">
        <is>
          <t>маш.час</t>
        </is>
      </c>
      <c r="F32" s="323" t="n">
        <v>0.13596</v>
      </c>
      <c r="G32" s="248" t="n">
        <v>89.54000000000001</v>
      </c>
      <c r="H32" s="248">
        <f>ROUND(F32*G32,2)</f>
        <v/>
      </c>
    </row>
    <row r="33" ht="31.5" customHeight="1" s="299">
      <c r="A33" s="323" t="n">
        <v>19</v>
      </c>
      <c r="B33" s="323" t="inlineStr">
        <is>
          <t xml:space="preserve"> 02-04-01</t>
        </is>
      </c>
      <c r="C33" s="324" t="inlineStr">
        <is>
          <t>91.08.09-024</t>
        </is>
      </c>
      <c r="D33" s="324" t="inlineStr">
        <is>
          <t>Трамбовки пневматические при работе от стационарного компрессора</t>
        </is>
      </c>
      <c r="E33" s="323" t="inlineStr">
        <is>
          <t>маш.час</t>
        </is>
      </c>
      <c r="F33" s="323" t="n">
        <v>2.308</v>
      </c>
      <c r="G33" s="248" t="n">
        <v>4.91</v>
      </c>
      <c r="H33" s="248">
        <f>ROUND(F33*G33,2)</f>
        <v/>
      </c>
    </row>
    <row r="34" ht="31.5" customHeight="1" s="299">
      <c r="A34" s="323" t="n">
        <v>20</v>
      </c>
      <c r="B34" s="323" t="inlineStr">
        <is>
          <t xml:space="preserve"> 02-04-01</t>
        </is>
      </c>
      <c r="C34" s="324" t="inlineStr">
        <is>
          <t>91.01.02-004</t>
        </is>
      </c>
      <c r="D34" s="324" t="inlineStr">
        <is>
          <t>Автогрейдеры среднего типа, мощность 99 кВт (135 л.с.)</t>
        </is>
      </c>
      <c r="E34" s="323" t="inlineStr">
        <is>
          <t>маш.час</t>
        </is>
      </c>
      <c r="F34" s="323" t="n">
        <v>0.061875</v>
      </c>
      <c r="G34" s="248" t="n">
        <v>123</v>
      </c>
      <c r="H34" s="248">
        <f>ROUND(F34*G34,2)</f>
        <v/>
      </c>
    </row>
    <row r="35">
      <c r="A35" s="323" t="n">
        <v>21</v>
      </c>
      <c r="B35" s="323" t="inlineStr">
        <is>
          <t xml:space="preserve"> 02-04-01</t>
        </is>
      </c>
      <c r="C35" s="324" t="inlineStr">
        <is>
          <t>91.07.04-002</t>
        </is>
      </c>
      <c r="D35" s="324" t="inlineStr">
        <is>
          <t>Вибраторы поверхностные</t>
        </is>
      </c>
      <c r="E35" s="323" t="inlineStr">
        <is>
          <t>маш.час</t>
        </is>
      </c>
      <c r="F35" s="323" t="n">
        <v>15.035328</v>
      </c>
      <c r="G35" s="248" t="n">
        <v>0.5</v>
      </c>
      <c r="H35" s="248">
        <f>ROUND(F35*G35,2)</f>
        <v/>
      </c>
    </row>
    <row r="36">
      <c r="A36" s="323" t="n">
        <v>22</v>
      </c>
      <c r="B36" s="323" t="inlineStr">
        <is>
          <t xml:space="preserve"> 02-04-01</t>
        </is>
      </c>
      <c r="C36" s="324" t="inlineStr">
        <is>
          <t>91.06.05-011</t>
        </is>
      </c>
      <c r="D36" s="324" t="inlineStr">
        <is>
          <t>Погрузчики, грузоподъемность 5 т</t>
        </is>
      </c>
      <c r="E36" s="323" t="inlineStr">
        <is>
          <t>маш.час</t>
        </is>
      </c>
      <c r="F36" s="323" t="n">
        <v>0.054918</v>
      </c>
      <c r="G36" s="248" t="n">
        <v>89.98999999999999</v>
      </c>
      <c r="H36" s="248">
        <f>ROUND(F36*G36,2)</f>
        <v/>
      </c>
    </row>
    <row r="37">
      <c r="A37" s="322" t="inlineStr">
        <is>
          <t>Материалы</t>
        </is>
      </c>
      <c r="B37" s="408" t="n"/>
      <c r="C37" s="408" t="n"/>
      <c r="D37" s="408" t="n"/>
      <c r="E37" s="409" t="n"/>
      <c r="F37" s="322" t="n"/>
      <c r="G37" s="252" t="n"/>
      <c r="H37" s="252">
        <f>SUM(H38:H53)</f>
        <v/>
      </c>
    </row>
    <row r="38" ht="31.5" customHeight="1" s="299">
      <c r="A38" s="323" t="n">
        <v>23</v>
      </c>
      <c r="B38" s="323" t="inlineStr">
        <is>
          <t xml:space="preserve"> 02-04-01</t>
        </is>
      </c>
      <c r="C38" s="324" t="inlineStr">
        <is>
          <t>01.7.12.03-0001</t>
        </is>
      </c>
      <c r="D38" s="324" t="inlineStr">
        <is>
          <t>Геомат МТС 15-550 (300) ЭКСТРАМАТ (ТУ 2291-021-00205009-2011) (Геомат СМТ 600)</t>
        </is>
      </c>
      <c r="E38" s="323" t="inlineStr">
        <is>
          <t>м2</t>
        </is>
      </c>
      <c r="F38" s="323" t="n">
        <v>3250</v>
      </c>
      <c r="G38" s="248" t="n">
        <v>51.6</v>
      </c>
      <c r="H38" s="248">
        <f>ROUND(F38*G38,2)</f>
        <v/>
      </c>
      <c r="K38" s="267" t="n"/>
    </row>
    <row r="39">
      <c r="A39" s="323" t="n">
        <v>24</v>
      </c>
      <c r="B39" s="323" t="inlineStr">
        <is>
          <t xml:space="preserve"> 02-04-01</t>
        </is>
      </c>
      <c r="C39" s="324" t="inlineStr">
        <is>
          <t>16.2.01.02-0001</t>
        </is>
      </c>
      <c r="D39" s="324" t="inlineStr">
        <is>
          <t>Земля растительная</t>
        </is>
      </c>
      <c r="E39" s="323" t="inlineStr">
        <is>
          <t>м3</t>
        </is>
      </c>
      <c r="F39" s="323" t="n">
        <v>513.5</v>
      </c>
      <c r="G39" s="248" t="n">
        <v>135.6</v>
      </c>
      <c r="H39" s="248">
        <f>ROUND(F39*G39,2)</f>
        <v/>
      </c>
      <c r="K39" s="267" t="n"/>
    </row>
    <row r="40" ht="31.5" customHeight="1" s="299">
      <c r="A40" s="323" t="n">
        <v>25</v>
      </c>
      <c r="B40" s="323" t="inlineStr">
        <is>
          <t xml:space="preserve"> 02-04-01</t>
        </is>
      </c>
      <c r="C40" s="324" t="inlineStr">
        <is>
          <t>02.2.04.04-0002</t>
        </is>
      </c>
      <c r="D40" s="324" t="inlineStr">
        <is>
          <t>Смеси готовые щебеночно-песчаные (ГОСТ 25607-2009) номер: С2, размер зерен 0-20 мм</t>
        </is>
      </c>
      <c r="E40" s="323" t="inlineStr">
        <is>
          <t>м3</t>
        </is>
      </c>
      <c r="F40" s="323" t="n">
        <v>110</v>
      </c>
      <c r="G40" s="248" t="n">
        <v>157.78</v>
      </c>
      <c r="H40" s="248">
        <f>ROUND(F40*G40,2)</f>
        <v/>
      </c>
      <c r="K40" s="267" t="n"/>
    </row>
    <row r="41" ht="47.25" customHeight="1" s="299">
      <c r="A41" s="323" t="n">
        <v>26</v>
      </c>
      <c r="B41" s="323" t="inlineStr">
        <is>
          <t xml:space="preserve"> 02-04-01</t>
        </is>
      </c>
      <c r="C41" s="324" t="inlineStr">
        <is>
          <t>04.1.02.02-0029</t>
        </is>
      </c>
      <c r="D41" s="324" t="inlineStr">
        <is>
          <t>Смеси бетонные тяжелого бетона (БСТ) для гидротехнических сооружений, класс В25 (М350)</t>
        </is>
      </c>
      <c r="E41" s="323" t="inlineStr">
        <is>
          <t>м3</t>
        </is>
      </c>
      <c r="F41" s="323" t="n">
        <v>20.6451</v>
      </c>
      <c r="G41" s="248" t="n">
        <v>789.24</v>
      </c>
      <c r="H41" s="248">
        <f>ROUND(F41*G41,2)</f>
        <v/>
      </c>
    </row>
    <row r="42">
      <c r="A42" s="323" t="n">
        <v>27</v>
      </c>
      <c r="B42" s="323" t="inlineStr">
        <is>
          <t xml:space="preserve"> 02-04-01</t>
        </is>
      </c>
      <c r="C42" s="324" t="inlineStr">
        <is>
          <t>16.2.02.07-0161</t>
        </is>
      </c>
      <c r="D42" s="324" t="inlineStr">
        <is>
          <t>Семена газонных трав (смесь)</t>
        </is>
      </c>
      <c r="E42" s="323" t="inlineStr">
        <is>
          <t>кг</t>
        </is>
      </c>
      <c r="F42" s="323" t="n">
        <v>87.75</v>
      </c>
      <c r="G42" s="248" t="n">
        <v>146.25</v>
      </c>
      <c r="H42" s="248">
        <f>ROUND(F42*G42,2)</f>
        <v/>
      </c>
    </row>
    <row r="43" ht="31.5" customHeight="1" s="299">
      <c r="A43" s="323" t="n">
        <v>28</v>
      </c>
      <c r="B43" s="323" t="inlineStr">
        <is>
          <t xml:space="preserve"> 02-04-01</t>
        </is>
      </c>
      <c r="C43" s="324" t="inlineStr">
        <is>
          <t>08.4.03.02-0004</t>
        </is>
      </c>
      <c r="D43" s="324" t="inlineStr">
        <is>
          <t>Сталь арматурная, горячекатаная, гладкая, класс А-I, диаметр 12 мм</t>
        </is>
      </c>
      <c r="E43" s="323" t="inlineStr">
        <is>
          <t>т</t>
        </is>
      </c>
      <c r="F43" s="323" t="n">
        <v>1.15</v>
      </c>
      <c r="G43" s="248" t="n">
        <v>6508.75</v>
      </c>
      <c r="H43" s="248">
        <f>ROUND(F43*G43,2)</f>
        <v/>
      </c>
    </row>
    <row r="44" ht="31.5" customHeight="1" s="299">
      <c r="A44" s="323" t="n">
        <v>29</v>
      </c>
      <c r="B44" s="323" t="inlineStr">
        <is>
          <t xml:space="preserve"> 02-04-01</t>
        </is>
      </c>
      <c r="C44" s="324" t="inlineStr">
        <is>
          <t>24.3.03.13-0264</t>
        </is>
      </c>
      <c r="D44" s="324" t="inlineStr">
        <is>
          <t>Трубы полиэтиленовые ПЭ80, SDR41, диаметр 500 мм</t>
        </is>
      </c>
      <c r="E44" s="323" t="inlineStr">
        <is>
          <t>м</t>
        </is>
      </c>
      <c r="F44" s="323" t="n">
        <v>8.65</v>
      </c>
      <c r="G44" s="248" t="n">
        <v>405.06</v>
      </c>
      <c r="H44" s="248">
        <f>ROUND(F44*G44,2)</f>
        <v/>
      </c>
    </row>
    <row r="45" ht="47.25" customHeight="1" s="299">
      <c r="A45" s="323" t="n">
        <v>30</v>
      </c>
      <c r="B45" s="323" t="inlineStr">
        <is>
          <t xml:space="preserve"> 02-04-01</t>
        </is>
      </c>
      <c r="C45" s="324" t="inlineStr">
        <is>
          <t>08.4.02.03-0021</t>
        </is>
      </c>
      <c r="D45" s="324" t="inlineStr">
        <is>
          <t>Каркасы и сетки арматурные плоские, собранные и сваренные (связанные) в арматурные изделия, класс ВР-I, диаметр 4 мм</t>
        </is>
      </c>
      <c r="E45" s="323" t="inlineStr">
        <is>
          <t>т</t>
        </is>
      </c>
      <c r="F45" s="323" t="n">
        <v>0.25</v>
      </c>
      <c r="G45" s="248" t="n">
        <v>8817.17</v>
      </c>
      <c r="H45" s="248">
        <f>ROUND(F45*G45,2)</f>
        <v/>
      </c>
    </row>
    <row r="46">
      <c r="A46" s="323" t="n">
        <v>31</v>
      </c>
      <c r="B46" s="323" t="inlineStr">
        <is>
          <t xml:space="preserve"> 02-04-01</t>
        </is>
      </c>
      <c r="C46" s="324" t="inlineStr">
        <is>
          <t>02.2.05.04-1772</t>
        </is>
      </c>
      <c r="D46" s="324" t="inlineStr">
        <is>
          <t>Щебень М 600, фракция 20-40 мм, группа 2</t>
        </is>
      </c>
      <c r="E46" s="323" t="inlineStr">
        <is>
          <t>м3</t>
        </is>
      </c>
      <c r="F46" s="323" t="n">
        <v>7.501</v>
      </c>
      <c r="G46" s="248" t="n">
        <v>114.13</v>
      </c>
      <c r="H46" s="248">
        <f>ROUND(F46*G46,2)</f>
        <v/>
      </c>
    </row>
    <row r="47" ht="31.5" customHeight="1" s="299">
      <c r="A47" s="323" t="n">
        <v>32</v>
      </c>
      <c r="B47" s="323" t="inlineStr">
        <is>
          <t xml:space="preserve"> 02-04-01</t>
        </is>
      </c>
      <c r="C47" s="324" t="inlineStr">
        <is>
          <t>02.2.03.01-0006</t>
        </is>
      </c>
      <c r="D47" s="324" t="inlineStr">
        <is>
          <t>Камень бутовый М 300, размер от 150 до 500 мм</t>
        </is>
      </c>
      <c r="E47" s="323" t="inlineStr">
        <is>
          <t>м3</t>
        </is>
      </c>
      <c r="F47" s="323" t="n">
        <v>3.03</v>
      </c>
      <c r="G47" s="248" t="n">
        <v>203.4</v>
      </c>
      <c r="H47" s="248">
        <f>ROUND(F47*G47,2)</f>
        <v/>
      </c>
    </row>
    <row r="48">
      <c r="A48" s="323" t="n">
        <v>33</v>
      </c>
      <c r="B48" s="323" t="inlineStr">
        <is>
          <t xml:space="preserve"> 02-04-01</t>
        </is>
      </c>
      <c r="C48" s="324" t="inlineStr">
        <is>
          <t>01.7.15.06-0111</t>
        </is>
      </c>
      <c r="D48" s="324" t="inlineStr">
        <is>
          <t>Гвозди строительные</t>
        </is>
      </c>
      <c r="E48" s="323" t="inlineStr">
        <is>
          <t>т</t>
        </is>
      </c>
      <c r="F48" s="323" t="n">
        <v>0.04068</v>
      </c>
      <c r="G48" s="248" t="n">
        <v>11978</v>
      </c>
      <c r="H48" s="248">
        <f>ROUND(F48*G48,2)</f>
        <v/>
      </c>
    </row>
    <row r="49" ht="31.5" customHeight="1" s="299">
      <c r="A49" s="323" t="n">
        <v>34</v>
      </c>
      <c r="B49" s="323" t="inlineStr">
        <is>
          <t xml:space="preserve"> 02-04-01</t>
        </is>
      </c>
      <c r="C49" s="324" t="inlineStr">
        <is>
          <t>01.7.07.12-1006</t>
        </is>
      </c>
      <c r="D49" s="324" t="inlineStr">
        <is>
          <t>Пленка полиэтиленовая, толщина 80 мкм (Геотекс 200 мкм)</t>
        </is>
      </c>
      <c r="E49" s="323" t="inlineStr">
        <is>
          <t>м2</t>
        </is>
      </c>
      <c r="F49" s="323" t="n">
        <v>186.864</v>
      </c>
      <c r="G49" s="248" t="n">
        <v>1.94</v>
      </c>
      <c r="H49" s="248">
        <f>ROUND(F49*G49,2)</f>
        <v/>
      </c>
    </row>
    <row r="50" ht="31.5" customHeight="1" s="299">
      <c r="A50" s="323" t="n">
        <v>35</v>
      </c>
      <c r="B50" s="323" t="inlineStr">
        <is>
          <t xml:space="preserve"> 02-04-01</t>
        </is>
      </c>
      <c r="C50" s="324" t="inlineStr">
        <is>
          <t>11.1.03.06-0087</t>
        </is>
      </c>
      <c r="D50" s="324" t="inlineStr">
        <is>
          <t>Доска обрезная, хвойных пород, ширина 75-150 мм, толщина 25 мм, длина 4-6,5 м, сорт III</t>
        </is>
      </c>
      <c r="E50" s="323" t="inlineStr">
        <is>
          <t>м3</t>
        </is>
      </c>
      <c r="F50" s="323" t="n">
        <v>0.093432</v>
      </c>
      <c r="G50" s="248" t="n">
        <v>1100</v>
      </c>
      <c r="H50" s="248">
        <f>ROUND(F50*G50,2)</f>
        <v/>
      </c>
    </row>
    <row r="51" customFormat="1" s="251">
      <c r="A51" s="323" t="n">
        <v>36</v>
      </c>
      <c r="B51" s="323" t="inlineStr">
        <is>
          <t xml:space="preserve"> 02-04-01</t>
        </is>
      </c>
      <c r="C51" s="324" t="inlineStr">
        <is>
          <t>03.1.02.03-0011</t>
        </is>
      </c>
      <c r="D51" s="324" t="inlineStr">
        <is>
          <t>Известь строительная негашеная комовая, сорт I</t>
        </is>
      </c>
      <c r="E51" s="323" t="inlineStr">
        <is>
          <t>т</t>
        </is>
      </c>
      <c r="F51" s="323" t="n">
        <v>0.027459</v>
      </c>
      <c r="G51" s="248" t="n">
        <v>734.5</v>
      </c>
      <c r="H51" s="248">
        <f>ROUND(F51*G51,2)</f>
        <v/>
      </c>
    </row>
    <row r="52">
      <c r="A52" s="323" t="n">
        <v>37</v>
      </c>
      <c r="B52" s="323" t="inlineStr">
        <is>
          <t xml:space="preserve"> 02-04-01</t>
        </is>
      </c>
      <c r="C52" s="324" t="inlineStr">
        <is>
          <t>02.2.05.04-1777</t>
        </is>
      </c>
      <c r="D52" s="324" t="inlineStr">
        <is>
          <t>Щебень М 800, фракция 20-40 мм, группа 2</t>
        </is>
      </c>
      <c r="E52" s="323" t="inlineStr">
        <is>
          <t>м3</t>
        </is>
      </c>
      <c r="F52" s="323" t="n">
        <v>0.17113</v>
      </c>
      <c r="G52" s="248" t="n">
        <v>108.4</v>
      </c>
      <c r="H52" s="248">
        <f>ROUND(F52*G52,2)</f>
        <v/>
      </c>
    </row>
    <row r="53">
      <c r="A53" s="323" t="n">
        <v>38</v>
      </c>
      <c r="B53" s="323" t="inlineStr">
        <is>
          <t xml:space="preserve"> 02-04-01</t>
        </is>
      </c>
      <c r="C53" s="324" t="inlineStr">
        <is>
          <t>01.7.03.01-0001</t>
        </is>
      </c>
      <c r="D53" s="324" t="inlineStr">
        <is>
          <t>Вода</t>
        </is>
      </c>
      <c r="E53" s="323" t="inlineStr">
        <is>
          <t>м3</t>
        </is>
      </c>
      <c r="F53" s="323" t="n">
        <v>0.9474702</v>
      </c>
      <c r="G53" s="248" t="n">
        <v>2.44</v>
      </c>
      <c r="H53" s="248">
        <f>ROUND(F53*G53,2)</f>
        <v/>
      </c>
    </row>
    <row r="56">
      <c r="B56" s="301" t="inlineStr">
        <is>
          <t>Составил ______________________        А.П. Николаева</t>
        </is>
      </c>
    </row>
    <row r="57">
      <c r="B57" s="234" t="inlineStr">
        <is>
          <t xml:space="preserve">                         (подпись, инициалы, фамилия)</t>
        </is>
      </c>
    </row>
    <row r="59">
      <c r="B59" s="301" t="inlineStr">
        <is>
          <t>Проверил ______________________        А.В. Костянецкая</t>
        </is>
      </c>
    </row>
    <row r="60">
      <c r="B60" s="234" t="inlineStr">
        <is>
          <t xml:space="preserve">                        (подпись, инициалы, фамилия)</t>
        </is>
      </c>
    </row>
  </sheetData>
  <mergeCells count="14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7:E37"/>
    <mergeCell ref="A5:H5"/>
    <mergeCell ref="G9:H9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9" workbookViewId="0">
      <selection activeCell="D35" sqref="D35"/>
    </sheetView>
  </sheetViews>
  <sheetFormatPr baseColWidth="8" defaultRowHeight="15"/>
  <cols>
    <col width="4.140625" customWidth="1" style="299" min="1" max="1"/>
    <col width="36.28515625" customWidth="1" style="299" min="2" max="2"/>
    <col width="18.85546875" customWidth="1" style="299" min="3" max="3"/>
    <col width="18.28515625" customWidth="1" style="299" min="4" max="4"/>
    <col width="18.85546875" customWidth="1" style="299" min="5" max="5"/>
    <col width="9.140625" customWidth="1" style="299" min="6" max="6"/>
    <col width="13.42578125" customWidth="1" style="299" min="7" max="7"/>
    <col width="9.140625" customWidth="1" style="299" min="8" max="11"/>
    <col width="13.5703125" customWidth="1" style="299" min="12" max="12"/>
    <col width="9.140625" customWidth="1" style="299" min="13" max="13"/>
  </cols>
  <sheetData>
    <row r="1">
      <c r="B1" s="287" t="n"/>
      <c r="C1" s="287" t="n"/>
      <c r="D1" s="287" t="n"/>
      <c r="E1" s="287" t="n"/>
    </row>
    <row r="2">
      <c r="B2" s="287" t="n"/>
      <c r="C2" s="287" t="n"/>
      <c r="D2" s="287" t="n"/>
      <c r="E2" s="345" t="inlineStr">
        <is>
          <t>Приложение № 4</t>
        </is>
      </c>
    </row>
    <row r="3">
      <c r="B3" s="287" t="n"/>
      <c r="C3" s="287" t="n"/>
      <c r="D3" s="287" t="n"/>
      <c r="E3" s="287" t="n"/>
    </row>
    <row r="4">
      <c r="B4" s="287" t="n"/>
      <c r="C4" s="287" t="n"/>
      <c r="D4" s="287" t="n"/>
      <c r="E4" s="287" t="n"/>
    </row>
    <row r="5">
      <c r="B5" s="306" t="inlineStr">
        <is>
          <t>Ресурсная модель</t>
        </is>
      </c>
    </row>
    <row r="6">
      <c r="B6" s="278" t="n"/>
      <c r="C6" s="287" t="n"/>
      <c r="D6" s="287" t="n"/>
      <c r="E6" s="287" t="n"/>
    </row>
    <row r="7" ht="25.5" customHeight="1" s="299">
      <c r="B7" s="318" t="inlineStr">
        <is>
          <t>Наименование разрабатываемого показателя УНЦ — Противооползневые мероприятия  ВЛ220-750кВ</t>
        </is>
      </c>
    </row>
    <row r="8">
      <c r="B8" s="325" t="inlineStr">
        <is>
          <t>Единица измерения  — опора</t>
        </is>
      </c>
    </row>
    <row r="9">
      <c r="B9" s="278" t="n"/>
      <c r="C9" s="287" t="n"/>
      <c r="D9" s="287" t="n"/>
      <c r="E9" s="287" t="n"/>
    </row>
    <row r="10" ht="51" customHeight="1" s="299">
      <c r="B10" s="333" t="inlineStr">
        <is>
          <t>Наименование</t>
        </is>
      </c>
      <c r="C10" s="333" t="inlineStr">
        <is>
          <t>Сметная стоимость в ценах на 01.01.2023
 (руб.)</t>
        </is>
      </c>
      <c r="D10" s="333" t="inlineStr">
        <is>
          <t>Удельный вес, 
(в СМР)</t>
        </is>
      </c>
      <c r="E10" s="333" t="inlineStr">
        <is>
          <t>Удельный вес, % 
(от всего по РМ)</t>
        </is>
      </c>
    </row>
    <row r="11">
      <c r="B11" s="270" t="inlineStr">
        <is>
          <t>Оплата труда рабочих</t>
        </is>
      </c>
      <c r="C11" s="289">
        <f>'Прил.5 Расчет СМР и ОБ'!J14</f>
        <v/>
      </c>
      <c r="D11" s="272">
        <f>C11/$C$24</f>
        <v/>
      </c>
      <c r="E11" s="272">
        <f>C11/$C$40</f>
        <v/>
      </c>
    </row>
    <row r="12">
      <c r="B12" s="270" t="inlineStr">
        <is>
          <t>Эксплуатация машин основных</t>
        </is>
      </c>
      <c r="C12" s="289">
        <f>'Прил.5 Расчет СМР и ОБ'!J23</f>
        <v/>
      </c>
      <c r="D12" s="272">
        <f>C12/$C$24</f>
        <v/>
      </c>
      <c r="E12" s="272">
        <f>C12/$C$40</f>
        <v/>
      </c>
    </row>
    <row r="13">
      <c r="B13" s="270" t="inlineStr">
        <is>
          <t>Эксплуатация машин прочих</t>
        </is>
      </c>
      <c r="C13" s="289">
        <f>'Прил.5 Расчет СМР и ОБ'!J36</f>
        <v/>
      </c>
      <c r="D13" s="272">
        <f>C13/$C$24</f>
        <v/>
      </c>
      <c r="E13" s="272">
        <f>C13/$C$40</f>
        <v/>
      </c>
    </row>
    <row r="14">
      <c r="B14" s="270" t="inlineStr">
        <is>
          <t>ЭКСПЛУАТАЦИЯ МАШИН, ВСЕГО:</t>
        </is>
      </c>
      <c r="C14" s="289">
        <f>C13+C12</f>
        <v/>
      </c>
      <c r="D14" s="272">
        <f>C14/$C$24</f>
        <v/>
      </c>
      <c r="E14" s="272">
        <f>C14/$C$40</f>
        <v/>
      </c>
    </row>
    <row r="15">
      <c r="B15" s="270" t="inlineStr">
        <is>
          <t>в том числе зарплата машинистов</t>
        </is>
      </c>
      <c r="C15" s="289">
        <f>'Прил.5 Расчет СМР и ОБ'!J16</f>
        <v/>
      </c>
      <c r="D15" s="272">
        <f>C15/$C$24</f>
        <v/>
      </c>
      <c r="E15" s="272">
        <f>C15/$C$40</f>
        <v/>
      </c>
    </row>
    <row r="16">
      <c r="B16" s="270" t="inlineStr">
        <is>
          <t>Материалы основные</t>
        </is>
      </c>
      <c r="C16" s="289">
        <f>'Прил.5 Расчет СМР и ОБ'!J49</f>
        <v/>
      </c>
      <c r="D16" s="272">
        <f>C16/$C$24</f>
        <v/>
      </c>
      <c r="E16" s="272">
        <f>C16/$C$40</f>
        <v/>
      </c>
    </row>
    <row r="17">
      <c r="B17" s="270" t="inlineStr">
        <is>
          <t>Материалы прочие</t>
        </is>
      </c>
      <c r="C17" s="289">
        <f>'Прил.5 Расчет СМР и ОБ'!J63</f>
        <v/>
      </c>
      <c r="D17" s="272">
        <f>C17/$C$24</f>
        <v/>
      </c>
      <c r="E17" s="272">
        <f>C17/$C$40</f>
        <v/>
      </c>
      <c r="G17" s="413" t="n"/>
    </row>
    <row r="18">
      <c r="B18" s="270" t="inlineStr">
        <is>
          <t>МАТЕРИАЛЫ, ВСЕГО:</t>
        </is>
      </c>
      <c r="C18" s="289">
        <f>C17+C16</f>
        <v/>
      </c>
      <c r="D18" s="272">
        <f>C18/$C$24</f>
        <v/>
      </c>
      <c r="E18" s="272">
        <f>C18/$C$40</f>
        <v/>
      </c>
    </row>
    <row r="19">
      <c r="B19" s="270" t="inlineStr">
        <is>
          <t>ИТОГО</t>
        </is>
      </c>
      <c r="C19" s="289">
        <f>C18+C14+C11</f>
        <v/>
      </c>
      <c r="D19" s="272" t="n"/>
      <c r="E19" s="270" t="n"/>
    </row>
    <row r="20">
      <c r="B20" s="270" t="inlineStr">
        <is>
          <t>Сметная прибыль, руб.</t>
        </is>
      </c>
      <c r="C20" s="289">
        <f>ROUND(C21*(C11+C15),2)</f>
        <v/>
      </c>
      <c r="D20" s="272">
        <f>C20/$C$24</f>
        <v/>
      </c>
      <c r="E20" s="272">
        <f>C20/$C$40</f>
        <v/>
      </c>
    </row>
    <row r="21">
      <c r="B21" s="270" t="inlineStr">
        <is>
          <t>Сметная прибыль, %</t>
        </is>
      </c>
      <c r="C21" s="275">
        <f>'Прил.5 Расчет СМР и ОБ'!D67</f>
        <v/>
      </c>
      <c r="D21" s="272" t="n"/>
      <c r="E21" s="270" t="n"/>
    </row>
    <row r="22">
      <c r="B22" s="270" t="inlineStr">
        <is>
          <t>Накладные расходы, руб.</t>
        </is>
      </c>
      <c r="C22" s="289">
        <f>ROUND(C23*(C11+C15),2)</f>
        <v/>
      </c>
      <c r="D22" s="272">
        <f>C22/$C$24</f>
        <v/>
      </c>
      <c r="E22" s="272">
        <f>C22/$C$40</f>
        <v/>
      </c>
    </row>
    <row r="23">
      <c r="B23" s="270" t="inlineStr">
        <is>
          <t>Накладные расходы, %</t>
        </is>
      </c>
      <c r="C23" s="275">
        <f>'Прил.5 Расчет СМР и ОБ'!D66</f>
        <v/>
      </c>
      <c r="D23" s="272" t="n"/>
      <c r="E23" s="270" t="n"/>
    </row>
    <row r="24">
      <c r="B24" s="270" t="inlineStr">
        <is>
          <t>ВСЕГО СМР с НР и СП</t>
        </is>
      </c>
      <c r="C24" s="289">
        <f>C19+C20+C22</f>
        <v/>
      </c>
      <c r="D24" s="272">
        <f>C24/$C$24</f>
        <v/>
      </c>
      <c r="E24" s="272">
        <f>C24/$C$40</f>
        <v/>
      </c>
    </row>
    <row r="25" ht="25.5" customHeight="1" s="299">
      <c r="B25" s="270" t="inlineStr">
        <is>
          <t>ВСЕГО стоимость оборудования, в том числе</t>
        </is>
      </c>
      <c r="C25" s="289">
        <f>'Прил.5 Расчет СМР и ОБ'!J42</f>
        <v/>
      </c>
      <c r="D25" s="272" t="n"/>
      <c r="E25" s="272">
        <f>C25/$C$40</f>
        <v/>
      </c>
    </row>
    <row r="26" ht="25.5" customHeight="1" s="299">
      <c r="B26" s="270" t="inlineStr">
        <is>
          <t>стоимость оборудования технологического</t>
        </is>
      </c>
      <c r="C26" s="289">
        <f>'Прил.5 Расчет СМР и ОБ'!J43</f>
        <v/>
      </c>
      <c r="D26" s="272" t="n"/>
      <c r="E26" s="272">
        <f>C26/$C$40</f>
        <v/>
      </c>
    </row>
    <row r="27">
      <c r="B27" s="270" t="inlineStr">
        <is>
          <t>ИТОГО (СМР + ОБОРУДОВАНИЕ)</t>
        </is>
      </c>
      <c r="C27" s="274">
        <f>C24+C25</f>
        <v/>
      </c>
      <c r="D27" s="272" t="n"/>
      <c r="E27" s="272">
        <f>C27/$C$40</f>
        <v/>
      </c>
      <c r="G27" s="273" t="n"/>
    </row>
    <row r="28" ht="33" customHeight="1" s="299">
      <c r="B28" s="270" t="inlineStr">
        <is>
          <t>ПРОЧ. ЗАТР., УЧТЕННЫЕ ПОКАЗАТЕЛЕМ,  в том числе</t>
        </is>
      </c>
      <c r="C28" s="270" t="n"/>
      <c r="D28" s="270" t="n"/>
      <c r="E28" s="270" t="n"/>
    </row>
    <row r="29" ht="25.5" customHeight="1" s="299">
      <c r="B29" s="270" t="inlineStr">
        <is>
          <t>Временные здания и сооружения - 3,3%</t>
        </is>
      </c>
      <c r="C29" s="274">
        <f>ROUND(C24*3.3%,2)</f>
        <v/>
      </c>
      <c r="D29" s="270" t="n"/>
      <c r="E29" s="272">
        <f>C29/$C$40</f>
        <v/>
      </c>
    </row>
    <row r="30" ht="38.25" customHeight="1" s="299">
      <c r="B30" s="270" t="inlineStr">
        <is>
          <t>Дополнительные затраты при производстве строительно-монтажных работ в зимнее время - 1%</t>
        </is>
      </c>
      <c r="C30" s="274">
        <f>ROUND((C24+C29)*1%,2)</f>
        <v/>
      </c>
      <c r="D30" s="270" t="n"/>
      <c r="E30" s="272">
        <f>C30/$C$40</f>
        <v/>
      </c>
    </row>
    <row r="31">
      <c r="B31" s="270" t="inlineStr">
        <is>
          <t>Пусконаладочные работы</t>
        </is>
      </c>
      <c r="C31" s="274" t="n">
        <v>0</v>
      </c>
      <c r="D31" s="270" t="n"/>
      <c r="E31" s="272">
        <f>C31/$C$40</f>
        <v/>
      </c>
    </row>
    <row r="32" ht="25.5" customHeight="1" s="299">
      <c r="B32" s="270" t="inlineStr">
        <is>
          <t>Затраты по перевозке работников к месту работы и обратно</t>
        </is>
      </c>
      <c r="C32" s="274">
        <f>ROUND(C26*0%,2)</f>
        <v/>
      </c>
      <c r="D32" s="270" t="n"/>
      <c r="E32" s="272">
        <f>C32/$C$40</f>
        <v/>
      </c>
    </row>
    <row r="33" ht="25.5" customHeight="1" s="299">
      <c r="B33" s="270" t="inlineStr">
        <is>
          <t>Затраты, связанные с осуществлением работ вахтовым методом</t>
        </is>
      </c>
      <c r="C33" s="274">
        <f>ROUND(C27*0%,2)</f>
        <v/>
      </c>
      <c r="D33" s="270" t="n"/>
      <c r="E33" s="272">
        <f>C33/$C$40</f>
        <v/>
      </c>
    </row>
    <row r="34" ht="51" customHeight="1" s="299">
      <c r="B34" s="27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4">
        <f>ROUND(C28*0%,2)</f>
        <v/>
      </c>
      <c r="D34" s="270" t="n"/>
      <c r="E34" s="272">
        <f>C34/$C$40</f>
        <v/>
      </c>
    </row>
    <row r="35" ht="76.5" customHeight="1" s="299">
      <c r="B35" s="27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4">
        <f>ROUND(C29*0%,2)</f>
        <v/>
      </c>
      <c r="D35" s="270" t="n"/>
      <c r="E35" s="272">
        <f>C35/$C$40</f>
        <v/>
      </c>
    </row>
    <row r="36" ht="25.5" customHeight="1" s="299">
      <c r="B36" s="270" t="inlineStr">
        <is>
          <t>Строительный контроль и содержание службы заказчика - 2,14%</t>
        </is>
      </c>
      <c r="C36" s="274">
        <f>ROUND((C27+C32+C33+C34+C35+C29+C31+C30)*2.14%,2)</f>
        <v/>
      </c>
      <c r="D36" s="270" t="n"/>
      <c r="E36" s="272">
        <f>C36/$C$40</f>
        <v/>
      </c>
      <c r="G36" s="281" t="n"/>
      <c r="L36" s="273" t="n"/>
    </row>
    <row r="37">
      <c r="B37" s="270" t="inlineStr">
        <is>
          <t>Авторский надзор - 0,2%</t>
        </is>
      </c>
      <c r="C37" s="274">
        <f>ROUND((C27+C32+C33+C34+C35+C29+C31+C30)*0.2%,2)</f>
        <v/>
      </c>
      <c r="D37" s="270" t="n"/>
      <c r="E37" s="272">
        <f>C37/$C$40</f>
        <v/>
      </c>
      <c r="G37" s="169" t="n"/>
      <c r="L37" s="273" t="n"/>
    </row>
    <row r="38" ht="38.25" customHeight="1" s="299">
      <c r="B38" s="270" t="inlineStr">
        <is>
          <t>ИТОГО (СМР+ОБОРУДОВАНИЕ+ПРОЧ. ЗАТР., УЧТЕННЫЕ ПОКАЗАТЕЛЕМ)</t>
        </is>
      </c>
      <c r="C38" s="289">
        <f>C27+C32+C33+C34+C35+C29+C31+C30+C36+C37</f>
        <v/>
      </c>
      <c r="D38" s="270" t="n"/>
      <c r="E38" s="272">
        <f>C38/$C$40</f>
        <v/>
      </c>
    </row>
    <row r="39" ht="13.5" customHeight="1" s="299">
      <c r="B39" s="270" t="inlineStr">
        <is>
          <t>Непредвиденные расходы</t>
        </is>
      </c>
      <c r="C39" s="289">
        <f>ROUND(C38*3%,2)</f>
        <v/>
      </c>
      <c r="D39" s="270" t="n"/>
      <c r="E39" s="272">
        <f>C39/$C$38</f>
        <v/>
      </c>
    </row>
    <row r="40">
      <c r="B40" s="270" t="inlineStr">
        <is>
          <t>ВСЕГО:</t>
        </is>
      </c>
      <c r="C40" s="289">
        <f>C39+C38</f>
        <v/>
      </c>
      <c r="D40" s="270" t="n"/>
      <c r="E40" s="272">
        <f>C40/$C$40</f>
        <v/>
      </c>
    </row>
    <row r="41">
      <c r="B41" s="270" t="inlineStr">
        <is>
          <t>ИТОГО ПОКАЗАТЕЛЬ НА ЕД. ИЗМ.</t>
        </is>
      </c>
      <c r="C41" s="289">
        <f>C40/'Прил.5 Расчет СМР и ОБ'!E70</f>
        <v/>
      </c>
      <c r="D41" s="270" t="n"/>
      <c r="E41" s="270" t="n"/>
    </row>
    <row r="42">
      <c r="B42" s="291" t="n"/>
      <c r="C42" s="287" t="n"/>
      <c r="D42" s="287" t="n"/>
      <c r="E42" s="287" t="n"/>
    </row>
    <row r="43">
      <c r="B43" s="291" t="inlineStr">
        <is>
          <t>Составил ____________________________ А.П. Николаева</t>
        </is>
      </c>
      <c r="C43" s="287" t="n"/>
      <c r="D43" s="287" t="n"/>
      <c r="E43" s="287" t="n"/>
    </row>
    <row r="44">
      <c r="B44" s="291" t="inlineStr">
        <is>
          <t xml:space="preserve">(должность, подпись, инициалы, фамилия) </t>
        </is>
      </c>
      <c r="C44" s="287" t="n"/>
      <c r="D44" s="287" t="n"/>
      <c r="E44" s="287" t="n"/>
    </row>
    <row r="45">
      <c r="B45" s="291" t="n"/>
      <c r="C45" s="287" t="n"/>
      <c r="D45" s="287" t="n"/>
      <c r="E45" s="287" t="n"/>
    </row>
    <row r="46">
      <c r="B46" s="291" t="inlineStr">
        <is>
          <t>Проверил ____________________________ А.В. Костянецкая</t>
        </is>
      </c>
      <c r="C46" s="287" t="n"/>
      <c r="D46" s="287" t="n"/>
      <c r="E46" s="287" t="n"/>
    </row>
    <row r="47">
      <c r="B47" s="325" t="inlineStr">
        <is>
          <t>(должность, подпись, инициалы, фамилия)</t>
        </is>
      </c>
      <c r="D47" s="287" t="n"/>
      <c r="E47" s="287" t="n"/>
    </row>
    <row r="49">
      <c r="B49" s="287" t="n"/>
      <c r="C49" s="287" t="n"/>
      <c r="D49" s="287" t="n"/>
      <c r="E49" s="287" t="n"/>
    </row>
    <row r="50">
      <c r="B50" s="287" t="n"/>
      <c r="C50" s="287" t="n"/>
      <c r="D50" s="287" t="n"/>
      <c r="E50" s="2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topLeftCell="A22" zoomScale="70" workbookViewId="0">
      <selection activeCell="B71" sqref="B71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2.7109375" customWidth="1" style="297" min="5" max="5"/>
    <col width="14.5703125" customWidth="1" style="297" min="6" max="6"/>
    <col width="13.4257812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9.140625" customWidth="1" style="297" min="12" max="12"/>
    <col width="9.140625" customWidth="1" style="299" min="13" max="13"/>
  </cols>
  <sheetData>
    <row r="1" s="299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299">
      <c r="A2" s="297" t="n"/>
      <c r="B2" s="297" t="n"/>
      <c r="C2" s="297" t="n"/>
      <c r="D2" s="297" t="n"/>
      <c r="E2" s="297" t="n"/>
      <c r="F2" s="297" t="n"/>
      <c r="G2" s="297" t="n"/>
      <c r="H2" s="341" t="inlineStr">
        <is>
          <t>Приложение №5</t>
        </is>
      </c>
      <c r="K2" s="297" t="n"/>
      <c r="L2" s="297" t="n"/>
      <c r="M2" s="297" t="n"/>
      <c r="N2" s="297" t="n"/>
    </row>
    <row r="3" s="299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87">
      <c r="A4" s="306" t="inlineStr">
        <is>
          <t>Расчет стоимости СМР и оборудования</t>
        </is>
      </c>
    </row>
    <row r="5" ht="12.75" customFormat="1" customHeight="1" s="287">
      <c r="A5" s="306" t="n"/>
      <c r="B5" s="306" t="n"/>
      <c r="C5" s="352" t="n"/>
      <c r="D5" s="306" t="n"/>
      <c r="E5" s="306" t="n"/>
      <c r="F5" s="306" t="n"/>
      <c r="G5" s="306" t="n"/>
      <c r="H5" s="306" t="n"/>
      <c r="I5" s="306" t="n"/>
      <c r="J5" s="306" t="n"/>
    </row>
    <row r="6" ht="12.75" customFormat="1" customHeight="1" s="287">
      <c r="A6" s="218" t="inlineStr">
        <is>
          <t>Наименование разрабатываемого показателя УНЦ</t>
        </is>
      </c>
      <c r="B6" s="217" t="n"/>
      <c r="C6" s="217" t="n"/>
      <c r="D6" s="309" t="inlineStr">
        <is>
          <t>Противооползневые мероприятия  ВЛ220-750кВ</t>
        </is>
      </c>
    </row>
    <row r="7" ht="12.75" customFormat="1" customHeight="1" s="287">
      <c r="A7" s="309" t="inlineStr">
        <is>
          <t>Единица измерения  — опора</t>
        </is>
      </c>
      <c r="I7" s="318" t="n"/>
      <c r="J7" s="318" t="n"/>
    </row>
    <row r="8" ht="13.5" customFormat="1" customHeight="1" s="287">
      <c r="A8" s="309" t="n"/>
    </row>
    <row r="9" ht="27" customHeight="1" s="299">
      <c r="A9" s="333" t="inlineStr">
        <is>
          <t>№ пп.</t>
        </is>
      </c>
      <c r="B9" s="333" t="inlineStr">
        <is>
          <t>Код ресурса</t>
        </is>
      </c>
      <c r="C9" s="333" t="inlineStr">
        <is>
          <t>Наименование</t>
        </is>
      </c>
      <c r="D9" s="333" t="inlineStr">
        <is>
          <t>Ед. изм.</t>
        </is>
      </c>
      <c r="E9" s="333" t="inlineStr">
        <is>
          <t>Кол-во единиц по проектным данным</t>
        </is>
      </c>
      <c r="F9" s="333" t="inlineStr">
        <is>
          <t>Сметная стоимость в ценах на 01.01.2000 (руб.)</t>
        </is>
      </c>
      <c r="G9" s="409" t="n"/>
      <c r="H9" s="333" t="inlineStr">
        <is>
          <t>Удельный вес, %</t>
        </is>
      </c>
      <c r="I9" s="333" t="inlineStr">
        <is>
          <t>Сметная стоимость в ценах на 01.01.2023 (руб.)</t>
        </is>
      </c>
      <c r="J9" s="409" t="n"/>
      <c r="K9" s="297" t="n"/>
      <c r="L9" s="297" t="n"/>
      <c r="M9" s="297" t="n"/>
      <c r="N9" s="297" t="n"/>
    </row>
    <row r="10" ht="28.5" customHeight="1" s="299">
      <c r="A10" s="411" t="n"/>
      <c r="B10" s="411" t="n"/>
      <c r="C10" s="411" t="n"/>
      <c r="D10" s="411" t="n"/>
      <c r="E10" s="411" t="n"/>
      <c r="F10" s="333" t="inlineStr">
        <is>
          <t>на ед. изм.</t>
        </is>
      </c>
      <c r="G10" s="333" t="inlineStr">
        <is>
          <t>общая</t>
        </is>
      </c>
      <c r="H10" s="411" t="n"/>
      <c r="I10" s="333" t="inlineStr">
        <is>
          <t>на ед. изм.</t>
        </is>
      </c>
      <c r="J10" s="333" t="inlineStr">
        <is>
          <t>общая</t>
        </is>
      </c>
      <c r="K10" s="297" t="n"/>
      <c r="L10" s="297" t="n"/>
      <c r="M10" s="297" t="n"/>
      <c r="N10" s="297" t="n"/>
    </row>
    <row r="11" s="299">
      <c r="A11" s="333" t="n">
        <v>1</v>
      </c>
      <c r="B11" s="333" t="n">
        <v>2</v>
      </c>
      <c r="C11" s="333" t="n">
        <v>3</v>
      </c>
      <c r="D11" s="333" t="n">
        <v>4</v>
      </c>
      <c r="E11" s="333" t="n">
        <v>5</v>
      </c>
      <c r="F11" s="333" t="n">
        <v>6</v>
      </c>
      <c r="G11" s="333" t="n">
        <v>7</v>
      </c>
      <c r="H11" s="333" t="n">
        <v>8</v>
      </c>
      <c r="I11" s="327" t="n">
        <v>9</v>
      </c>
      <c r="J11" s="327" t="n">
        <v>10</v>
      </c>
      <c r="K11" s="297" t="n"/>
      <c r="L11" s="297" t="n"/>
      <c r="M11" s="297" t="n"/>
      <c r="N11" s="297" t="n"/>
    </row>
    <row r="12">
      <c r="A12" s="333" t="n"/>
      <c r="B12" s="331" t="inlineStr">
        <is>
          <t>Затраты труда рабочих-строителей</t>
        </is>
      </c>
      <c r="C12" s="408" t="n"/>
      <c r="D12" s="408" t="n"/>
      <c r="E12" s="408" t="n"/>
      <c r="F12" s="408" t="n"/>
      <c r="G12" s="408" t="n"/>
      <c r="H12" s="409" t="n"/>
      <c r="I12" s="200" t="n"/>
      <c r="J12" s="200" t="n"/>
    </row>
    <row r="13" ht="25.5" customHeight="1" s="299">
      <c r="A13" s="333" t="n">
        <v>1</v>
      </c>
      <c r="B13" s="215" t="inlineStr">
        <is>
          <t>1-3-0</t>
        </is>
      </c>
      <c r="C13" s="332" t="inlineStr">
        <is>
          <t>Затраты труда рабочих-строителей среднего разряда (3,0)</t>
        </is>
      </c>
      <c r="D13" s="333" t="inlineStr">
        <is>
          <t>чел.-ч.</t>
        </is>
      </c>
      <c r="E13" s="414" t="n">
        <v>992.92614302462</v>
      </c>
      <c r="F13" s="211" t="n">
        <v>8.529999999999999</v>
      </c>
      <c r="G13" s="211">
        <f>'Прил. 3'!H12</f>
        <v/>
      </c>
      <c r="H13" s="214">
        <f>G13/G14</f>
        <v/>
      </c>
      <c r="I13" s="211">
        <f>ФОТр.тек.!E13</f>
        <v/>
      </c>
      <c r="J13" s="211">
        <f>ROUND(I13*E13,2)</f>
        <v/>
      </c>
    </row>
    <row r="14" ht="25.5" customFormat="1" customHeight="1" s="297">
      <c r="A14" s="333" t="n"/>
      <c r="B14" s="333" t="n"/>
      <c r="C14" s="331" t="inlineStr">
        <is>
          <t>Итого по разделу "Затраты труда рабочих-строителей"</t>
        </is>
      </c>
      <c r="D14" s="333" t="inlineStr">
        <is>
          <t>чел.-ч.</t>
        </is>
      </c>
      <c r="E14" s="414">
        <f>SUM(E13:E13)</f>
        <v/>
      </c>
      <c r="F14" s="211" t="n"/>
      <c r="G14" s="211">
        <f>SUM(G13:G13)</f>
        <v/>
      </c>
      <c r="H14" s="336" t="n">
        <v>1</v>
      </c>
      <c r="I14" s="200" t="n"/>
      <c r="J14" s="211">
        <f>SUM(J13:J13)</f>
        <v/>
      </c>
    </row>
    <row r="15" ht="14.25" customFormat="1" customHeight="1" s="297">
      <c r="A15" s="333" t="n"/>
      <c r="B15" s="332" t="inlineStr">
        <is>
          <t>Затраты труда машинистов</t>
        </is>
      </c>
      <c r="C15" s="408" t="n"/>
      <c r="D15" s="408" t="n"/>
      <c r="E15" s="408" t="n"/>
      <c r="F15" s="408" t="n"/>
      <c r="G15" s="408" t="n"/>
      <c r="H15" s="409" t="n"/>
      <c r="I15" s="200" t="n"/>
      <c r="J15" s="200" t="n"/>
    </row>
    <row r="16" ht="14.25" customFormat="1" customHeight="1" s="297">
      <c r="A16" s="333" t="n">
        <v>2</v>
      </c>
      <c r="B16" s="333" t="n">
        <v>2</v>
      </c>
      <c r="C16" s="332" t="inlineStr">
        <is>
          <t>Затраты труда машинистов</t>
        </is>
      </c>
      <c r="D16" s="333" t="inlineStr">
        <is>
          <t>чел.-ч.</t>
        </is>
      </c>
      <c r="E16" s="414" t="n">
        <v>211.893602</v>
      </c>
      <c r="F16" s="211">
        <f>G16/E16</f>
        <v/>
      </c>
      <c r="G16" s="211">
        <f>'Прил. 3'!H19</f>
        <v/>
      </c>
      <c r="H16" s="336" t="n">
        <v>1</v>
      </c>
      <c r="I16" s="211">
        <f>ROUND(F16*'Прил. 10'!D11,2)</f>
        <v/>
      </c>
      <c r="J16" s="211">
        <f>ROUND(I16*E16,2)</f>
        <v/>
      </c>
    </row>
    <row r="17" ht="14.25" customFormat="1" customHeight="1" s="297">
      <c r="A17" s="333" t="n"/>
      <c r="B17" s="331" t="inlineStr">
        <is>
          <t>Машины и механизмы</t>
        </is>
      </c>
      <c r="C17" s="408" t="n"/>
      <c r="D17" s="408" t="n"/>
      <c r="E17" s="408" t="n"/>
      <c r="F17" s="408" t="n"/>
      <c r="G17" s="408" t="n"/>
      <c r="H17" s="409" t="n"/>
      <c r="I17" s="200" t="n"/>
      <c r="J17" s="200" t="n"/>
    </row>
    <row r="18" ht="14.25" customFormat="1" customHeight="1" s="297">
      <c r="A18" s="333" t="n"/>
      <c r="B18" s="332" t="inlineStr">
        <is>
          <t>Основные машины и механизмы</t>
        </is>
      </c>
      <c r="C18" s="408" t="n"/>
      <c r="D18" s="408" t="n"/>
      <c r="E18" s="408" t="n"/>
      <c r="F18" s="408" t="n"/>
      <c r="G18" s="408" t="n"/>
      <c r="H18" s="409" t="n"/>
      <c r="I18" s="200" t="n"/>
      <c r="J18" s="200" t="n"/>
    </row>
    <row r="19" ht="25.5" customFormat="1" customHeight="1" s="297">
      <c r="A19" s="333" t="n">
        <v>3</v>
      </c>
      <c r="B19" s="215" t="inlineStr">
        <is>
          <t>91.14.03-002</t>
        </is>
      </c>
      <c r="C19" s="332" t="inlineStr">
        <is>
          <t>Автомобили-самосвалы, грузоподъемность до 10 т</t>
        </is>
      </c>
      <c r="D19" s="333" t="inlineStr">
        <is>
          <t>маш.-ч</t>
        </is>
      </c>
      <c r="E19" s="414" t="n">
        <v>133.81995153805</v>
      </c>
      <c r="F19" s="335" t="n">
        <v>243.49</v>
      </c>
      <c r="G19" s="211">
        <f>ROUND(E19*F19,2)</f>
        <v/>
      </c>
      <c r="H19" s="214">
        <f>G19/$G$37</f>
        <v/>
      </c>
      <c r="I19" s="211">
        <f>ROUND(F19*'Прил. 10'!$D$12,2)</f>
        <v/>
      </c>
      <c r="J19" s="211">
        <f>ROUND(I19*E19,2)</f>
        <v/>
      </c>
    </row>
    <row r="20" hidden="1" outlineLevel="1" ht="25.5" customFormat="1" customHeight="1" s="297">
      <c r="A20" s="333" t="n"/>
      <c r="B20" s="215" t="inlineStr">
        <is>
          <t>91.14.03-002</t>
        </is>
      </c>
      <c r="C20" s="332" t="inlineStr">
        <is>
          <t>Автомобили-самосвалы, грузоподъемность до 10 т</t>
        </is>
      </c>
      <c r="D20" s="333" t="inlineStr">
        <is>
          <t>маш.-ч</t>
        </is>
      </c>
      <c r="E20" s="414" t="n">
        <v>372.29</v>
      </c>
      <c r="F20" s="335" t="n">
        <v>87.48999999999999</v>
      </c>
      <c r="G20" s="211">
        <f>ROUND(E20*F20,2)</f>
        <v/>
      </c>
      <c r="H20" s="214">
        <f>G20/$G$37</f>
        <v/>
      </c>
      <c r="I20" s="211">
        <f>ROUND(F20*'Прил. 10'!$D$12,2)</f>
        <v/>
      </c>
      <c r="J20" s="211">
        <f>ROUND(I20*E20,2)</f>
        <v/>
      </c>
    </row>
    <row r="21" hidden="1" outlineLevel="1" ht="25.5" customFormat="1" customHeight="1" s="297">
      <c r="A21" s="333" t="n"/>
      <c r="B21" s="215" t="inlineStr">
        <is>
          <t>91.14.03-001</t>
        </is>
      </c>
      <c r="C21" s="332" t="inlineStr">
        <is>
          <t>Автомобили-самосвалы, грузоподъемность до 7 т</t>
        </is>
      </c>
      <c r="D21" s="333" t="inlineStr">
        <is>
          <t>маш.час</t>
        </is>
      </c>
      <c r="E21" s="414" t="n">
        <v>0.13596</v>
      </c>
      <c r="F21" s="335" t="n">
        <v>89.54000000000001</v>
      </c>
      <c r="G21" s="211">
        <f>ROUND(E21*F21,2)</f>
        <v/>
      </c>
      <c r="H21" s="214">
        <f>G21/$G$37</f>
        <v/>
      </c>
      <c r="I21" s="211">
        <f>ROUND(F21*'Прил. 10'!$D$12,2)</f>
        <v/>
      </c>
      <c r="J21" s="211">
        <f>ROUND(I21*E21,2)</f>
        <v/>
      </c>
    </row>
    <row r="22" collapsed="1" ht="38.25" customFormat="1" customHeight="1" s="297">
      <c r="A22" s="333" t="n">
        <v>4</v>
      </c>
      <c r="B22" s="215" t="inlineStr">
        <is>
          <t>91.01.05-086</t>
        </is>
      </c>
      <c r="C22" s="332" t="inlineStr">
        <is>
          <t>Экскаваторы одноковшовые дизельные на гусеничном ходу, емкость ковша 0,65 м3</t>
        </is>
      </c>
      <c r="D22" s="333" t="inlineStr">
        <is>
          <t>маш.час</t>
        </is>
      </c>
      <c r="E22" s="414" t="n">
        <v>127.516431</v>
      </c>
      <c r="F22" s="335" t="n">
        <v>115.27</v>
      </c>
      <c r="G22" s="211">
        <f>ROUND(E22*F22,2)</f>
        <v/>
      </c>
      <c r="H22" s="214">
        <f>G22/$G$37</f>
        <v/>
      </c>
      <c r="I22" s="211">
        <f>ROUND(F22*'Прил. 10'!$D$12,2)</f>
        <v/>
      </c>
      <c r="J22" s="211">
        <f>ROUND(I22*E22,2)</f>
        <v/>
      </c>
    </row>
    <row r="23" ht="14.25" customFormat="1" customHeight="1" s="297">
      <c r="A23" s="333" t="n"/>
      <c r="B23" s="333" t="n"/>
      <c r="C23" s="332" t="inlineStr">
        <is>
          <t>Итого основные машины и механизмы</t>
        </is>
      </c>
      <c r="D23" s="333" t="n"/>
      <c r="E23" s="414" t="n"/>
      <c r="F23" s="211" t="n"/>
      <c r="G23" s="211">
        <f>G19+G22</f>
        <v/>
      </c>
      <c r="H23" s="336">
        <f>G23/G37</f>
        <v/>
      </c>
      <c r="I23" s="201" t="n"/>
      <c r="J23" s="211">
        <f>J19+J22</f>
        <v/>
      </c>
    </row>
    <row r="24" hidden="1" outlineLevel="1" ht="25.5" customFormat="1" customHeight="1" s="297">
      <c r="A24" s="333" t="n">
        <v>5</v>
      </c>
      <c r="B24" s="215" t="inlineStr">
        <is>
          <t>91.05.06-012</t>
        </is>
      </c>
      <c r="C24" s="332" t="inlineStr">
        <is>
          <t>Краны на гусеничном ходу, грузоподъемность до 16 т</t>
        </is>
      </c>
      <c r="D24" s="333" t="inlineStr">
        <is>
          <t>маш.час</t>
        </is>
      </c>
      <c r="E24" s="414" t="n">
        <v>34.990902</v>
      </c>
      <c r="F24" s="335" t="n">
        <v>96.89</v>
      </c>
      <c r="G24" s="211">
        <f>ROUND(E24*F24,2)</f>
        <v/>
      </c>
      <c r="H24" s="214">
        <f>G24/$G$37</f>
        <v/>
      </c>
      <c r="I24" s="211">
        <f>ROUND(F24*'Прил. 10'!$D$12,2)</f>
        <v/>
      </c>
      <c r="J24" s="211">
        <f>ROUND(I24*E24,2)</f>
        <v/>
      </c>
    </row>
    <row r="25" hidden="1" outlineLevel="1" ht="14.25" customFormat="1" customHeight="1" s="297">
      <c r="A25" s="333" t="n">
        <v>6</v>
      </c>
      <c r="B25" s="215" t="inlineStr">
        <is>
          <t>91.01.01-035</t>
        </is>
      </c>
      <c r="C25" s="332" t="inlineStr">
        <is>
          <t>Бульдозеры, мощность 79 кВт (108 л.с.)</t>
        </is>
      </c>
      <c r="D25" s="333" t="inlineStr">
        <is>
          <t>маш.час</t>
        </is>
      </c>
      <c r="E25" s="414" t="n">
        <v>25.649885</v>
      </c>
      <c r="F25" s="335" t="n">
        <v>79.06999999999999</v>
      </c>
      <c r="G25" s="211">
        <f>ROUND(E25*F25,2)</f>
        <v/>
      </c>
      <c r="H25" s="214">
        <f>G25/$G$37</f>
        <v/>
      </c>
      <c r="I25" s="211">
        <f>ROUND(F25*'Прил. 10'!$D$12,2)</f>
        <v/>
      </c>
      <c r="J25" s="211">
        <f>ROUND(I25*E25,2)</f>
        <v/>
      </c>
    </row>
    <row r="26" hidden="1" outlineLevel="1" ht="14.25" customFormat="1" customHeight="1" s="297">
      <c r="A26" s="333" t="n">
        <v>7</v>
      </c>
      <c r="B26" s="215" t="inlineStr">
        <is>
          <t>91.01.01-036</t>
        </is>
      </c>
      <c r="C26" s="332" t="inlineStr">
        <is>
          <t>Бульдозеры, мощность 96 кВт (130 л.с.)</t>
        </is>
      </c>
      <c r="D26" s="333" t="inlineStr">
        <is>
          <t>маш.час</t>
        </is>
      </c>
      <c r="E26" s="414" t="n">
        <v>13.670027</v>
      </c>
      <c r="F26" s="335" t="n">
        <v>94.05</v>
      </c>
      <c r="G26" s="211">
        <f>ROUND(E26*F26,2)</f>
        <v/>
      </c>
      <c r="H26" s="214">
        <f>G26/$G$37</f>
        <v/>
      </c>
      <c r="I26" s="211">
        <f>ROUND(F26*'Прил. 10'!$D$12,2)</f>
        <v/>
      </c>
      <c r="J26" s="211">
        <f>ROUND(I26*E26,2)</f>
        <v/>
      </c>
    </row>
    <row r="27" hidden="1" outlineLevel="1" ht="14.25" customFormat="1" customHeight="1" s="297">
      <c r="A27" s="333" t="n">
        <v>8</v>
      </c>
      <c r="B27" s="215" t="inlineStr">
        <is>
          <t>91.01.01-034</t>
        </is>
      </c>
      <c r="C27" s="332" t="inlineStr">
        <is>
          <t>Бульдозеры, мощность 59 кВт (80 л.с.)</t>
        </is>
      </c>
      <c r="D27" s="333" t="inlineStr">
        <is>
          <t>маш.час</t>
        </is>
      </c>
      <c r="E27" s="414" t="n">
        <v>6.97125</v>
      </c>
      <c r="F27" s="335" t="n">
        <v>59.47</v>
      </c>
      <c r="G27" s="211">
        <f>ROUND(E27*F27,2)</f>
        <v/>
      </c>
      <c r="H27" s="214">
        <f>G27/$G$37</f>
        <v/>
      </c>
      <c r="I27" s="211">
        <f>ROUND(F27*'Прил. 10'!$D$12,2)</f>
        <v/>
      </c>
      <c r="J27" s="211">
        <f>ROUND(I27*E27,2)</f>
        <v/>
      </c>
    </row>
    <row r="28" hidden="1" outlineLevel="1" ht="25.5" customFormat="1" customHeight="1" s="297">
      <c r="A28" s="333" t="n">
        <v>9</v>
      </c>
      <c r="B28" s="215" t="inlineStr">
        <is>
          <t>91.12.07-001</t>
        </is>
      </c>
      <c r="C28" s="332" t="inlineStr">
        <is>
          <t>Агрегаты для травосеяния на откосах автомобильных и железных дорог</t>
        </is>
      </c>
      <c r="D28" s="333" t="inlineStr">
        <is>
          <t>маш.час</t>
        </is>
      </c>
      <c r="E28" s="414" t="n">
        <v>12.35</v>
      </c>
      <c r="F28" s="335" t="n">
        <v>25.1</v>
      </c>
      <c r="G28" s="211">
        <f>ROUND(E28*F28,2)</f>
        <v/>
      </c>
      <c r="H28" s="214">
        <f>G28/$G$37</f>
        <v/>
      </c>
      <c r="I28" s="211">
        <f>ROUND(F28*'Прил. 10'!$D$12,2)</f>
        <v/>
      </c>
      <c r="J28" s="211">
        <f>ROUND(I28*E28,2)</f>
        <v/>
      </c>
    </row>
    <row r="29" hidden="1" outlineLevel="1" ht="25.5" customFormat="1" customHeight="1" s="297">
      <c r="A29" s="333" t="n">
        <v>10</v>
      </c>
      <c r="B29" s="215" t="inlineStr">
        <is>
          <t>91.14.02-001</t>
        </is>
      </c>
      <c r="C29" s="332" t="inlineStr">
        <is>
          <t>Автомобили бортовые, грузоподъемность до 5 т</t>
        </is>
      </c>
      <c r="D29" s="333" t="inlineStr">
        <is>
          <t>маш.час</t>
        </is>
      </c>
      <c r="E29" s="414" t="n">
        <v>1.964598</v>
      </c>
      <c r="F29" s="335" t="n">
        <v>65.70999999999999</v>
      </c>
      <c r="G29" s="211">
        <f>ROUND(E29*F29,2)</f>
        <v/>
      </c>
      <c r="H29" s="214">
        <f>G29/$G$37</f>
        <v/>
      </c>
      <c r="I29" s="211">
        <f>ROUND(F29*'Прил. 10'!$D$12,2)</f>
        <v/>
      </c>
      <c r="J29" s="211">
        <f>ROUND(I29*E29,2)</f>
        <v/>
      </c>
    </row>
    <row r="30" hidden="1" outlineLevel="1" ht="25.5" customFormat="1" customHeight="1" s="297">
      <c r="A30" s="333" t="n">
        <v>11</v>
      </c>
      <c r="B30" s="215" t="inlineStr">
        <is>
          <t>91.05.05-015</t>
        </is>
      </c>
      <c r="C30" s="332" t="inlineStr">
        <is>
          <t>Краны на автомобильном ходу, грузоподъемность 16 т</t>
        </is>
      </c>
      <c r="D30" s="333" t="inlineStr">
        <is>
          <t>маш.час</t>
        </is>
      </c>
      <c r="E30" s="414" t="n">
        <v>0.473856</v>
      </c>
      <c r="F30" s="335" t="n">
        <v>115.4</v>
      </c>
      <c r="G30" s="211">
        <f>ROUND(E30*F30,2)</f>
        <v/>
      </c>
      <c r="H30" s="214">
        <f>G30/$G$37</f>
        <v/>
      </c>
      <c r="I30" s="211">
        <f>ROUND(F30*'Прил. 10'!$D$12,2)</f>
        <v/>
      </c>
      <c r="J30" s="211">
        <f>ROUND(I30*E30,2)</f>
        <v/>
      </c>
    </row>
    <row r="31" hidden="1" outlineLevel="1" ht="38.25" customFormat="1" customHeight="1" s="297">
      <c r="A31" s="333" t="n">
        <v>12</v>
      </c>
      <c r="B31" s="215" t="inlineStr">
        <is>
          <t>91.06.05-057</t>
        </is>
      </c>
      <c r="C31" s="332" t="inlineStr">
        <is>
          <t>Погрузчики одноковшовые универсальные фронтальные пневмоколесные, грузоподъемность 3 т</t>
        </is>
      </c>
      <c r="D31" s="333" t="inlineStr">
        <is>
          <t>маш.час</t>
        </is>
      </c>
      <c r="E31" s="414" t="n">
        <v>0.4039</v>
      </c>
      <c r="F31" s="335" t="n">
        <v>90.40000000000001</v>
      </c>
      <c r="G31" s="211">
        <f>ROUND(E31*F31,2)</f>
        <v/>
      </c>
      <c r="H31" s="214">
        <f>G31/$G$37</f>
        <v/>
      </c>
      <c r="I31" s="211">
        <f>ROUND(F31*'Прил. 10'!$D$12,2)</f>
        <v/>
      </c>
      <c r="J31" s="211">
        <f>ROUND(I31*E31,2)</f>
        <v/>
      </c>
    </row>
    <row r="32" hidden="1" outlineLevel="1" ht="25.5" customFormat="1" customHeight="1" s="297">
      <c r="A32" s="333" t="n">
        <v>13</v>
      </c>
      <c r="B32" s="215" t="inlineStr">
        <is>
          <t>91.08.09-024</t>
        </is>
      </c>
      <c r="C32" s="332" t="inlineStr">
        <is>
          <t>Трамбовки пневматические при работе от стационарного компрессора</t>
        </is>
      </c>
      <c r="D32" s="333" t="inlineStr">
        <is>
          <t>маш.час</t>
        </is>
      </c>
      <c r="E32" s="414" t="n">
        <v>2.308</v>
      </c>
      <c r="F32" s="335" t="n">
        <v>4.91</v>
      </c>
      <c r="G32" s="211">
        <f>ROUND(E32*F32,2)</f>
        <v/>
      </c>
      <c r="H32" s="214">
        <f>G32/$G$37</f>
        <v/>
      </c>
      <c r="I32" s="211">
        <f>ROUND(F32*'Прил. 10'!$D$12,2)</f>
        <v/>
      </c>
      <c r="J32" s="211">
        <f>ROUND(I32*E32,2)</f>
        <v/>
      </c>
    </row>
    <row r="33" hidden="1" outlineLevel="1" ht="25.5" customFormat="1" customHeight="1" s="297">
      <c r="A33" s="333" t="n">
        <v>14</v>
      </c>
      <c r="B33" s="215" t="inlineStr">
        <is>
          <t>91.01.02-004</t>
        </is>
      </c>
      <c r="C33" s="332" t="inlineStr">
        <is>
          <t>Автогрейдеры среднего типа, мощность 99 кВт (135 л.с.)</t>
        </is>
      </c>
      <c r="D33" s="333" t="inlineStr">
        <is>
          <t>маш.час</t>
        </is>
      </c>
      <c r="E33" s="414" t="n">
        <v>0.061875</v>
      </c>
      <c r="F33" s="335" t="n">
        <v>123</v>
      </c>
      <c r="G33" s="211">
        <f>ROUND(E33*F33,2)</f>
        <v/>
      </c>
      <c r="H33" s="214">
        <f>G33/$G$37</f>
        <v/>
      </c>
      <c r="I33" s="211">
        <f>ROUND(F33*'Прил. 10'!$D$12,2)</f>
        <v/>
      </c>
      <c r="J33" s="211">
        <f>ROUND(I33*E33,2)</f>
        <v/>
      </c>
    </row>
    <row r="34" hidden="1" outlineLevel="1" ht="14.25" customFormat="1" customHeight="1" s="297">
      <c r="A34" s="333" t="n">
        <v>15</v>
      </c>
      <c r="B34" s="215" t="inlineStr">
        <is>
          <t>91.07.04-002</t>
        </is>
      </c>
      <c r="C34" s="332" t="inlineStr">
        <is>
          <t>Вибраторы поверхностные</t>
        </is>
      </c>
      <c r="D34" s="333" t="inlineStr">
        <is>
          <t>маш.час</t>
        </is>
      </c>
      <c r="E34" s="414" t="n">
        <v>15.035328</v>
      </c>
      <c r="F34" s="335" t="n">
        <v>0.5</v>
      </c>
      <c r="G34" s="211">
        <f>ROUND(E34*F34,2)</f>
        <v/>
      </c>
      <c r="H34" s="214">
        <f>G34/$G$37</f>
        <v/>
      </c>
      <c r="I34" s="211">
        <f>ROUND(F34*'Прил. 10'!$D$12,2)</f>
        <v/>
      </c>
      <c r="J34" s="211">
        <f>ROUND(I34*E34,2)</f>
        <v/>
      </c>
    </row>
    <row r="35" hidden="1" outlineLevel="1" ht="14.25" customFormat="1" customHeight="1" s="297">
      <c r="A35" s="333" t="n">
        <v>16</v>
      </c>
      <c r="B35" s="215" t="inlineStr">
        <is>
          <t>91.06.05-011</t>
        </is>
      </c>
      <c r="C35" s="332" t="inlineStr">
        <is>
          <t>Погрузчики, грузоподъемность 5 т</t>
        </is>
      </c>
      <c r="D35" s="333" t="inlineStr">
        <is>
          <t>маш.час</t>
        </is>
      </c>
      <c r="E35" s="414" t="n">
        <v>0.054918</v>
      </c>
      <c r="F35" s="335" t="n">
        <v>89.98999999999999</v>
      </c>
      <c r="G35" s="211">
        <f>ROUND(E35*F35,2)</f>
        <v/>
      </c>
      <c r="H35" s="214">
        <f>G35/$G$37</f>
        <v/>
      </c>
      <c r="I35" s="211">
        <f>ROUND(F35*'Прил. 10'!$D$12,2)</f>
        <v/>
      </c>
      <c r="J35" s="211">
        <f>ROUND(I35*E35,2)</f>
        <v/>
      </c>
    </row>
    <row r="36" collapsed="1" ht="14.25" customFormat="1" customHeight="1" s="297">
      <c r="A36" s="333" t="n"/>
      <c r="B36" s="333" t="n"/>
      <c r="C36" s="332" t="inlineStr">
        <is>
          <t>Итого прочие машины и механизмы</t>
        </is>
      </c>
      <c r="D36" s="333" t="n"/>
      <c r="E36" s="334" t="n"/>
      <c r="F36" s="211" t="n"/>
      <c r="G36" s="201">
        <f>SUM(G24:G35)</f>
        <v/>
      </c>
      <c r="H36" s="214">
        <f>G36/G37</f>
        <v/>
      </c>
      <c r="I36" s="211" t="n"/>
      <c r="J36" s="211">
        <f>SUM(J24:J35)</f>
        <v/>
      </c>
    </row>
    <row r="37" ht="25.5" customFormat="1" customHeight="1" s="297">
      <c r="A37" s="333" t="n"/>
      <c r="B37" s="333" t="n"/>
      <c r="C37" s="331" t="inlineStr">
        <is>
          <t>Итого по разделу «Машины и механизмы»</t>
        </is>
      </c>
      <c r="D37" s="333" t="n"/>
      <c r="E37" s="334" t="n"/>
      <c r="F37" s="211" t="n"/>
      <c r="G37" s="211">
        <f>G36+G23</f>
        <v/>
      </c>
      <c r="H37" s="194" t="n">
        <v>1</v>
      </c>
      <c r="I37" s="195" t="n"/>
      <c r="J37" s="228">
        <f>J36+J23</f>
        <v/>
      </c>
    </row>
    <row r="38" ht="14.25" customFormat="1" customHeight="1" s="297">
      <c r="A38" s="333" t="n"/>
      <c r="B38" s="331" t="inlineStr">
        <is>
          <t>Оборудование</t>
        </is>
      </c>
      <c r="C38" s="408" t="n"/>
      <c r="D38" s="408" t="n"/>
      <c r="E38" s="408" t="n"/>
      <c r="F38" s="408" t="n"/>
      <c r="G38" s="408" t="n"/>
      <c r="H38" s="409" t="n"/>
      <c r="I38" s="200" t="n"/>
      <c r="J38" s="200" t="n"/>
    </row>
    <row r="39">
      <c r="A39" s="333" t="n"/>
      <c r="B39" s="332" t="inlineStr">
        <is>
          <t>Основное оборудование</t>
        </is>
      </c>
      <c r="C39" s="408" t="n"/>
      <c r="D39" s="408" t="n"/>
      <c r="E39" s="408" t="n"/>
      <c r="F39" s="408" t="n"/>
      <c r="G39" s="408" t="n"/>
      <c r="H39" s="409" t="n"/>
      <c r="I39" s="200" t="n"/>
      <c r="J39" s="200" t="n"/>
      <c r="K39" s="297" t="n"/>
      <c r="L39" s="297" t="n"/>
    </row>
    <row r="40">
      <c r="A40" s="333" t="n"/>
      <c r="B40" s="333" t="n"/>
      <c r="C40" s="332" t="inlineStr">
        <is>
          <t>Итого основное оборудование</t>
        </is>
      </c>
      <c r="D40" s="333" t="n"/>
      <c r="E40" s="414" t="n"/>
      <c r="F40" s="335" t="n"/>
      <c r="G40" s="211" t="n">
        <v>0</v>
      </c>
      <c r="H40" s="336" t="n">
        <v>0</v>
      </c>
      <c r="I40" s="201" t="n"/>
      <c r="J40" s="211" t="n">
        <v>0</v>
      </c>
      <c r="K40" s="297" t="n"/>
      <c r="L40" s="297" t="n"/>
    </row>
    <row r="41">
      <c r="A41" s="333" t="n"/>
      <c r="B41" s="333" t="n"/>
      <c r="C41" s="332" t="inlineStr">
        <is>
          <t>Итого прочее оборудование</t>
        </is>
      </c>
      <c r="D41" s="333" t="n"/>
      <c r="E41" s="414" t="n"/>
      <c r="F41" s="335" t="n"/>
      <c r="G41" s="211" t="n">
        <v>0</v>
      </c>
      <c r="H41" s="336" t="n">
        <v>0</v>
      </c>
      <c r="I41" s="201" t="n"/>
      <c r="J41" s="211" t="n">
        <v>0</v>
      </c>
      <c r="K41" s="297" t="n"/>
      <c r="L41" s="297" t="n"/>
    </row>
    <row r="42">
      <c r="A42" s="333" t="n"/>
      <c r="B42" s="333" t="n"/>
      <c r="C42" s="331" t="inlineStr">
        <is>
          <t>Итого по разделу «Оборудование»</t>
        </is>
      </c>
      <c r="D42" s="333" t="n"/>
      <c r="E42" s="334" t="n"/>
      <c r="F42" s="335" t="n"/>
      <c r="G42" s="211">
        <f>G40+G41</f>
        <v/>
      </c>
      <c r="H42" s="336" t="n">
        <v>0</v>
      </c>
      <c r="I42" s="201" t="n"/>
      <c r="J42" s="211">
        <f>J41+J40</f>
        <v/>
      </c>
      <c r="K42" s="297" t="n"/>
      <c r="L42" s="297" t="n"/>
    </row>
    <row r="43" ht="25.5" customHeight="1" s="299">
      <c r="A43" s="333" t="n"/>
      <c r="B43" s="333" t="n"/>
      <c r="C43" s="332" t="inlineStr">
        <is>
          <t>в том числе технологическое оборудование</t>
        </is>
      </c>
      <c r="D43" s="333" t="n"/>
      <c r="E43" s="415" t="n"/>
      <c r="F43" s="335" t="n"/>
      <c r="G43" s="211">
        <f>G42</f>
        <v/>
      </c>
      <c r="H43" s="336" t="n"/>
      <c r="I43" s="201" t="n"/>
      <c r="J43" s="211">
        <f>J42</f>
        <v/>
      </c>
      <c r="K43" s="297" t="n"/>
      <c r="L43" s="297" t="n"/>
    </row>
    <row r="44" ht="14.25" customFormat="1" customHeight="1" s="297">
      <c r="A44" s="333" t="n"/>
      <c r="B44" s="331" t="inlineStr">
        <is>
          <t>Материалы</t>
        </is>
      </c>
      <c r="C44" s="408" t="n"/>
      <c r="D44" s="408" t="n"/>
      <c r="E44" s="408" t="n"/>
      <c r="F44" s="408" t="n"/>
      <c r="G44" s="408" t="n"/>
      <c r="H44" s="409" t="n"/>
      <c r="I44" s="200" t="n"/>
      <c r="J44" s="200" t="n"/>
    </row>
    <row r="45" ht="14.25" customFormat="1" customHeight="1" s="297">
      <c r="A45" s="327" t="n"/>
      <c r="B45" s="326" t="inlineStr">
        <is>
          <t>Основные материалы</t>
        </is>
      </c>
      <c r="C45" s="416" t="n"/>
      <c r="D45" s="416" t="n"/>
      <c r="E45" s="416" t="n"/>
      <c r="F45" s="416" t="n"/>
      <c r="G45" s="416" t="n"/>
      <c r="H45" s="417" t="n"/>
      <c r="I45" s="220" t="n"/>
      <c r="J45" s="220" t="n"/>
    </row>
    <row r="46" ht="38.25" customFormat="1" customHeight="1" s="297">
      <c r="A46" s="333" t="n">
        <v>17</v>
      </c>
      <c r="B46" s="333" t="inlineStr">
        <is>
          <t>01.7.12.03-0001</t>
        </is>
      </c>
      <c r="C46" s="332" t="inlineStr">
        <is>
          <t>Геомат МТС 15-550 (300) ЭКСТРАМАТ (ТУ 2291-021-00205009-2011) (Геомат СМТ 600)</t>
        </is>
      </c>
      <c r="D46" s="333" t="inlineStr">
        <is>
          <t>м2</t>
        </is>
      </c>
      <c r="E46" s="334" t="n">
        <v>3250</v>
      </c>
      <c r="F46" s="335" t="n">
        <v>51.6</v>
      </c>
      <c r="G46" s="211">
        <f>ROUND(E46*F46,2)</f>
        <v/>
      </c>
      <c r="H46" s="214">
        <f>G46/$G$64</f>
        <v/>
      </c>
      <c r="I46" s="211">
        <f>ROUND(F46*'Прил. 10'!$D$13,2)</f>
        <v/>
      </c>
      <c r="J46" s="211">
        <f>ROUND(I46*E46,2)</f>
        <v/>
      </c>
    </row>
    <row r="47" ht="14.25" customFormat="1" customHeight="1" s="297">
      <c r="A47" s="333" t="n">
        <v>18</v>
      </c>
      <c r="B47" s="333" t="inlineStr">
        <is>
          <t>16.2.01.02-0001</t>
        </is>
      </c>
      <c r="C47" s="332" t="inlineStr">
        <is>
          <t>Земля растительная</t>
        </is>
      </c>
      <c r="D47" s="333" t="inlineStr">
        <is>
          <t>м3</t>
        </is>
      </c>
      <c r="E47" s="334" t="n">
        <v>513.5</v>
      </c>
      <c r="F47" s="335" t="n">
        <v>135.6</v>
      </c>
      <c r="G47" s="211">
        <f>ROUND(E47*F47,2)</f>
        <v/>
      </c>
      <c r="H47" s="214">
        <f>G47/$G$64</f>
        <v/>
      </c>
      <c r="I47" s="211">
        <f>ROUND(F47*'Прил. 10'!$D$13,2)</f>
        <v/>
      </c>
      <c r="J47" s="211">
        <f>ROUND(I47*E47,2)</f>
        <v/>
      </c>
    </row>
    <row r="48" ht="38.25" customFormat="1" customHeight="1" s="297">
      <c r="A48" s="333" t="n">
        <v>19</v>
      </c>
      <c r="B48" s="333" t="inlineStr">
        <is>
          <t>02.2.04.04-0002</t>
        </is>
      </c>
      <c r="C48" s="332" t="inlineStr">
        <is>
          <t>Смеси готовые щебеночно-песчаные (ГОСТ 25607-2009) номер: С2, размер зерен 0-20 мм</t>
        </is>
      </c>
      <c r="D48" s="333" t="inlineStr">
        <is>
          <t>м3</t>
        </is>
      </c>
      <c r="E48" s="334" t="n">
        <v>110</v>
      </c>
      <c r="F48" s="335" t="n">
        <v>157.78</v>
      </c>
      <c r="G48" s="211">
        <f>ROUND(E48*F48,2)</f>
        <v/>
      </c>
      <c r="H48" s="214">
        <f>G48/$G$64</f>
        <v/>
      </c>
      <c r="I48" s="211">
        <f>ROUND(F48*'Прил. 10'!$D$13,2)</f>
        <v/>
      </c>
      <c r="J48" s="211">
        <f>ROUND(I48*E48,2)</f>
        <v/>
      </c>
    </row>
    <row r="49" ht="14.25" customFormat="1" customHeight="1" s="297">
      <c r="A49" s="344" t="n"/>
      <c r="B49" s="222" t="n"/>
      <c r="C49" s="223" t="inlineStr">
        <is>
          <t>Итого основные материалы</t>
        </is>
      </c>
      <c r="D49" s="344" t="n"/>
      <c r="E49" s="418" t="n"/>
      <c r="F49" s="228" t="n"/>
      <c r="G49" s="228">
        <f>SUM(G46:G48)</f>
        <v/>
      </c>
      <c r="H49" s="214">
        <f>G49/$G$64</f>
        <v/>
      </c>
      <c r="I49" s="211" t="n"/>
      <c r="J49" s="228">
        <f>J46</f>
        <v/>
      </c>
    </row>
    <row r="50" hidden="1" outlineLevel="1" ht="38.25" customFormat="1" customHeight="1" s="297">
      <c r="A50" s="333" t="n">
        <v>20</v>
      </c>
      <c r="B50" s="333" t="inlineStr">
        <is>
          <t>04.1.02.02-0029</t>
        </is>
      </c>
      <c r="C50" s="332" t="inlineStr">
        <is>
          <t>Смеси бетонные тяжелого бетона (БСТ) для гидротехнических сооружений, класс В25 (М350)</t>
        </is>
      </c>
      <c r="D50" s="333" t="inlineStr">
        <is>
          <t>м3</t>
        </is>
      </c>
      <c r="E50" s="334" t="n">
        <v>20.6451</v>
      </c>
      <c r="F50" s="335" t="n">
        <v>789.24</v>
      </c>
      <c r="G50" s="211">
        <f>ROUND(E50*F50,2)</f>
        <v/>
      </c>
      <c r="H50" s="214">
        <f>G50/$G$64</f>
        <v/>
      </c>
      <c r="I50" s="211">
        <f>ROUND(F50*'Прил. 10'!$D$13,2)</f>
        <v/>
      </c>
      <c r="J50" s="211">
        <f>ROUND(I50*E50,2)</f>
        <v/>
      </c>
    </row>
    <row r="51" hidden="1" outlineLevel="1" ht="14.25" customFormat="1" customHeight="1" s="297">
      <c r="A51" s="333" t="n">
        <v>21</v>
      </c>
      <c r="B51" s="333" t="inlineStr">
        <is>
          <t>16.2.02.07-0161</t>
        </is>
      </c>
      <c r="C51" s="332" t="inlineStr">
        <is>
          <t>Семена газонных трав (смесь)</t>
        </is>
      </c>
      <c r="D51" s="333" t="inlineStr">
        <is>
          <t>кг</t>
        </is>
      </c>
      <c r="E51" s="334" t="n">
        <v>87.75</v>
      </c>
      <c r="F51" s="335" t="n">
        <v>146.25</v>
      </c>
      <c r="G51" s="211">
        <f>ROUND(E51*F51,2)</f>
        <v/>
      </c>
      <c r="H51" s="214">
        <f>G51/$G$64</f>
        <v/>
      </c>
      <c r="I51" s="211">
        <f>ROUND(F51*'Прил. 10'!$D$13,2)</f>
        <v/>
      </c>
      <c r="J51" s="211">
        <f>ROUND(I51*E51,2)</f>
        <v/>
      </c>
    </row>
    <row r="52" hidden="1" outlineLevel="1" ht="25.5" customFormat="1" customHeight="1" s="297">
      <c r="A52" s="333" t="n">
        <v>22</v>
      </c>
      <c r="B52" s="333" t="inlineStr">
        <is>
          <t>08.4.03.02-0004</t>
        </is>
      </c>
      <c r="C52" s="332" t="inlineStr">
        <is>
          <t>Сталь арматурная, горячекатаная, гладкая, класс А-I, диаметр 12 мм</t>
        </is>
      </c>
      <c r="D52" s="333" t="inlineStr">
        <is>
          <t>т</t>
        </is>
      </c>
      <c r="E52" s="334" t="n">
        <v>1.15</v>
      </c>
      <c r="F52" s="335" t="n">
        <v>6508.75</v>
      </c>
      <c r="G52" s="211">
        <f>ROUND(E52*F52,2)</f>
        <v/>
      </c>
      <c r="H52" s="214">
        <f>G52/$G$64</f>
        <v/>
      </c>
      <c r="I52" s="211">
        <f>ROUND(F52*'Прил. 10'!$D$13,2)</f>
        <v/>
      </c>
      <c r="J52" s="211">
        <f>ROUND(I52*E52,2)</f>
        <v/>
      </c>
    </row>
    <row r="53" hidden="1" outlineLevel="1" ht="25.5" customFormat="1" customHeight="1" s="297">
      <c r="A53" s="333" t="n">
        <v>23</v>
      </c>
      <c r="B53" s="333" t="inlineStr">
        <is>
          <t>24.3.03.13-0264</t>
        </is>
      </c>
      <c r="C53" s="332" t="inlineStr">
        <is>
          <t>Трубы полиэтиленовые ПЭ80, SDR41, диаметр 500 мм</t>
        </is>
      </c>
      <c r="D53" s="333" t="inlineStr">
        <is>
          <t>м</t>
        </is>
      </c>
      <c r="E53" s="334" t="n">
        <v>8.65</v>
      </c>
      <c r="F53" s="335" t="n">
        <v>405.06</v>
      </c>
      <c r="G53" s="211">
        <f>ROUND(E53*F53,2)</f>
        <v/>
      </c>
      <c r="H53" s="214">
        <f>G53/$G$64</f>
        <v/>
      </c>
      <c r="I53" s="211">
        <f>ROUND(F53*'Прил. 10'!$D$13,2)</f>
        <v/>
      </c>
      <c r="J53" s="211">
        <f>ROUND(I53*E53,2)</f>
        <v/>
      </c>
    </row>
    <row r="54" hidden="1" outlineLevel="1" ht="51" customFormat="1" customHeight="1" s="297">
      <c r="A54" s="333" t="n">
        <v>24</v>
      </c>
      <c r="B54" s="333" t="inlineStr">
        <is>
          <t>08.4.02.03-0021</t>
        </is>
      </c>
      <c r="C54" s="332" t="inlineStr">
        <is>
          <t>Каркасы и сетки арматурные плоские, собранные и сваренные (связанные) в арматурные изделия, класс ВР-I, диаметр 4 мм</t>
        </is>
      </c>
      <c r="D54" s="333" t="inlineStr">
        <is>
          <t>т</t>
        </is>
      </c>
      <c r="E54" s="334" t="n">
        <v>0.25</v>
      </c>
      <c r="F54" s="335" t="n">
        <v>8817.17</v>
      </c>
      <c r="G54" s="211">
        <f>ROUND(E54*F54,2)</f>
        <v/>
      </c>
      <c r="H54" s="214">
        <f>G54/$G$64</f>
        <v/>
      </c>
      <c r="I54" s="211">
        <f>ROUND(F54*'Прил. 10'!$D$13,2)</f>
        <v/>
      </c>
      <c r="J54" s="211">
        <f>ROUND(I54*E54,2)</f>
        <v/>
      </c>
    </row>
    <row r="55" hidden="1" outlineLevel="1" ht="25.5" customFormat="1" customHeight="1" s="297">
      <c r="A55" s="333" t="n">
        <v>25</v>
      </c>
      <c r="B55" s="333" t="inlineStr">
        <is>
          <t>02.2.05.04-1772</t>
        </is>
      </c>
      <c r="C55" s="332" t="inlineStr">
        <is>
          <t>Щебень М 600, фракция 20-40 мм, группа 2</t>
        </is>
      </c>
      <c r="D55" s="333" t="inlineStr">
        <is>
          <t>м3</t>
        </is>
      </c>
      <c r="E55" s="334" t="n">
        <v>7.501</v>
      </c>
      <c r="F55" s="335" t="n">
        <v>114.13</v>
      </c>
      <c r="G55" s="211">
        <f>ROUND(E55*F55,2)</f>
        <v/>
      </c>
      <c r="H55" s="214">
        <f>G55/$G$64</f>
        <v/>
      </c>
      <c r="I55" s="211">
        <f>ROUND(F55*'Прил. 10'!$D$13,2)</f>
        <v/>
      </c>
      <c r="J55" s="211">
        <f>ROUND(I55*E55,2)</f>
        <v/>
      </c>
    </row>
    <row r="56" hidden="1" outlineLevel="1" ht="25.5" customFormat="1" customHeight="1" s="297">
      <c r="A56" s="333" t="n">
        <v>26</v>
      </c>
      <c r="B56" s="333" t="inlineStr">
        <is>
          <t>02.2.03.01-0006</t>
        </is>
      </c>
      <c r="C56" s="332" t="inlineStr">
        <is>
          <t>Камень бутовый М 300, размер от 150 до 500 мм</t>
        </is>
      </c>
      <c r="D56" s="333" t="inlineStr">
        <is>
          <t>м3</t>
        </is>
      </c>
      <c r="E56" s="334" t="n">
        <v>3.03</v>
      </c>
      <c r="F56" s="335" t="n">
        <v>203.4</v>
      </c>
      <c r="G56" s="211">
        <f>ROUND(E56*F56,2)</f>
        <v/>
      </c>
      <c r="H56" s="214">
        <f>G56/$G$64</f>
        <v/>
      </c>
      <c r="I56" s="211">
        <f>ROUND(F56*'Прил. 10'!$D$13,2)</f>
        <v/>
      </c>
      <c r="J56" s="211">
        <f>ROUND(I56*E56,2)</f>
        <v/>
      </c>
    </row>
    <row r="57" hidden="1" outlineLevel="1" ht="14.25" customFormat="1" customHeight="1" s="297">
      <c r="A57" s="333" t="n">
        <v>27</v>
      </c>
      <c r="B57" s="333" t="inlineStr">
        <is>
          <t>01.7.15.06-0111</t>
        </is>
      </c>
      <c r="C57" s="332" t="inlineStr">
        <is>
          <t>Гвозди строительные</t>
        </is>
      </c>
      <c r="D57" s="333" t="inlineStr">
        <is>
          <t>т</t>
        </is>
      </c>
      <c r="E57" s="334" t="n">
        <v>0.04068</v>
      </c>
      <c r="F57" s="335" t="n">
        <v>11978</v>
      </c>
      <c r="G57" s="211">
        <f>ROUND(E57*F57,2)</f>
        <v/>
      </c>
      <c r="H57" s="214">
        <f>G57/$G$64</f>
        <v/>
      </c>
      <c r="I57" s="211">
        <f>ROUND(F57*'Прил. 10'!$D$13,2)</f>
        <v/>
      </c>
      <c r="J57" s="211">
        <f>ROUND(I57*E57,2)</f>
        <v/>
      </c>
    </row>
    <row r="58" hidden="1" outlineLevel="1" ht="25.5" customFormat="1" customHeight="1" s="297">
      <c r="A58" s="333" t="n">
        <v>28</v>
      </c>
      <c r="B58" s="333" t="inlineStr">
        <is>
          <t>01.7.07.12-1006</t>
        </is>
      </c>
      <c r="C58" s="332" t="inlineStr">
        <is>
          <t>Пленка полиэтиленовая, толщина 80 мкм (Геотекс 200 мкм)</t>
        </is>
      </c>
      <c r="D58" s="333" t="inlineStr">
        <is>
          <t>м2</t>
        </is>
      </c>
      <c r="E58" s="334" t="n">
        <v>186.864</v>
      </c>
      <c r="F58" s="335" t="n">
        <v>1.94</v>
      </c>
      <c r="G58" s="211">
        <f>ROUND(E58*F58,2)</f>
        <v/>
      </c>
      <c r="H58" s="214">
        <f>G58/$G$64</f>
        <v/>
      </c>
      <c r="I58" s="211">
        <f>ROUND(F58*'Прил. 10'!$D$13,2)</f>
        <v/>
      </c>
      <c r="J58" s="211">
        <f>ROUND(I58*E58,2)</f>
        <v/>
      </c>
    </row>
    <row r="59" hidden="1" outlineLevel="1" ht="38.25" customFormat="1" customHeight="1" s="297">
      <c r="A59" s="333" t="n">
        <v>29</v>
      </c>
      <c r="B59" s="333" t="inlineStr">
        <is>
          <t>11.1.03.06-0087</t>
        </is>
      </c>
      <c r="C59" s="332" t="inlineStr">
        <is>
          <t>Доска обрезная, хвойных пород, ширина 75-150 мм, толщина 25 мм, длина 4-6,5 м, сорт III</t>
        </is>
      </c>
      <c r="D59" s="333" t="inlineStr">
        <is>
          <t>м3</t>
        </is>
      </c>
      <c r="E59" s="334" t="n">
        <v>0.093432</v>
      </c>
      <c r="F59" s="335" t="n">
        <v>1100</v>
      </c>
      <c r="G59" s="211">
        <f>ROUND(E59*F59,2)</f>
        <v/>
      </c>
      <c r="H59" s="214">
        <f>G59/$G$64</f>
        <v/>
      </c>
      <c r="I59" s="211">
        <f>ROUND(F59*'Прил. 10'!$D$13,2)</f>
        <v/>
      </c>
      <c r="J59" s="211">
        <f>ROUND(I59*E59,2)</f>
        <v/>
      </c>
    </row>
    <row r="60" hidden="1" outlineLevel="1" ht="25.5" customFormat="1" customHeight="1" s="297">
      <c r="A60" s="333" t="n">
        <v>30</v>
      </c>
      <c r="B60" s="333" t="inlineStr">
        <is>
          <t>03.1.02.03-0011</t>
        </is>
      </c>
      <c r="C60" s="332" t="inlineStr">
        <is>
          <t>Известь строительная негашеная комовая, сорт I</t>
        </is>
      </c>
      <c r="D60" s="333" t="inlineStr">
        <is>
          <t>т</t>
        </is>
      </c>
      <c r="E60" s="334" t="n">
        <v>0.027459</v>
      </c>
      <c r="F60" s="335" t="n">
        <v>734.5</v>
      </c>
      <c r="G60" s="211">
        <f>ROUND(E60*F60,2)</f>
        <v/>
      </c>
      <c r="H60" s="214">
        <f>G60/$G$64</f>
        <v/>
      </c>
      <c r="I60" s="211">
        <f>ROUND(F60*'Прил. 10'!$D$13,2)</f>
        <v/>
      </c>
      <c r="J60" s="211">
        <f>ROUND(I60*E60,2)</f>
        <v/>
      </c>
    </row>
    <row r="61" hidden="1" outlineLevel="1" ht="25.5" customFormat="1" customHeight="1" s="297">
      <c r="A61" s="333" t="n">
        <v>31</v>
      </c>
      <c r="B61" s="333" t="inlineStr">
        <is>
          <t>02.2.05.04-1777</t>
        </is>
      </c>
      <c r="C61" s="332" t="inlineStr">
        <is>
          <t>Щебень М 800, фракция 20-40 мм, группа 2</t>
        </is>
      </c>
      <c r="D61" s="333" t="inlineStr">
        <is>
          <t>м3</t>
        </is>
      </c>
      <c r="E61" s="334" t="n">
        <v>0.17113</v>
      </c>
      <c r="F61" s="335" t="n">
        <v>108.4</v>
      </c>
      <c r="G61" s="211">
        <f>ROUND(E61*F61,2)</f>
        <v/>
      </c>
      <c r="H61" s="214">
        <f>G61/$G$64</f>
        <v/>
      </c>
      <c r="I61" s="211">
        <f>ROUND(F61*'Прил. 10'!$D$13,2)</f>
        <v/>
      </c>
      <c r="J61" s="211">
        <f>ROUND(I61*E61,2)</f>
        <v/>
      </c>
    </row>
    <row r="62" hidden="1" outlineLevel="1" ht="14.25" customFormat="1" customHeight="1" s="297">
      <c r="A62" s="333" t="n">
        <v>32</v>
      </c>
      <c r="B62" s="333" t="inlineStr">
        <is>
          <t>01.7.03.01-0001</t>
        </is>
      </c>
      <c r="C62" s="332" t="inlineStr">
        <is>
          <t>Вода</t>
        </is>
      </c>
      <c r="D62" s="333" t="inlineStr">
        <is>
          <t>м3</t>
        </is>
      </c>
      <c r="E62" s="334" t="n">
        <v>0.9474702</v>
      </c>
      <c r="F62" s="335" t="n">
        <v>2.44</v>
      </c>
      <c r="G62" s="211">
        <f>ROUND(E62*F62,2)</f>
        <v/>
      </c>
      <c r="H62" s="214">
        <f>G62/$G$64</f>
        <v/>
      </c>
      <c r="I62" s="211">
        <f>ROUND(F62*'Прил. 10'!$D$13,2)</f>
        <v/>
      </c>
      <c r="J62" s="211">
        <f>ROUND(I62*E62,2)</f>
        <v/>
      </c>
    </row>
    <row r="63" collapsed="1" ht="14.25" customFormat="1" customHeight="1" s="297">
      <c r="A63" s="333" t="n"/>
      <c r="B63" s="333" t="n"/>
      <c r="C63" s="332" t="inlineStr">
        <is>
          <t>Итого прочие материалы</t>
        </is>
      </c>
      <c r="D63" s="333" t="n"/>
      <c r="E63" s="334" t="n"/>
      <c r="F63" s="335" t="n"/>
      <c r="G63" s="211">
        <f>SUM(G50:G62)</f>
        <v/>
      </c>
      <c r="H63" s="214">
        <f>G63/$G$64</f>
        <v/>
      </c>
      <c r="I63" s="211" t="n"/>
      <c r="J63" s="211">
        <f>SUM(J50:J62)</f>
        <v/>
      </c>
    </row>
    <row r="64" ht="14.25" customFormat="1" customHeight="1" s="297">
      <c r="A64" s="333" t="n"/>
      <c r="B64" s="333" t="n"/>
      <c r="C64" s="331" t="inlineStr">
        <is>
          <t>Итого по разделу «Материалы»</t>
        </is>
      </c>
      <c r="D64" s="333" t="n"/>
      <c r="E64" s="334" t="n"/>
      <c r="F64" s="335" t="n"/>
      <c r="G64" s="211">
        <f>G49+G63</f>
        <v/>
      </c>
      <c r="H64" s="214">
        <f>G64/$G$64</f>
        <v/>
      </c>
      <c r="I64" s="211" t="n"/>
      <c r="J64" s="211">
        <f>J49+J63</f>
        <v/>
      </c>
    </row>
    <row r="65" ht="14.25" customFormat="1" customHeight="1" s="297">
      <c r="A65" s="333" t="n"/>
      <c r="B65" s="333" t="n"/>
      <c r="C65" s="332" t="inlineStr">
        <is>
          <t>ИТОГО ПО РМ</t>
        </is>
      </c>
      <c r="D65" s="333" t="n"/>
      <c r="E65" s="334" t="n"/>
      <c r="F65" s="335" t="n"/>
      <c r="G65" s="211">
        <f>G14+G37+G64</f>
        <v/>
      </c>
      <c r="H65" s="336" t="n"/>
      <c r="I65" s="211" t="n"/>
      <c r="J65" s="211">
        <f>J14+J37+J64</f>
        <v/>
      </c>
    </row>
    <row r="66" ht="14.25" customFormat="1" customHeight="1" s="297">
      <c r="A66" s="333" t="n"/>
      <c r="B66" s="333" t="n"/>
      <c r="C66" s="332" t="inlineStr">
        <is>
          <t>Накладные расходы</t>
        </is>
      </c>
      <c r="D66" s="203">
        <f>ROUND(G66/(G$16+$G$14),2)</f>
        <v/>
      </c>
      <c r="E66" s="334" t="n"/>
      <c r="F66" s="335" t="n"/>
      <c r="G66" s="211" t="n">
        <v>15719.78</v>
      </c>
      <c r="H66" s="336" t="n"/>
      <c r="I66" s="211" t="n"/>
      <c r="J66" s="211">
        <f>ROUND(D66*(J14+J16),2)</f>
        <v/>
      </c>
    </row>
    <row r="67" ht="14.25" customFormat="1" customHeight="1" s="297">
      <c r="A67" s="333" t="n"/>
      <c r="B67" s="333" t="n"/>
      <c r="C67" s="332" t="inlineStr">
        <is>
          <t>Сметная прибыль</t>
        </is>
      </c>
      <c r="D67" s="203">
        <f>ROUND(G67/(G$14+G$16),2)</f>
        <v/>
      </c>
      <c r="E67" s="334" t="n"/>
      <c r="F67" s="335" t="n"/>
      <c r="G67" s="211" t="n">
        <v>9078.17</v>
      </c>
      <c r="H67" s="336" t="n"/>
      <c r="I67" s="211" t="n"/>
      <c r="J67" s="211">
        <f>ROUND(D67*(J14+J16),2)</f>
        <v/>
      </c>
    </row>
    <row r="68" ht="14.25" customFormat="1" customHeight="1" s="297">
      <c r="A68" s="333" t="n"/>
      <c r="B68" s="333" t="n"/>
      <c r="C68" s="332" t="inlineStr">
        <is>
          <t>Итого СМР (с НР и СП)</t>
        </is>
      </c>
      <c r="D68" s="333" t="n"/>
      <c r="E68" s="334" t="n"/>
      <c r="F68" s="335" t="n"/>
      <c r="G68" s="211">
        <f>G14+G37+G64+G66+G67</f>
        <v/>
      </c>
      <c r="H68" s="336" t="n"/>
      <c r="I68" s="211" t="n"/>
      <c r="J68" s="211">
        <f>J14+J37+J64+J66+J67</f>
        <v/>
      </c>
    </row>
    <row r="69" ht="14.25" customFormat="1" customHeight="1" s="297">
      <c r="A69" s="333" t="n"/>
      <c r="B69" s="333" t="n"/>
      <c r="C69" s="332" t="inlineStr">
        <is>
          <t>ВСЕГО СМР + ОБОРУДОВАНИЕ</t>
        </is>
      </c>
      <c r="D69" s="333" t="n"/>
      <c r="E69" s="334" t="n"/>
      <c r="F69" s="335" t="n"/>
      <c r="G69" s="211">
        <f>G68+G42</f>
        <v/>
      </c>
      <c r="H69" s="336" t="n"/>
      <c r="I69" s="211" t="n"/>
      <c r="J69" s="211">
        <f>J68+J42</f>
        <v/>
      </c>
    </row>
    <row r="70" ht="34.5" customFormat="1" customHeight="1" s="297">
      <c r="A70" s="333" t="n"/>
      <c r="B70" s="333" t="n"/>
      <c r="C70" s="332" t="inlineStr">
        <is>
          <t>ИТОГО ПОКАЗАТЕЛЬ НА ЕД. ИЗМ.</t>
        </is>
      </c>
      <c r="D70" s="333" t="inlineStr">
        <is>
          <t>опора</t>
        </is>
      </c>
      <c r="E70" s="334" t="n">
        <v>1</v>
      </c>
      <c r="F70" s="335" t="n"/>
      <c r="G70" s="211">
        <f>G69/E70</f>
        <v/>
      </c>
      <c r="H70" s="336" t="n"/>
      <c r="I70" s="211" t="n"/>
      <c r="J70" s="211">
        <f>J69/E70</f>
        <v/>
      </c>
    </row>
    <row r="72" ht="14.25" customFormat="1" customHeight="1" s="297">
      <c r="A72" s="287" t="inlineStr">
        <is>
          <t>Составил ______________________    А.П. Николаева</t>
        </is>
      </c>
    </row>
    <row r="73" ht="14.25" customFormat="1" customHeight="1" s="297">
      <c r="A73" s="296" t="inlineStr">
        <is>
          <t xml:space="preserve">                         (подпись, инициалы, фамилия)</t>
        </is>
      </c>
    </row>
    <row r="74" ht="14.25" customFormat="1" customHeight="1" s="297">
      <c r="A74" s="287" t="n"/>
    </row>
    <row r="75" ht="14.25" customFormat="1" customHeight="1" s="297">
      <c r="A75" s="287" t="inlineStr">
        <is>
          <t>Проверил ______________________        А.В. Костянецкая</t>
        </is>
      </c>
    </row>
    <row r="76" ht="14.25" customFormat="1" customHeight="1" s="297">
      <c r="A76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45:H45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44:H44"/>
    <mergeCell ref="B38:H38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99" min="1" max="1"/>
    <col width="17.5703125" customWidth="1" style="299" min="2" max="2"/>
    <col width="39.140625" customWidth="1" style="299" min="3" max="3"/>
    <col width="10.7109375" customWidth="1" style="299" min="4" max="4"/>
    <col width="13.85546875" customWidth="1" style="299" min="5" max="5"/>
    <col width="13.28515625" customWidth="1" style="299" min="6" max="6"/>
    <col width="14.140625" customWidth="1" style="299" min="7" max="7"/>
  </cols>
  <sheetData>
    <row r="1">
      <c r="A1" s="345" t="inlineStr">
        <is>
          <t>Приложение №6</t>
        </is>
      </c>
    </row>
    <row r="2" ht="21.75" customHeight="1" s="299">
      <c r="A2" s="345" t="n"/>
      <c r="B2" s="345" t="n"/>
      <c r="C2" s="345" t="n"/>
      <c r="D2" s="345" t="n"/>
      <c r="E2" s="345" t="n"/>
      <c r="F2" s="345" t="n"/>
      <c r="G2" s="345" t="n"/>
    </row>
    <row r="3">
      <c r="A3" s="306" t="inlineStr">
        <is>
          <t>Расчет стоимости оборудования</t>
        </is>
      </c>
    </row>
    <row r="4" ht="25.5" customHeight="1" s="299">
      <c r="A4" s="309" t="inlineStr">
        <is>
          <t>Наименование разрабатываемого показателя УНЦ — Противооползневые мероприятия  ВЛ220-750кВ</t>
        </is>
      </c>
    </row>
    <row r="5">
      <c r="A5" s="287" t="n"/>
      <c r="B5" s="287" t="n"/>
      <c r="C5" s="287" t="n"/>
      <c r="D5" s="287" t="n"/>
      <c r="E5" s="287" t="n"/>
      <c r="F5" s="287" t="n"/>
      <c r="G5" s="287" t="n"/>
    </row>
    <row r="6" ht="30" customHeight="1" s="299">
      <c r="A6" s="350" t="inlineStr">
        <is>
          <t>№ пп.</t>
        </is>
      </c>
      <c r="B6" s="350" t="inlineStr">
        <is>
          <t>Код ресурса</t>
        </is>
      </c>
      <c r="C6" s="350" t="inlineStr">
        <is>
          <t>Наименование</t>
        </is>
      </c>
      <c r="D6" s="350" t="inlineStr">
        <is>
          <t>Ед. изм.</t>
        </is>
      </c>
      <c r="E6" s="333" t="inlineStr">
        <is>
          <t>Кол-во единиц по проектным данным</t>
        </is>
      </c>
      <c r="F6" s="350" t="inlineStr">
        <is>
          <t>Сметная стоимость в ценах на 01.01.2000 (руб.)</t>
        </is>
      </c>
      <c r="G6" s="409" t="n"/>
    </row>
    <row r="7">
      <c r="A7" s="411" t="n"/>
      <c r="B7" s="411" t="n"/>
      <c r="C7" s="411" t="n"/>
      <c r="D7" s="411" t="n"/>
      <c r="E7" s="411" t="n"/>
      <c r="F7" s="333" t="inlineStr">
        <is>
          <t>на ед. изм.</t>
        </is>
      </c>
      <c r="G7" s="333" t="inlineStr">
        <is>
          <t>общая</t>
        </is>
      </c>
    </row>
    <row r="8">
      <c r="A8" s="333" t="n">
        <v>1</v>
      </c>
      <c r="B8" s="333" t="n">
        <v>2</v>
      </c>
      <c r="C8" s="333" t="n">
        <v>3</v>
      </c>
      <c r="D8" s="333" t="n">
        <v>4</v>
      </c>
      <c r="E8" s="333" t="n">
        <v>5</v>
      </c>
      <c r="F8" s="333" t="n">
        <v>6</v>
      </c>
      <c r="G8" s="333" t="n">
        <v>7</v>
      </c>
    </row>
    <row r="9" ht="15" customHeight="1" s="299">
      <c r="A9" s="270" t="n"/>
      <c r="B9" s="332" t="inlineStr">
        <is>
          <t>ИНЖЕНЕРНОЕ ОБОРУДОВАНИЕ</t>
        </is>
      </c>
      <c r="C9" s="408" t="n"/>
      <c r="D9" s="408" t="n"/>
      <c r="E9" s="408" t="n"/>
      <c r="F9" s="408" t="n"/>
      <c r="G9" s="409" t="n"/>
    </row>
    <row r="10" ht="27" customHeight="1" s="299">
      <c r="A10" s="333" t="n"/>
      <c r="B10" s="331" t="n"/>
      <c r="C10" s="332" t="inlineStr">
        <is>
          <t>ИТОГО ИНЖЕНЕРНОЕ ОБОРУДОВАНИЕ</t>
        </is>
      </c>
      <c r="D10" s="331" t="n"/>
      <c r="E10" s="148" t="n"/>
      <c r="F10" s="335" t="n"/>
      <c r="G10" s="335" t="n">
        <v>0</v>
      </c>
    </row>
    <row r="11">
      <c r="A11" s="333" t="n"/>
      <c r="B11" s="332" t="inlineStr">
        <is>
          <t>ТЕХНОЛОГИЧЕСКОЕ ОБОРУДОВАНИЕ</t>
        </is>
      </c>
      <c r="C11" s="408" t="n"/>
      <c r="D11" s="408" t="n"/>
      <c r="E11" s="408" t="n"/>
      <c r="F11" s="408" t="n"/>
      <c r="G11" s="409" t="n"/>
    </row>
    <row r="12">
      <c r="A12" s="333" t="n">
        <v>1</v>
      </c>
      <c r="B12" s="332" t="n"/>
      <c r="C12" s="332" t="n"/>
      <c r="D12" s="333" t="n"/>
      <c r="E12" s="333" t="n"/>
      <c r="F12" s="335" t="n"/>
      <c r="G12" s="211" t="n"/>
    </row>
    <row r="13" ht="25.5" customHeight="1" s="299">
      <c r="A13" s="333" t="n"/>
      <c r="B13" s="332" t="n"/>
      <c r="C13" s="332" t="inlineStr">
        <is>
          <t>ИТОГО ТЕХНОЛОГИЧЕСКОЕ ОБОРУДОВАНИЕ</t>
        </is>
      </c>
      <c r="D13" s="332" t="n"/>
      <c r="E13" s="349" t="n"/>
      <c r="F13" s="335" t="n"/>
      <c r="G13" s="211">
        <f>SUM(G12:G12)</f>
        <v/>
      </c>
    </row>
    <row r="14" ht="19.5" customHeight="1" s="299">
      <c r="A14" s="333" t="n"/>
      <c r="B14" s="332" t="n"/>
      <c r="C14" s="332" t="inlineStr">
        <is>
          <t>Всего по разделу «Оборудование»</t>
        </is>
      </c>
      <c r="D14" s="332" t="n"/>
      <c r="E14" s="349" t="n"/>
      <c r="F14" s="335" t="n"/>
      <c r="G14" s="211">
        <f>G10+G13</f>
        <v/>
      </c>
    </row>
    <row r="15">
      <c r="A15" s="298" t="n"/>
      <c r="B15" s="293" t="n"/>
      <c r="C15" s="298" t="n"/>
      <c r="D15" s="298" t="n"/>
      <c r="E15" s="298" t="n"/>
      <c r="F15" s="298" t="n"/>
      <c r="G15" s="298" t="n"/>
    </row>
    <row r="16">
      <c r="A16" s="287" t="inlineStr">
        <is>
          <t>Составил ______________________   А.П. Николаева</t>
        </is>
      </c>
      <c r="B16" s="297" t="n"/>
      <c r="C16" s="297" t="n"/>
      <c r="D16" s="298" t="n"/>
      <c r="E16" s="298" t="n"/>
      <c r="F16" s="298" t="n"/>
      <c r="G16" s="298" t="n"/>
    </row>
    <row r="17">
      <c r="A17" s="296" t="inlineStr">
        <is>
          <t xml:space="preserve">                         (подпись, инициалы, фамилия)</t>
        </is>
      </c>
      <c r="B17" s="297" t="n"/>
      <c r="C17" s="297" t="n"/>
      <c r="D17" s="298" t="n"/>
      <c r="E17" s="298" t="n"/>
      <c r="F17" s="298" t="n"/>
      <c r="G17" s="298" t="n"/>
    </row>
    <row r="18">
      <c r="A18" s="287" t="n"/>
      <c r="B18" s="297" t="n"/>
      <c r="C18" s="297" t="n"/>
      <c r="D18" s="298" t="n"/>
      <c r="E18" s="298" t="n"/>
      <c r="F18" s="298" t="n"/>
      <c r="G18" s="298" t="n"/>
    </row>
    <row r="19">
      <c r="A19" s="287" t="inlineStr">
        <is>
          <t>Проверил ______________________        А.В. Костянецкая</t>
        </is>
      </c>
      <c r="B19" s="297" t="n"/>
      <c r="C19" s="297" t="n"/>
      <c r="D19" s="298" t="n"/>
      <c r="E19" s="298" t="n"/>
      <c r="F19" s="298" t="n"/>
      <c r="G19" s="298" t="n"/>
    </row>
    <row r="20">
      <c r="A20" s="296" t="inlineStr">
        <is>
          <t xml:space="preserve">                        (подпись, инициалы, фамилия)</t>
        </is>
      </c>
      <c r="B20" s="297" t="n"/>
      <c r="C20" s="297" t="n"/>
      <c r="D20" s="298" t="n"/>
      <c r="E20" s="298" t="n"/>
      <c r="F20" s="298" t="n"/>
      <c r="G20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299" min="1" max="1"/>
    <col width="29.7109375" customWidth="1" style="299" min="2" max="2"/>
    <col width="39.140625" customWidth="1" style="299" min="3" max="3"/>
    <col width="24.5703125" customWidth="1" style="299" min="4" max="4"/>
    <col width="8.85546875" customWidth="1" style="299" min="5" max="5"/>
  </cols>
  <sheetData>
    <row r="1">
      <c r="B1" s="287" t="n"/>
      <c r="C1" s="287" t="n"/>
      <c r="D1" s="345" t="inlineStr">
        <is>
          <t>Приложение №7</t>
        </is>
      </c>
    </row>
    <row r="2">
      <c r="A2" s="345" t="n"/>
      <c r="B2" s="345" t="n"/>
      <c r="C2" s="345" t="n"/>
      <c r="D2" s="345" t="n"/>
    </row>
    <row r="3" ht="24.75" customHeight="1" s="299">
      <c r="A3" s="306" t="inlineStr">
        <is>
          <t>Расчет показателя УНЦ</t>
        </is>
      </c>
    </row>
    <row r="4" ht="24.75" customHeight="1" s="299">
      <c r="A4" s="306" t="n"/>
      <c r="B4" s="306" t="n"/>
      <c r="C4" s="306" t="n"/>
      <c r="D4" s="306" t="n"/>
    </row>
    <row r="5" ht="24.6" customHeight="1" s="299">
      <c r="A5" s="309" t="inlineStr">
        <is>
          <t xml:space="preserve">Наименование разрабатываемого показателя УНЦ - </t>
        </is>
      </c>
      <c r="D5" s="309">
        <f>'Прил.5 Расчет СМР и ОБ'!D6:J6</f>
        <v/>
      </c>
    </row>
    <row r="6" ht="19.9" customHeight="1" s="299">
      <c r="A6" s="309" t="inlineStr">
        <is>
          <t>Единица измерения  — опора</t>
        </is>
      </c>
      <c r="D6" s="309" t="n"/>
    </row>
    <row r="7">
      <c r="A7" s="287" t="n"/>
      <c r="B7" s="287" t="n"/>
      <c r="C7" s="287" t="n"/>
      <c r="D7" s="287" t="n"/>
    </row>
    <row r="8" ht="14.45" customHeight="1" s="299">
      <c r="A8" s="321" t="inlineStr">
        <is>
          <t>Код показателя</t>
        </is>
      </c>
      <c r="B8" s="321" t="inlineStr">
        <is>
          <t>Наименование показателя</t>
        </is>
      </c>
      <c r="C8" s="321" t="inlineStr">
        <is>
          <t>Наименование РМ, входящих в состав показателя</t>
        </is>
      </c>
      <c r="D8" s="321" t="inlineStr">
        <is>
          <t>Норматив цены на 01.01.2023, тыс.руб.</t>
        </is>
      </c>
    </row>
    <row r="9" ht="15" customHeight="1" s="299">
      <c r="A9" s="411" t="n"/>
      <c r="B9" s="411" t="n"/>
      <c r="C9" s="411" t="n"/>
      <c r="D9" s="411" t="n"/>
    </row>
    <row r="10">
      <c r="A10" s="333" t="n">
        <v>1</v>
      </c>
      <c r="B10" s="333" t="n">
        <v>2</v>
      </c>
      <c r="C10" s="333" t="n">
        <v>3</v>
      </c>
      <c r="D10" s="333" t="n">
        <v>4</v>
      </c>
    </row>
    <row r="11" ht="41.45" customHeight="1" s="299">
      <c r="A11" s="333" t="inlineStr">
        <is>
          <t>Л9-03</t>
        </is>
      </c>
      <c r="B11" s="333" t="inlineStr">
        <is>
          <t xml:space="preserve">УНЦ устройства лежневых дорог </t>
        </is>
      </c>
      <c r="C11" s="289">
        <f>D5</f>
        <v/>
      </c>
      <c r="D11" s="290">
        <f>'Прил.4 РМ'!C41/1000</f>
        <v/>
      </c>
      <c r="E11" s="291" t="n"/>
    </row>
    <row r="12">
      <c r="A12" s="298" t="n"/>
      <c r="B12" s="293" t="n"/>
      <c r="C12" s="298" t="n"/>
      <c r="D12" s="298" t="n"/>
    </row>
    <row r="13">
      <c r="A13" s="287" t="inlineStr">
        <is>
          <t>Составил ______________________      А.П. Николаева</t>
        </is>
      </c>
      <c r="B13" s="297" t="n"/>
      <c r="C13" s="297" t="n"/>
      <c r="D13" s="298" t="n"/>
    </row>
    <row r="14">
      <c r="A14" s="296" t="inlineStr">
        <is>
          <t xml:space="preserve">                         (подпись, инициалы, фамилия)</t>
        </is>
      </c>
      <c r="B14" s="297" t="n"/>
      <c r="C14" s="297" t="n"/>
      <c r="D14" s="298" t="n"/>
    </row>
    <row r="15">
      <c r="A15" s="287" t="n"/>
      <c r="B15" s="297" t="n"/>
      <c r="C15" s="297" t="n"/>
      <c r="D15" s="298" t="n"/>
    </row>
    <row r="16">
      <c r="A16" s="287" t="inlineStr">
        <is>
          <t>Проверил ______________________        А.В. Костянецкая</t>
        </is>
      </c>
      <c r="B16" s="297" t="n"/>
      <c r="C16" s="297" t="n"/>
      <c r="D16" s="298" t="n"/>
    </row>
    <row r="17">
      <c r="A17" s="296" t="inlineStr">
        <is>
          <t xml:space="preserve">                        (подпись, инициалы, фамилия)</t>
        </is>
      </c>
      <c r="B17" s="297" t="n"/>
      <c r="C17" s="297" t="n"/>
      <c r="D17" s="2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topLeftCell="A16" zoomScale="60" zoomScaleNormal="85" workbookViewId="0">
      <selection activeCell="B27" sqref="B27"/>
    </sheetView>
  </sheetViews>
  <sheetFormatPr baseColWidth="8" defaultRowHeight="15"/>
  <cols>
    <col width="9.140625" customWidth="1" style="299" min="1" max="1"/>
    <col width="40.7109375" customWidth="1" style="299" min="2" max="2"/>
    <col width="37" customWidth="1" style="299" min="3" max="3"/>
    <col width="32" customWidth="1" style="299" min="4" max="4"/>
    <col width="9.140625" customWidth="1" style="299" min="5" max="5"/>
  </cols>
  <sheetData>
    <row r="4" ht="15.75" customHeight="1" s="299">
      <c r="B4" s="313" t="inlineStr">
        <is>
          <t>Приложение № 10</t>
        </is>
      </c>
    </row>
    <row r="5" ht="18.75" customHeight="1" s="299">
      <c r="B5" s="172" t="n"/>
    </row>
    <row r="6" ht="15.75" customHeight="1" s="299">
      <c r="B6" s="314" t="inlineStr">
        <is>
          <t>Используемые индексы изменений сметной стоимости и нормы сопутствующих затрат</t>
        </is>
      </c>
    </row>
    <row r="7">
      <c r="B7" s="351" t="n"/>
    </row>
    <row r="8">
      <c r="B8" s="351" t="n"/>
      <c r="C8" s="351" t="n"/>
      <c r="D8" s="351" t="n"/>
      <c r="E8" s="351" t="n"/>
    </row>
    <row r="9" ht="47.25" customHeight="1" s="299">
      <c r="B9" s="321" t="inlineStr">
        <is>
          <t>Наименование индекса / норм сопутствующих затрат</t>
        </is>
      </c>
      <c r="C9" s="321" t="inlineStr">
        <is>
          <t>Дата применения и обоснование индекса / норм сопутствующих затрат</t>
        </is>
      </c>
      <c r="D9" s="321" t="inlineStr">
        <is>
          <t>Размер индекса / норма сопутствующих затрат</t>
        </is>
      </c>
    </row>
    <row r="10" ht="15.75" customHeight="1" s="299">
      <c r="B10" s="321" t="n">
        <v>1</v>
      </c>
      <c r="C10" s="321" t="n">
        <v>2</v>
      </c>
      <c r="D10" s="321" t="n">
        <v>3</v>
      </c>
    </row>
    <row r="11" ht="45" customHeight="1" s="299">
      <c r="B11" s="321" t="inlineStr">
        <is>
          <t xml:space="preserve">Индекс изменения сметной стоимости на 1 квартал 2023 года. ОЗП </t>
        </is>
      </c>
      <c r="C11" s="321" t="inlineStr">
        <is>
          <t>Письмо Минстроя России от 01.04.2023г. №17772-ИФ/09 прил.9</t>
        </is>
      </c>
      <c r="D11" s="321" t="n">
        <v>46.83</v>
      </c>
    </row>
    <row r="12" ht="29.25" customHeight="1" s="299">
      <c r="B12" s="321" t="inlineStr">
        <is>
          <t>Индекс изменения сметной стоимости на 1 квартал 2023 года. ЭМ</t>
        </is>
      </c>
      <c r="C12" s="321" t="inlineStr">
        <is>
          <t>Письмо Минстроя России от 01.04.2023г. №17772-ИФ/09 прил.9</t>
        </is>
      </c>
      <c r="D12" s="321" t="n">
        <v>11.96</v>
      </c>
    </row>
    <row r="13" ht="29.25" customHeight="1" s="299">
      <c r="B13" s="321" t="inlineStr">
        <is>
          <t>Индекс изменения сметной стоимости на 1 квартал 2023 года. МАТ</t>
        </is>
      </c>
      <c r="C13" s="321" t="inlineStr">
        <is>
          <t>Письмо Минстроя России от 01.04.2023г. №17772-ИФ/09 прил.9</t>
        </is>
      </c>
      <c r="D13" s="321" t="n">
        <v>9.84</v>
      </c>
    </row>
    <row r="14" ht="30.75" customHeight="1" s="299">
      <c r="B14" s="32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21" t="n">
        <v>6.26</v>
      </c>
    </row>
    <row r="15" ht="89.25" customHeight="1" s="299">
      <c r="B15" s="321" t="inlineStr">
        <is>
          <t>Временные здания и сооружения</t>
        </is>
      </c>
      <c r="C15" s="3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9">
      <c r="B16" s="321" t="inlineStr">
        <is>
          <t>Дополнительные затраты при производстве строительно-монтажных работ в зимнее время</t>
        </is>
      </c>
      <c r="C16" s="3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4.5" customHeight="1" s="299">
      <c r="B17" s="321" t="inlineStr">
        <is>
          <t>Пусконаладочные работы</t>
        </is>
      </c>
      <c r="C17" s="321" t="n"/>
      <c r="D17" s="321" t="n"/>
    </row>
    <row r="18" ht="31.5" customHeight="1" s="299">
      <c r="B18" s="321" t="inlineStr">
        <is>
          <t>Строительный контроль</t>
        </is>
      </c>
      <c r="C18" s="321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9">
      <c r="B19" s="321" t="inlineStr">
        <is>
          <t>Авторский надзор - 0,2%</t>
        </is>
      </c>
      <c r="C19" s="321" t="inlineStr">
        <is>
          <t>Приказ от 4.08.2020 № 421/пр п.173</t>
        </is>
      </c>
      <c r="D19" s="175" t="n">
        <v>0.002</v>
      </c>
    </row>
    <row r="20" ht="24" customHeight="1" s="299">
      <c r="B20" s="321" t="inlineStr">
        <is>
          <t>Непредвиденные расходы</t>
        </is>
      </c>
      <c r="C20" s="321" t="inlineStr">
        <is>
          <t>Приказ от 4.08.2020 № 421/пр п.179</t>
        </is>
      </c>
      <c r="D20" s="175" t="n">
        <v>0.03</v>
      </c>
    </row>
    <row r="21" ht="18.75" customHeight="1" s="299">
      <c r="B21" s="173" t="n"/>
    </row>
    <row r="22" ht="18.75" customHeight="1" s="299">
      <c r="B22" s="173" t="n"/>
    </row>
    <row r="23" ht="18.75" customHeight="1" s="299">
      <c r="B23" s="173" t="n"/>
    </row>
    <row r="24" ht="18.75" customHeight="1" s="299">
      <c r="B24" s="173" t="n"/>
    </row>
    <row r="27">
      <c r="B27" s="287" t="inlineStr">
        <is>
          <t>Составил ______________________        А.П. Николаева</t>
        </is>
      </c>
      <c r="C27" s="297" t="n"/>
    </row>
    <row r="28">
      <c r="B28" s="296" t="inlineStr">
        <is>
          <t xml:space="preserve">                         (подпись, инициалы, фамилия)</t>
        </is>
      </c>
      <c r="C28" s="297" t="n"/>
    </row>
    <row r="29">
      <c r="B29" s="287" t="n"/>
      <c r="C29" s="297" t="n"/>
    </row>
    <row r="30">
      <c r="B30" s="287" t="inlineStr">
        <is>
          <t>Проверил ______________________        А.В. Костянецкая</t>
        </is>
      </c>
      <c r="C30" s="297" t="n"/>
    </row>
    <row r="31">
      <c r="B31" s="296" t="inlineStr">
        <is>
          <t xml:space="preserve">                        (подпись, инициалы, фамилия)</t>
        </is>
      </c>
      <c r="C31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99" min="2" max="2"/>
    <col width="13" customWidth="1" style="299" min="3" max="3"/>
    <col width="22.85546875" customWidth="1" style="299" min="4" max="4"/>
    <col width="21.5703125" customWidth="1" style="299" min="5" max="5"/>
    <col width="43.85546875" customWidth="1" style="299" min="6" max="6"/>
  </cols>
  <sheetData>
    <row r="1" s="299"/>
    <row r="2" ht="17.25" customHeight="1" s="299">
      <c r="A2" s="314" t="inlineStr">
        <is>
          <t>Расчет размера средств на оплату труда рабочих-строителей в текущем уровне цен (ФОТр.тек.)</t>
        </is>
      </c>
    </row>
    <row r="3" s="299"/>
    <row r="4" ht="18" customHeight="1" s="299">
      <c r="A4" s="300" t="inlineStr">
        <is>
          <t>Составлен в уровне цен на 01.01.2023 г.</t>
        </is>
      </c>
      <c r="B4" s="301" t="n"/>
      <c r="C4" s="301" t="n"/>
      <c r="D4" s="301" t="n"/>
      <c r="E4" s="301" t="n"/>
      <c r="F4" s="301" t="n"/>
      <c r="G4" s="301" t="n"/>
    </row>
    <row r="5" ht="15.75" customHeight="1" s="299">
      <c r="A5" s="395" t="inlineStr">
        <is>
          <t>№ пп.</t>
        </is>
      </c>
      <c r="B5" s="395" t="inlineStr">
        <is>
          <t>Наименование элемента</t>
        </is>
      </c>
      <c r="C5" s="395" t="inlineStr">
        <is>
          <t>Обозначение</t>
        </is>
      </c>
      <c r="D5" s="395" t="inlineStr">
        <is>
          <t>Формула</t>
        </is>
      </c>
      <c r="E5" s="395" t="inlineStr">
        <is>
          <t>Величина элемента</t>
        </is>
      </c>
      <c r="F5" s="395" t="inlineStr">
        <is>
          <t>Наименования обосновывающих документов</t>
        </is>
      </c>
      <c r="G5" s="301" t="n"/>
    </row>
    <row r="6" ht="15.75" customHeight="1" s="299">
      <c r="A6" s="395" t="n">
        <v>1</v>
      </c>
      <c r="B6" s="395" t="n">
        <v>2</v>
      </c>
      <c r="C6" s="395" t="n">
        <v>3</v>
      </c>
      <c r="D6" s="395" t="n">
        <v>4</v>
      </c>
      <c r="E6" s="395" t="n">
        <v>5</v>
      </c>
      <c r="F6" s="395" t="n">
        <v>6</v>
      </c>
      <c r="G6" s="301" t="n"/>
    </row>
    <row r="7" ht="110.25" customHeight="1" s="299">
      <c r="A7" s="396" t="inlineStr">
        <is>
          <t>1.1</t>
        </is>
      </c>
      <c r="B7" s="3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8" t="inlineStr">
        <is>
          <t>С1ср</t>
        </is>
      </c>
      <c r="D7" s="398" t="inlineStr">
        <is>
          <t>-</t>
        </is>
      </c>
      <c r="E7" s="399" t="n">
        <v>47872.94</v>
      </c>
      <c r="F7" s="3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1" t="n"/>
    </row>
    <row r="8" ht="31.5" customHeight="1" s="299">
      <c r="A8" s="396" t="inlineStr">
        <is>
          <t>1.2</t>
        </is>
      </c>
      <c r="B8" s="397" t="inlineStr">
        <is>
          <t>Среднегодовое нормативное число часов работы одного рабочего в месяц, часы (ч.)</t>
        </is>
      </c>
      <c r="C8" s="398" t="inlineStr">
        <is>
          <t>tср</t>
        </is>
      </c>
      <c r="D8" s="398" t="inlineStr">
        <is>
          <t>1973ч/12мес.</t>
        </is>
      </c>
      <c r="E8" s="400">
        <f>1973/12</f>
        <v/>
      </c>
      <c r="F8" s="397" t="inlineStr">
        <is>
          <t>Производственный календарь 2023 год
(40-часов.неделя)</t>
        </is>
      </c>
      <c r="G8" s="303" t="n"/>
    </row>
    <row r="9" ht="15.75" customHeight="1" s="299">
      <c r="A9" s="396" t="inlineStr">
        <is>
          <t>1.3</t>
        </is>
      </c>
      <c r="B9" s="397" t="inlineStr">
        <is>
          <t>Коэффициент увеличения</t>
        </is>
      </c>
      <c r="C9" s="398" t="inlineStr">
        <is>
          <t>Кув</t>
        </is>
      </c>
      <c r="D9" s="398" t="inlineStr">
        <is>
          <t>-</t>
        </is>
      </c>
      <c r="E9" s="400" t="n">
        <v>1</v>
      </c>
      <c r="F9" s="397" t="n"/>
      <c r="G9" s="303" t="n"/>
    </row>
    <row r="10" ht="15.75" customHeight="1" s="299">
      <c r="A10" s="396" t="inlineStr">
        <is>
          <t>1.4</t>
        </is>
      </c>
      <c r="B10" s="397" t="inlineStr">
        <is>
          <t>Средний разряд работ</t>
        </is>
      </c>
      <c r="C10" s="398" t="n"/>
      <c r="D10" s="398" t="n"/>
      <c r="E10" s="419" t="n">
        <v>3</v>
      </c>
      <c r="F10" s="397" t="inlineStr">
        <is>
          <t>РТМ</t>
        </is>
      </c>
      <c r="G10" s="303" t="n"/>
    </row>
    <row r="11" ht="78.75" customHeight="1" s="299">
      <c r="A11" s="396" t="inlineStr">
        <is>
          <t>1.5</t>
        </is>
      </c>
      <c r="B11" s="397" t="inlineStr">
        <is>
          <t>Тарифный коэффициент среднего разряда работ</t>
        </is>
      </c>
      <c r="C11" s="398" t="inlineStr">
        <is>
          <t>КТ</t>
        </is>
      </c>
      <c r="D11" s="398" t="inlineStr">
        <is>
          <t>-</t>
        </is>
      </c>
      <c r="E11" s="420" t="n">
        <v>1.19</v>
      </c>
      <c r="F11" s="3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1" t="n"/>
    </row>
    <row r="12" ht="78.75" customHeight="1" s="299">
      <c r="A12" s="396" t="inlineStr">
        <is>
          <t>1.6</t>
        </is>
      </c>
      <c r="B12" s="403" t="inlineStr">
        <is>
          <t>Коэффициент инфляции, определяемый поквартально</t>
        </is>
      </c>
      <c r="C12" s="398" t="inlineStr">
        <is>
          <t>Кинф</t>
        </is>
      </c>
      <c r="D12" s="398" t="inlineStr">
        <is>
          <t>-</t>
        </is>
      </c>
      <c r="E12" s="421" t="n">
        <v>1.139</v>
      </c>
      <c r="F12" s="4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n"/>
    </row>
    <row r="13" ht="63" customHeight="1" s="299">
      <c r="A13" s="396" t="inlineStr">
        <is>
          <t>1.7</t>
        </is>
      </c>
      <c r="B13" s="406" t="inlineStr">
        <is>
          <t>Размер средств на оплату труда рабочих-строителей в текущем уровне цен (ФОТр.тек.), руб/чел.-ч</t>
        </is>
      </c>
      <c r="C13" s="398" t="inlineStr">
        <is>
          <t>ФОТр.тек.</t>
        </is>
      </c>
      <c r="D13" s="398" t="inlineStr">
        <is>
          <t>(С1ср/tср*КТ*Т*Кув)*Кинф</t>
        </is>
      </c>
      <c r="E13" s="407">
        <f>((E7*E9/E8)*E11)*E12</f>
        <v/>
      </c>
      <c r="F13" s="3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2025-01-24T12:10:47Z</dcterms:modified>
  <cp:lastModifiedBy>Nikolay Ivanov</cp:lastModifiedBy>
  <cp:lastPrinted>2023-12-01T18:02:35Z</cp:lastPrinted>
</cp:coreProperties>
</file>