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75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4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9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6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166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E32"/>
  <sheetViews>
    <sheetView view="pageBreakPreview" topLeftCell="A16" zoomScale="70" zoomScaleNormal="85" workbookViewId="0">
      <selection activeCell="C27" sqref="C27"/>
    </sheetView>
  </sheetViews>
  <sheetFormatPr baseColWidth="8" defaultColWidth="9.140625" defaultRowHeight="15.75"/>
  <cols>
    <col width="9.140625" customWidth="1" style="299" min="1" max="2"/>
    <col width="36.85546875" customWidth="1" style="299" min="3" max="3"/>
    <col width="36.5703125" customWidth="1" style="299" min="4" max="4"/>
    <col width="37.42578125" customWidth="1" style="299" min="5" max="5"/>
    <col width="9.140625" customWidth="1" style="299" min="6" max="6"/>
  </cols>
  <sheetData>
    <row r="1">
      <c r="D1" s="313" t="inlineStr">
        <is>
          <t>Приложение № 1</t>
        </is>
      </c>
    </row>
    <row r="3">
      <c r="C3" s="222" t="n"/>
    </row>
    <row r="4">
      <c r="B4" s="310" t="inlineStr">
        <is>
          <t>Сравнительная таблица отбора объекта-представителя</t>
        </is>
      </c>
    </row>
    <row r="5">
      <c r="B5" s="231" t="n"/>
      <c r="C5" s="231" t="n"/>
      <c r="D5" s="231" t="n"/>
    </row>
    <row r="6">
      <c r="B6" s="231" t="n"/>
      <c r="C6" s="231" t="n"/>
      <c r="D6" s="231" t="n"/>
    </row>
    <row r="7">
      <c r="B7" s="311" t="inlineStr">
        <is>
          <t>Наименование разрабатываемого показателя УНЦ — Устройство вдольтрассового проезда</t>
        </is>
      </c>
      <c r="E7" s="230" t="n"/>
    </row>
    <row r="8" ht="31.5" customHeight="1" s="297">
      <c r="B8" s="311" t="inlineStr">
        <is>
          <t>Сопоставимый уровень цен: 4 кв 2020</t>
        </is>
      </c>
    </row>
    <row r="9">
      <c r="B9" s="311" t="inlineStr">
        <is>
          <t>Единица измерения  — 1 м2</t>
        </is>
      </c>
      <c r="E9" s="230" t="n"/>
    </row>
    <row r="10">
      <c r="B10" s="311" t="n"/>
    </row>
    <row r="11">
      <c r="B11" s="315" t="inlineStr">
        <is>
          <t>№ п/п</t>
        </is>
      </c>
      <c r="C11" s="315" t="inlineStr">
        <is>
          <t>Параметр</t>
        </is>
      </c>
      <c r="D11" s="315" t="inlineStr">
        <is>
          <t xml:space="preserve">Объект-представитель </t>
        </is>
      </c>
      <c r="E11" s="230" t="n"/>
    </row>
    <row r="12" ht="138.75" customHeight="1" s="297">
      <c r="B12" s="315" t="n">
        <v>1</v>
      </c>
      <c r="C12" s="225" t="inlineStr">
        <is>
          <t>Наименование объекта-представителя</t>
        </is>
      </c>
      <c r="D12" s="225" t="inlineStr">
        <is>
          <t>Реконструкция ВЛ 220 кВ Пеледуй - Сухой Лог №1(№2) с образованием ВЛ 220 кВ Пеледуй - Чертово Корыто и ВЛ 220 кВ Сухой Лог - Чертово Корыто (для ТП энергопринимающих устройств АО "Тонода")</t>
        </is>
      </c>
    </row>
    <row r="13" ht="31.5" customHeight="1" s="297">
      <c r="B13" s="315" t="n">
        <v>2</v>
      </c>
      <c r="C13" s="225" t="inlineStr">
        <is>
          <t>Наименование субъекта Российской Федерации</t>
        </is>
      </c>
      <c r="D13" s="315" t="inlineStr">
        <is>
          <t xml:space="preserve">Иркутская область </t>
        </is>
      </c>
    </row>
    <row r="14">
      <c r="B14" s="315" t="n">
        <v>3</v>
      </c>
      <c r="C14" s="225" t="inlineStr">
        <is>
          <t>Климатический район и подрайон</t>
        </is>
      </c>
      <c r="D14" s="315" t="inlineStr">
        <is>
          <t>IД</t>
        </is>
      </c>
    </row>
    <row r="15">
      <c r="B15" s="315" t="n">
        <v>4</v>
      </c>
      <c r="C15" s="225" t="inlineStr">
        <is>
          <t>Мощность объекта</t>
        </is>
      </c>
      <c r="D15" s="315" t="n">
        <v>90963</v>
      </c>
    </row>
    <row r="16" ht="116.25" customHeight="1" s="297">
      <c r="B16" s="31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Земляное полотно
Щебень</t>
        </is>
      </c>
    </row>
    <row r="17" ht="78.75" customHeight="1" s="297">
      <c r="B17" s="31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8">
        <f>SUM(D18:D21)</f>
        <v/>
      </c>
      <c r="E17" s="264" t="n"/>
    </row>
    <row r="18">
      <c r="B18" s="229" t="inlineStr">
        <is>
          <t>6.1</t>
        </is>
      </c>
      <c r="C18" s="225" t="inlineStr">
        <is>
          <t>строительно-монтажные работы</t>
        </is>
      </c>
      <c r="D18" s="248" t="n">
        <v>54291.293253</v>
      </c>
    </row>
    <row r="19" ht="15.75" customHeight="1" s="297">
      <c r="B19" s="229" t="inlineStr">
        <is>
          <t>6.2</t>
        </is>
      </c>
      <c r="C19" s="225" t="inlineStr">
        <is>
          <t>оборудование и инвентарь</t>
        </is>
      </c>
      <c r="D19" s="248" t="n">
        <v>0</v>
      </c>
    </row>
    <row r="20" ht="16.5" customHeight="1" s="297">
      <c r="B20" s="229" t="inlineStr">
        <is>
          <t>6.3</t>
        </is>
      </c>
      <c r="C20" s="225" t="inlineStr">
        <is>
          <t>пусконаладочные работы</t>
        </is>
      </c>
      <c r="D20" s="248" t="n">
        <v>0</v>
      </c>
    </row>
    <row r="21" ht="35.25" customHeight="1" s="297">
      <c r="B21" s="229" t="inlineStr">
        <is>
          <t>6.4</t>
        </is>
      </c>
      <c r="C21" s="228" t="inlineStr">
        <is>
          <t>прочие и лимитированные затраты</t>
        </is>
      </c>
      <c r="D21" s="248">
        <f>D18*3.3%*0.8</f>
        <v/>
      </c>
    </row>
    <row r="22">
      <c r="B22" s="315" t="n">
        <v>7</v>
      </c>
      <c r="C22" s="228" t="inlineStr">
        <is>
          <t>Сопоставимый уровень цен</t>
        </is>
      </c>
      <c r="D22" s="315" t="inlineStr">
        <is>
          <t>4 кв 2020</t>
        </is>
      </c>
      <c r="E22" s="226" t="n"/>
    </row>
    <row r="23" ht="123" customHeight="1" s="297">
      <c r="B23" s="315" t="n">
        <v>8</v>
      </c>
      <c r="C23" s="2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D17/8.46*7.45</f>
        <v/>
      </c>
      <c r="E23" s="264" t="n"/>
    </row>
    <row r="24" ht="60.75" customHeight="1" s="297">
      <c r="B24" s="31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6" t="n"/>
    </row>
    <row r="25" ht="164.25" customHeight="1" s="297">
      <c r="B25" s="315" t="n">
        <v>10</v>
      </c>
      <c r="C25" s="225" t="inlineStr">
        <is>
          <t>Примечание</t>
        </is>
      </c>
      <c r="D25" s="225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 Рекомендуемая расчетная единица  УНЦ - 1 опора</t>
        </is>
      </c>
    </row>
    <row r="26">
      <c r="B26" s="224" t="n"/>
      <c r="C26" s="223" t="n"/>
      <c r="D26" s="223" t="n"/>
    </row>
    <row r="27">
      <c r="B27" s="222" t="n"/>
    </row>
    <row r="28">
      <c r="B28" s="299" t="inlineStr">
        <is>
          <t>Составил ______________________        А.П. Николаева</t>
        </is>
      </c>
    </row>
    <row r="29">
      <c r="B29" s="222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22" t="inlineStr">
        <is>
          <t xml:space="preserve">                        (подпись, инициалы, фамилия)</t>
        </is>
      </c>
    </row>
  </sheetData>
  <mergeCells count="4">
    <mergeCell ref="B7:D7"/>
    <mergeCell ref="B9:D9"/>
    <mergeCell ref="B8:D8"/>
    <mergeCell ref="B4:D4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99" min="1" max="1"/>
    <col width="9.140625" customWidth="1" style="299" min="2" max="2"/>
    <col width="35.28515625" customWidth="1" style="299" min="3" max="3"/>
    <col width="13.85546875" customWidth="1" style="299" min="4" max="4"/>
    <col width="24.85546875" customWidth="1" style="299" min="5" max="5"/>
    <col width="15.5703125" customWidth="1" style="299" min="6" max="6"/>
    <col width="14.85546875" customWidth="1" style="299" min="7" max="7"/>
    <col width="16.7109375" customWidth="1" style="299" min="8" max="8"/>
    <col width="13" customWidth="1" style="299" min="9" max="10"/>
    <col width="18" customWidth="1" style="299" min="11" max="11"/>
    <col width="9.140625" customWidth="1" style="299" min="12" max="12"/>
  </cols>
  <sheetData>
    <row r="3">
      <c r="B3" s="313" t="inlineStr">
        <is>
          <t>Приложение № 2</t>
        </is>
      </c>
      <c r="K3" s="222" t="n"/>
    </row>
    <row r="4">
      <c r="B4" s="310" t="inlineStr">
        <is>
          <t>Расчет стоимости основных видов работ для выбора объекта-представителя</t>
        </is>
      </c>
    </row>
    <row r="5"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  <c r="K5" s="231" t="n"/>
    </row>
    <row r="6" ht="15.75" customHeight="1" s="297">
      <c r="B6" s="314" t="inlineStr">
        <is>
          <t>Наименование разрабатываемого показателя УНЦ —  Устройство вдольтрассового проезда</t>
        </is>
      </c>
      <c r="K6" s="222" t="n"/>
      <c r="L6" s="230" t="n"/>
    </row>
    <row r="7">
      <c r="B7" s="311" t="inlineStr">
        <is>
          <t>Единица измерения  — 1 м2</t>
        </is>
      </c>
      <c r="L7" s="230" t="n"/>
    </row>
    <row r="8">
      <c r="B8" s="311" t="n"/>
    </row>
    <row r="9">
      <c r="B9" s="315" t="inlineStr">
        <is>
          <t>№ п/п</t>
        </is>
      </c>
      <c r="C9" s="3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5" t="inlineStr">
        <is>
          <t>Объект-представитель 1*</t>
        </is>
      </c>
      <c r="E9" s="401" t="n"/>
      <c r="F9" s="401" t="n"/>
      <c r="G9" s="401" t="n"/>
      <c r="H9" s="401" t="n"/>
      <c r="I9" s="401" t="n"/>
      <c r="J9" s="402" t="n"/>
    </row>
    <row r="10" ht="15.75" customHeight="1" s="297">
      <c r="B10" s="403" t="n"/>
      <c r="C10" s="403" t="n"/>
      <c r="D10" s="315" t="inlineStr">
        <is>
          <t>Номер сметы</t>
        </is>
      </c>
      <c r="E10" s="315" t="inlineStr">
        <is>
          <t>Наименование сметы</t>
        </is>
      </c>
      <c r="F10" s="315" t="inlineStr">
        <is>
          <t>Сметная стоимость в уровне цен 4 кв. 2020 г., тыс. руб.</t>
        </is>
      </c>
      <c r="G10" s="401" t="n"/>
      <c r="H10" s="401" t="n"/>
      <c r="I10" s="401" t="n"/>
      <c r="J10" s="402" t="n"/>
    </row>
    <row r="11" ht="31.5" customHeight="1" s="297">
      <c r="B11" s="404" t="n"/>
      <c r="C11" s="404" t="n"/>
      <c r="D11" s="404" t="n"/>
      <c r="E11" s="404" t="n"/>
      <c r="F11" s="315" t="inlineStr">
        <is>
          <t>Строительные работы</t>
        </is>
      </c>
      <c r="G11" s="315" t="inlineStr">
        <is>
          <t>Монтажные работы</t>
        </is>
      </c>
      <c r="H11" s="315" t="inlineStr">
        <is>
          <t>Оборудование</t>
        </is>
      </c>
      <c r="I11" s="315" t="inlineStr">
        <is>
          <t>Прочее</t>
        </is>
      </c>
      <c r="J11" s="315" t="inlineStr">
        <is>
          <t>Всего</t>
        </is>
      </c>
    </row>
    <row r="12" ht="150" customHeight="1" s="297">
      <c r="B12" s="247" t="n">
        <v>1</v>
      </c>
      <c r="C12" s="249" t="inlineStr">
        <is>
          <t>Земляное полотно
Щебень</t>
        </is>
      </c>
      <c r="D12" s="246" t="inlineStr">
        <is>
          <t>08-01-03</t>
        </is>
      </c>
      <c r="E12" s="225" t="inlineStr">
        <is>
          <t>Устройство вдольтрассового проезда</t>
        </is>
      </c>
      <c r="F12" s="265">
        <f>6417.41055*8.46</f>
        <v/>
      </c>
      <c r="G12" s="234" t="n"/>
      <c r="H12" s="234" t="n"/>
      <c r="I12" s="234" t="n"/>
      <c r="J12" s="244">
        <f>SUM(F12:I12)</f>
        <v/>
      </c>
    </row>
    <row r="13">
      <c r="B13" s="312" t="inlineStr">
        <is>
          <t>Всего по объекту:</t>
        </is>
      </c>
      <c r="C13" s="401" t="n"/>
      <c r="D13" s="401" t="n"/>
      <c r="E13" s="402" t="n"/>
      <c r="F13" s="243">
        <f>SUM(F12:F12)</f>
        <v/>
      </c>
      <c r="G13" s="233" t="n"/>
      <c r="H13" s="233" t="n"/>
      <c r="I13" s="233" t="n"/>
      <c r="J13" s="245">
        <f>SUM(F13:I13)</f>
        <v/>
      </c>
    </row>
    <row r="14" ht="28.5" customHeight="1" s="297">
      <c r="B14" s="312" t="inlineStr">
        <is>
          <t>Всего по объекту в сопоставимом уровне цен 4 кв. 2020 г:</t>
        </is>
      </c>
      <c r="C14" s="401" t="n"/>
      <c r="D14" s="401" t="n"/>
      <c r="E14" s="402" t="n"/>
      <c r="F14" s="243">
        <f>F13</f>
        <v/>
      </c>
      <c r="G14" s="233" t="n"/>
      <c r="H14" s="233" t="n"/>
      <c r="I14" s="233" t="n"/>
      <c r="J14" s="245">
        <f>SUM(F14:I14)</f>
        <v/>
      </c>
    </row>
    <row r="15">
      <c r="B15" s="311" t="n"/>
    </row>
    <row r="18">
      <c r="B18" s="331" t="inlineStr">
        <is>
          <t>*</t>
        </is>
      </c>
      <c r="C18" s="299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9" t="inlineStr">
        <is>
          <t>Составил ______________________        А.П. Николаева</t>
        </is>
      </c>
    </row>
    <row r="23">
      <c r="B23" s="222" t="inlineStr">
        <is>
          <t xml:space="preserve">                         (подпись, инициалы, фамилия)</t>
        </is>
      </c>
    </row>
    <row r="25">
      <c r="B25" s="299" t="inlineStr">
        <is>
          <t>Проверил ______________________        А.В. Костянецкая</t>
        </is>
      </c>
    </row>
    <row r="26">
      <c r="B26" s="22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9"/>
  <sheetViews>
    <sheetView view="pageBreakPreview" topLeftCell="A22" zoomScale="84" workbookViewId="0">
      <selection activeCell="C34" sqref="C34"/>
    </sheetView>
  </sheetViews>
  <sheetFormatPr baseColWidth="8" defaultColWidth="9.140625" defaultRowHeight="15.75"/>
  <cols>
    <col width="9.140625" customWidth="1" style="276" min="1" max="1"/>
    <col width="12.5703125" customWidth="1" style="299" min="2" max="2"/>
    <col width="22.42578125" customWidth="1" style="231" min="3" max="3"/>
    <col width="49.7109375" customWidth="1" style="299" min="4" max="4"/>
    <col width="10.140625" customWidth="1" style="299" min="5" max="5"/>
    <col width="20.7109375" customWidth="1" style="299" min="6" max="6"/>
    <col width="16.140625" customWidth="1" style="299" min="7" max="7"/>
    <col width="16.7109375" customWidth="1" style="299" min="8" max="8"/>
    <col width="9.140625" customWidth="1" style="299" min="9" max="9"/>
  </cols>
  <sheetData>
    <row r="2">
      <c r="A2" s="313" t="inlineStr">
        <is>
          <t xml:space="preserve">Приложение № 3 </t>
        </is>
      </c>
    </row>
    <row r="3">
      <c r="A3" s="310" t="inlineStr">
        <is>
          <t>Объектная ресурсная ведомость</t>
        </is>
      </c>
    </row>
    <row r="4">
      <c r="A4" s="231" t="n"/>
    </row>
    <row r="5">
      <c r="A5" s="314" t="inlineStr">
        <is>
          <t>Наименование разрабатываемого показателя УНЦ -  Устройство вдольтрассового проезда</t>
        </is>
      </c>
    </row>
    <row r="6" s="297">
      <c r="A6" s="314" t="n"/>
      <c r="B6" s="314" t="n"/>
      <c r="C6" s="314" t="n"/>
      <c r="D6" s="314" t="n"/>
      <c r="E6" s="314" t="n"/>
      <c r="F6" s="314" t="n"/>
      <c r="G6" s="314" t="n"/>
      <c r="H6" s="314" t="n"/>
      <c r="I6" s="299" t="n"/>
    </row>
    <row r="7" s="297">
      <c r="A7" s="314" t="n"/>
      <c r="B7" s="314" t="n"/>
      <c r="C7" s="314" t="n"/>
      <c r="D7" s="314" t="n"/>
      <c r="E7" s="314" t="n"/>
      <c r="F7" s="314" t="n"/>
      <c r="G7" s="314" t="n"/>
      <c r="H7" s="314" t="n"/>
      <c r="I7" s="299" t="n"/>
    </row>
    <row r="8">
      <c r="A8" s="231" t="n"/>
      <c r="B8" s="314" t="n"/>
      <c r="D8" s="314" t="n"/>
      <c r="E8" s="314" t="n"/>
      <c r="F8" s="314" t="n"/>
      <c r="G8" s="314" t="n"/>
      <c r="H8" s="314" t="n"/>
    </row>
    <row r="9" ht="38.25" customHeight="1" s="297">
      <c r="A9" s="315" t="inlineStr">
        <is>
          <t>п/п</t>
        </is>
      </c>
      <c r="B9" s="315" t="inlineStr">
        <is>
          <t>№ЛСР</t>
        </is>
      </c>
      <c r="C9" s="315" t="inlineStr">
        <is>
          <t>Код ресурса</t>
        </is>
      </c>
      <c r="D9" s="315" t="inlineStr">
        <is>
          <t>Наименование ресурса</t>
        </is>
      </c>
      <c r="E9" s="315" t="inlineStr">
        <is>
          <t>Ед. изм.</t>
        </is>
      </c>
      <c r="F9" s="315" t="inlineStr">
        <is>
          <t>Кол-во единиц по данным объекта-представителя</t>
        </is>
      </c>
      <c r="G9" s="315" t="inlineStr">
        <is>
          <t>Сметная стоимость в ценах на 01.01.2000 (руб.)</t>
        </is>
      </c>
      <c r="H9" s="402" t="n"/>
    </row>
    <row r="10" ht="40.5" customHeight="1" s="297">
      <c r="A10" s="404" t="n"/>
      <c r="B10" s="404" t="n"/>
      <c r="C10" s="404" t="n"/>
      <c r="D10" s="404" t="n"/>
      <c r="E10" s="404" t="n"/>
      <c r="F10" s="404" t="n"/>
      <c r="G10" s="315" t="inlineStr">
        <is>
          <t>на ед.изм.</t>
        </is>
      </c>
      <c r="H10" s="315" t="inlineStr">
        <is>
          <t>общая</t>
        </is>
      </c>
    </row>
    <row r="11">
      <c r="A11" s="242" t="n">
        <v>1</v>
      </c>
      <c r="B11" s="242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242" t="n">
        <v>6</v>
      </c>
      <c r="H11" s="242" t="n">
        <v>7</v>
      </c>
    </row>
    <row r="12" customFormat="1" s="239">
      <c r="A12" s="316" t="inlineStr">
        <is>
          <t>Затраты труда рабочих</t>
        </is>
      </c>
      <c r="B12" s="401" t="n"/>
      <c r="C12" s="401" t="n"/>
      <c r="D12" s="401" t="n"/>
      <c r="E12" s="402" t="n"/>
      <c r="F12" s="240" t="n">
        <v>16237.924</v>
      </c>
      <c r="G12" s="240" t="n"/>
      <c r="H12" s="240">
        <f>SUM(H13:H15)</f>
        <v/>
      </c>
    </row>
    <row r="13" customFormat="1" s="239">
      <c r="A13" s="278" t="n">
        <v>1</v>
      </c>
      <c r="B13" s="274" t="inlineStr">
        <is>
          <t>08-01-03</t>
        </is>
      </c>
      <c r="C13" s="275" t="inlineStr">
        <is>
          <t>1-1-5</t>
        </is>
      </c>
      <c r="D13" s="318" t="inlineStr">
        <is>
          <t>Затраты труда рабочих (ср 1,5)</t>
        </is>
      </c>
      <c r="E13" s="317" t="inlineStr">
        <is>
          <t>чел.-ч</t>
        </is>
      </c>
      <c r="F13" s="317" t="n">
        <v>9962.16</v>
      </c>
      <c r="G13" s="236" t="n">
        <v>7.5</v>
      </c>
      <c r="H13" s="236">
        <f>ROUND(F13*G13,2)</f>
        <v/>
      </c>
    </row>
    <row r="14" customFormat="1" s="239">
      <c r="A14" s="278" t="n">
        <v>2</v>
      </c>
      <c r="B14" s="274" t="inlineStr">
        <is>
          <t>08-01-03</t>
        </is>
      </c>
      <c r="C14" s="275" t="inlineStr">
        <is>
          <t>1-2-3</t>
        </is>
      </c>
      <c r="D14" s="318" t="inlineStr">
        <is>
          <t>Затраты труда рабочих (ср 2,3)</t>
        </is>
      </c>
      <c r="E14" s="317" t="inlineStr">
        <is>
          <t>чел.-ч</t>
        </is>
      </c>
      <c r="F14" s="317" t="n">
        <v>3816.844</v>
      </c>
      <c r="G14" s="236" t="n">
        <v>8.02</v>
      </c>
      <c r="H14" s="236">
        <f>ROUND(F14*G14,2)</f>
        <v/>
      </c>
    </row>
    <row r="15" customFormat="1" s="239">
      <c r="A15" s="278" t="n">
        <v>3</v>
      </c>
      <c r="B15" s="274" t="inlineStr">
        <is>
          <t>08-01-03</t>
        </is>
      </c>
      <c r="C15" s="275" t="inlineStr">
        <is>
          <t>1-2-0</t>
        </is>
      </c>
      <c r="D15" s="318" t="inlineStr">
        <is>
          <t>Затраты труда рабочих (ср 2,0)</t>
        </is>
      </c>
      <c r="E15" s="317" t="inlineStr">
        <is>
          <t>чел.-ч</t>
        </is>
      </c>
      <c r="F15" s="317" t="n">
        <v>2458.92</v>
      </c>
      <c r="G15" s="236" t="n">
        <v>7.8</v>
      </c>
      <c r="H15" s="236">
        <f>ROUND(F15*G15,2)</f>
        <v/>
      </c>
    </row>
    <row r="16">
      <c r="A16" s="316" t="inlineStr">
        <is>
          <t>Затраты труда машинистов</t>
        </is>
      </c>
      <c r="B16" s="401" t="n"/>
      <c r="C16" s="401" t="n"/>
      <c r="D16" s="401" t="n"/>
      <c r="E16" s="402" t="n"/>
      <c r="F16" s="316" t="n">
        <v>5649.0804</v>
      </c>
      <c r="G16" s="240" t="n"/>
      <c r="H16" s="240">
        <f>H17</f>
        <v/>
      </c>
    </row>
    <row r="17">
      <c r="A17" s="278" t="n">
        <v>4</v>
      </c>
      <c r="B17" s="274" t="inlineStr">
        <is>
          <t>08-01-03</t>
        </is>
      </c>
      <c r="C17" s="315" t="n">
        <v>2</v>
      </c>
      <c r="D17" s="318" t="inlineStr">
        <is>
          <t>Затраты труда машинистов</t>
        </is>
      </c>
      <c r="E17" s="317" t="inlineStr">
        <is>
          <t>чел.-ч</t>
        </is>
      </c>
      <c r="F17" s="317" t="n">
        <v>5649.0804</v>
      </c>
      <c r="G17" s="236" t="n">
        <v>25.78</v>
      </c>
      <c r="H17" s="236" t="n">
        <v>145606.53</v>
      </c>
    </row>
    <row r="18" customFormat="1" s="239">
      <c r="A18" s="316" t="inlineStr">
        <is>
          <t>Машины и механизмы</t>
        </is>
      </c>
      <c r="B18" s="401" t="n"/>
      <c r="C18" s="401" t="n"/>
      <c r="D18" s="401" t="n"/>
      <c r="E18" s="402" t="n"/>
      <c r="F18" s="316" t="n"/>
      <c r="G18" s="240" t="n"/>
      <c r="H18" s="240">
        <f>SUM(H19:H29)</f>
        <v/>
      </c>
    </row>
    <row r="19" ht="31.5" customHeight="1" s="297">
      <c r="A19" s="278" t="n">
        <v>5</v>
      </c>
      <c r="B19" s="274" t="inlineStr">
        <is>
          <t>08-01-03</t>
        </is>
      </c>
      <c r="C19" s="277" t="inlineStr">
        <is>
          <t>91.08.03-018</t>
        </is>
      </c>
      <c r="D19" s="318" t="inlineStr">
        <is>
          <t>Катки самоходные гладкие вибрационные, масса 13 т</t>
        </is>
      </c>
      <c r="E19" s="317" t="inlineStr">
        <is>
          <t>маш.-ч.</t>
        </is>
      </c>
      <c r="F19" s="317" t="n">
        <v>2346.824</v>
      </c>
      <c r="G19" s="236" t="n">
        <v>286.56</v>
      </c>
      <c r="H19" s="236">
        <f>ROUND(F19*G19,2)</f>
        <v/>
      </c>
      <c r="I19" s="279" t="n"/>
      <c r="J19" s="405" t="n"/>
      <c r="L19" s="251" t="n"/>
    </row>
    <row r="20" ht="31.5" customHeight="1" s="297">
      <c r="A20" s="278" t="n">
        <v>6</v>
      </c>
      <c r="B20" s="274" t="inlineStr">
        <is>
          <t>08-01-03</t>
        </is>
      </c>
      <c r="C20" s="277" t="inlineStr">
        <is>
          <t>91.14.03-002</t>
        </is>
      </c>
      <c r="D20" s="318" t="inlineStr">
        <is>
          <t>Автомобили-самосвалы, грузоподъемность до 10 т</t>
        </is>
      </c>
      <c r="E20" s="317" t="inlineStr">
        <is>
          <t>маш.-ч.</t>
        </is>
      </c>
      <c r="F20" s="317" t="n">
        <v>5356.8</v>
      </c>
      <c r="G20" s="236" t="n">
        <v>87.48999999999999</v>
      </c>
      <c r="H20" s="236">
        <f>ROUND(F20*G20,2)</f>
        <v/>
      </c>
      <c r="I20" s="279" t="n"/>
      <c r="J20" s="405" t="n"/>
      <c r="L20" s="251" t="n"/>
    </row>
    <row r="21" ht="31.5" customHeight="1" s="297">
      <c r="A21" s="278" t="n">
        <v>7</v>
      </c>
      <c r="B21" s="274" t="inlineStr">
        <is>
          <t>08-01-03</t>
        </is>
      </c>
      <c r="C21" s="277" t="inlineStr">
        <is>
          <t>91.08.03-016</t>
        </is>
      </c>
      <c r="D21" s="318" t="inlineStr">
        <is>
          <t>Катки самоходные гладкие вибрационные, масса 8 т</t>
        </is>
      </c>
      <c r="E21" s="317" t="inlineStr">
        <is>
          <t>маш.-ч.</t>
        </is>
      </c>
      <c r="F21" s="317" t="n">
        <v>1003.408</v>
      </c>
      <c r="G21" s="236" t="n">
        <v>226.54</v>
      </c>
      <c r="H21" s="236">
        <f>ROUND(F21*G21,2)</f>
        <v/>
      </c>
      <c r="I21" s="279" t="n"/>
      <c r="J21" s="405" t="n"/>
      <c r="L21" s="251" t="n"/>
    </row>
    <row r="22" ht="31.5" customHeight="1" s="297">
      <c r="A22" s="278" t="n">
        <v>8</v>
      </c>
      <c r="B22" s="274" t="inlineStr">
        <is>
          <t>08-01-03</t>
        </is>
      </c>
      <c r="C22" s="277" t="inlineStr">
        <is>
          <t>91.01.02-004</t>
        </is>
      </c>
      <c r="D22" s="318" t="inlineStr">
        <is>
          <t>Автогрейдеры среднего типа, мощность 99 кВт (135 л.с.)</t>
        </is>
      </c>
      <c r="E22" s="317" t="inlineStr">
        <is>
          <t>маш.-ч.</t>
        </is>
      </c>
      <c r="F22" s="317" t="n">
        <v>989.8920000000001</v>
      </c>
      <c r="G22" s="236" t="n">
        <v>123</v>
      </c>
      <c r="H22" s="236">
        <f>ROUND(F22*G22,2)</f>
        <v/>
      </c>
      <c r="J22" s="405" t="n"/>
      <c r="L22" s="251" t="n"/>
    </row>
    <row r="23">
      <c r="A23" s="278" t="n">
        <v>9</v>
      </c>
      <c r="B23" s="274" t="inlineStr">
        <is>
          <t>08-01-03</t>
        </is>
      </c>
      <c r="C23" s="277" t="inlineStr">
        <is>
          <t>91.13.01-038</t>
        </is>
      </c>
      <c r="D23" s="318" t="inlineStr">
        <is>
          <t>Машины поливомоечные 6000 л</t>
        </is>
      </c>
      <c r="E23" s="317" t="inlineStr">
        <is>
          <t>маш.-ч.</t>
        </is>
      </c>
      <c r="F23" s="317" t="n">
        <v>342.364</v>
      </c>
      <c r="G23" s="236" t="n">
        <v>110</v>
      </c>
      <c r="H23" s="236">
        <f>ROUND(F23*G23,2)</f>
        <v/>
      </c>
      <c r="J23" s="405" t="n"/>
      <c r="L23" s="251" t="n"/>
    </row>
    <row r="24">
      <c r="A24" s="278" t="n">
        <v>10</v>
      </c>
      <c r="B24" s="274" t="inlineStr">
        <is>
          <t>08-01-03</t>
        </is>
      </c>
      <c r="C24" s="277" t="inlineStr">
        <is>
          <t>91.01.01-035</t>
        </is>
      </c>
      <c r="D24" s="318" t="inlineStr">
        <is>
          <t>Бульдозеры, мощность 79 кВт (108 л.с.)</t>
        </is>
      </c>
      <c r="E24" s="317" t="inlineStr">
        <is>
          <t>маш.-ч.</t>
        </is>
      </c>
      <c r="F24" s="317" t="n">
        <v>400.148</v>
      </c>
      <c r="G24" s="236" t="n">
        <v>79.06999999999999</v>
      </c>
      <c r="H24" s="236">
        <f>ROUND(F24*G24,2)</f>
        <v/>
      </c>
      <c r="J24" s="405" t="n"/>
      <c r="L24" s="251" t="n"/>
    </row>
    <row r="25" ht="31.5" customHeight="1" s="297">
      <c r="A25" s="278" t="n">
        <v>11</v>
      </c>
      <c r="B25" s="274" t="inlineStr">
        <is>
          <t>08-01-03</t>
        </is>
      </c>
      <c r="C25" s="277" t="inlineStr">
        <is>
          <t>91.15.02-023</t>
        </is>
      </c>
      <c r="D25" s="318" t="inlineStr">
        <is>
          <t>Тракторы на гусеничном ходу, мощность 59 кВт (80 л.с.)</t>
        </is>
      </c>
      <c r="E25" s="317" t="inlineStr">
        <is>
          <t>маш.-ч.</t>
        </is>
      </c>
      <c r="F25" s="317" t="n">
        <v>258.54</v>
      </c>
      <c r="G25" s="236" t="n">
        <v>77.2</v>
      </c>
      <c r="H25" s="236">
        <f>ROUND(F25*G25,2)</f>
        <v/>
      </c>
      <c r="J25" s="405" t="n"/>
      <c r="L25" s="251" t="n"/>
    </row>
    <row r="26">
      <c r="A26" s="278" t="n">
        <v>12</v>
      </c>
      <c r="B26" s="274" t="inlineStr">
        <is>
          <t>08-01-03</t>
        </is>
      </c>
      <c r="C26" s="277" t="inlineStr">
        <is>
          <t>91.01.01-034</t>
        </is>
      </c>
      <c r="D26" s="318" t="inlineStr">
        <is>
          <t>Бульдозеры, мощность 59 кВт (80 л.с.)</t>
        </is>
      </c>
      <c r="E26" s="317" t="inlineStr">
        <is>
          <t>маш.-ч.</t>
        </is>
      </c>
      <c r="F26" s="317" t="n">
        <v>219.6288</v>
      </c>
      <c r="G26" s="236" t="n">
        <v>59.47</v>
      </c>
      <c r="H26" s="236">
        <f>ROUND(F26*G26,2)</f>
        <v/>
      </c>
      <c r="J26" s="405" t="n"/>
      <c r="L26" s="251" t="n"/>
    </row>
    <row r="27">
      <c r="A27" s="278" t="n">
        <v>13</v>
      </c>
      <c r="B27" s="274" t="inlineStr">
        <is>
          <t>08-01-03</t>
        </is>
      </c>
      <c r="C27" s="277" t="inlineStr">
        <is>
          <t>91.01.01-039</t>
        </is>
      </c>
      <c r="D27" s="318" t="inlineStr">
        <is>
          <t>Бульдозеры, мощность 132 кВт (180 л.с.)</t>
        </is>
      </c>
      <c r="E27" s="317" t="inlineStr">
        <is>
          <t>маш.-ч.</t>
        </is>
      </c>
      <c r="F27" s="317" t="n">
        <v>60.264</v>
      </c>
      <c r="G27" s="236" t="n">
        <v>132.79</v>
      </c>
      <c r="H27" s="236">
        <f>ROUND(F27*G27,2)</f>
        <v/>
      </c>
      <c r="J27" s="405" t="n"/>
      <c r="L27" s="251" t="n"/>
    </row>
    <row r="28" ht="31.5" customHeight="1" s="297">
      <c r="A28" s="278" t="n">
        <v>14</v>
      </c>
      <c r="B28" s="274" t="inlineStr">
        <is>
          <t>08-01-03</t>
        </is>
      </c>
      <c r="C28" s="277" t="inlineStr">
        <is>
          <t>91.08.03-041</t>
        </is>
      </c>
      <c r="D28" s="318" t="inlineStr">
        <is>
          <t>Катки самоходные гладкие вибрационные, масса 12 т</t>
        </is>
      </c>
      <c r="E28" s="317" t="inlineStr">
        <is>
          <t>маш.-ч.</t>
        </is>
      </c>
      <c r="F28" s="317" t="n">
        <v>28.0116</v>
      </c>
      <c r="G28" s="236" t="n">
        <v>282.42</v>
      </c>
      <c r="H28" s="236">
        <f>ROUND(F28*G28,2)</f>
        <v/>
      </c>
      <c r="J28" s="405" t="n"/>
      <c r="L28" s="251" t="n"/>
    </row>
    <row r="29">
      <c r="A29" s="278" t="n">
        <v>15</v>
      </c>
      <c r="B29" s="274" t="inlineStr">
        <is>
          <t>08-01-03</t>
        </is>
      </c>
      <c r="C29" s="277" t="inlineStr">
        <is>
          <t>91.12.06-012</t>
        </is>
      </c>
      <c r="D29" s="318" t="inlineStr">
        <is>
          <t>Рыхлители прицепные (без трактора)</t>
        </is>
      </c>
      <c r="E29" s="317" t="inlineStr">
        <is>
          <t>маш.-ч.</t>
        </is>
      </c>
      <c r="F29" s="317" t="n">
        <v>258.54</v>
      </c>
      <c r="G29" s="236" t="n">
        <v>8</v>
      </c>
      <c r="H29" s="236">
        <f>ROUND(F29*G29,2)</f>
        <v/>
      </c>
      <c r="J29" s="405" t="n"/>
      <c r="L29" s="251" t="n"/>
    </row>
    <row r="30">
      <c r="A30" s="316" t="inlineStr">
        <is>
          <t>Материалы</t>
        </is>
      </c>
      <c r="B30" s="401" t="n"/>
      <c r="C30" s="401" t="n"/>
      <c r="D30" s="401" t="n"/>
      <c r="E30" s="402" t="n"/>
      <c r="F30" s="316" t="n"/>
      <c r="G30" s="240" t="n"/>
      <c r="H30" s="240">
        <f>SUM(H31:H32)</f>
        <v/>
      </c>
    </row>
    <row r="31">
      <c r="A31" s="278" t="n">
        <v>16</v>
      </c>
      <c r="B31" s="274" t="inlineStr">
        <is>
          <t>08-01-03</t>
        </is>
      </c>
      <c r="C31" s="277" t="inlineStr">
        <is>
          <t>02.2.05.04-1772</t>
        </is>
      </c>
      <c r="D31" s="318" t="inlineStr">
        <is>
          <t>Щебень М 600, фракция 25-70 мм, группа 2</t>
        </is>
      </c>
      <c r="E31" s="317" t="inlineStr">
        <is>
          <t>м3</t>
        </is>
      </c>
      <c r="F31" s="317" t="n">
        <v>11482.4</v>
      </c>
      <c r="G31" s="236" t="n">
        <v>114.13</v>
      </c>
      <c r="H31" s="236">
        <f>ROUND(F31*G31,2)</f>
        <v/>
      </c>
      <c r="J31" s="405" t="n"/>
      <c r="L31" s="251" t="n"/>
    </row>
    <row r="32">
      <c r="A32" s="278" t="n">
        <v>17</v>
      </c>
      <c r="B32" s="274" t="inlineStr">
        <is>
          <t>08-01-03</t>
        </is>
      </c>
      <c r="C32" s="277" t="inlineStr">
        <is>
          <t>01.7.03.01-0001</t>
        </is>
      </c>
      <c r="D32" s="318" t="inlineStr">
        <is>
          <t>Вода</t>
        </is>
      </c>
      <c r="E32" s="317" t="inlineStr">
        <is>
          <t>м3</t>
        </is>
      </c>
      <c r="F32" s="317" t="n">
        <v>1550</v>
      </c>
      <c r="G32" s="236" t="n">
        <v>2.44</v>
      </c>
      <c r="H32" s="236">
        <f>ROUND(F32*G32,2)</f>
        <v/>
      </c>
      <c r="J32" s="405" t="n"/>
      <c r="L32" s="251" t="n"/>
    </row>
    <row r="35">
      <c r="B35" s="299" t="inlineStr">
        <is>
          <t>Составил ______________________        А.П. Николаева</t>
        </is>
      </c>
    </row>
    <row r="36">
      <c r="B36" s="222" t="inlineStr">
        <is>
          <t xml:space="preserve">                         (подпись, инициалы, фамилия)</t>
        </is>
      </c>
    </row>
    <row r="38">
      <c r="B38" s="299" t="inlineStr">
        <is>
          <t>Проверил ______________________        А.В. Костянецкая</t>
        </is>
      </c>
    </row>
    <row r="39">
      <c r="B39" s="222" t="inlineStr">
        <is>
          <t xml:space="preserve">                        (подпись, инициалы, фамилия)</t>
        </is>
      </c>
    </row>
  </sheetData>
  <mergeCells count="14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5:H5"/>
    <mergeCell ref="G9:H9"/>
    <mergeCell ref="A18:E18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297" min="1" max="1"/>
    <col width="36.28515625" customWidth="1" style="297" min="2" max="2"/>
    <col width="18.85546875" customWidth="1" style="297" min="3" max="3"/>
    <col width="18.28515625" customWidth="1" style="297" min="4" max="4"/>
    <col width="18.85546875" customWidth="1" style="297" min="5" max="5"/>
    <col width="9.140625" customWidth="1" style="297" min="6" max="6"/>
    <col width="13.42578125" customWidth="1" style="297" min="7" max="7"/>
    <col width="9.140625" customWidth="1" style="297" min="8" max="11"/>
    <col width="13.5703125" customWidth="1" style="297" min="12" max="12"/>
    <col width="9.140625" customWidth="1" style="297" min="13" max="13"/>
  </cols>
  <sheetData>
    <row r="1">
      <c r="B1" s="285" t="n"/>
      <c r="C1" s="285" t="n"/>
      <c r="D1" s="285" t="n"/>
      <c r="E1" s="285" t="n"/>
    </row>
    <row r="2">
      <c r="B2" s="285" t="n"/>
      <c r="C2" s="285" t="n"/>
      <c r="D2" s="285" t="n"/>
      <c r="E2" s="337" t="inlineStr">
        <is>
          <t>Приложение № 4</t>
        </is>
      </c>
    </row>
    <row r="3">
      <c r="B3" s="285" t="n"/>
      <c r="C3" s="285" t="n"/>
      <c r="D3" s="285" t="n"/>
      <c r="E3" s="285" t="n"/>
    </row>
    <row r="4">
      <c r="B4" s="285" t="n"/>
      <c r="C4" s="285" t="n"/>
      <c r="D4" s="285" t="n"/>
      <c r="E4" s="285" t="n"/>
    </row>
    <row r="5">
      <c r="B5" s="303" t="inlineStr">
        <is>
          <t>Ресурсная модель</t>
        </is>
      </c>
    </row>
    <row r="6">
      <c r="B6" s="262" t="n"/>
      <c r="C6" s="285" t="n"/>
      <c r="D6" s="285" t="n"/>
      <c r="E6" s="285" t="n"/>
    </row>
    <row r="7" ht="25.5" customHeight="1" s="297">
      <c r="B7" s="319" t="inlineStr">
        <is>
          <t>Наименование разрабатываемого показателя УНЦ — Устройство вдольтрассового проезда</t>
        </is>
      </c>
    </row>
    <row r="8">
      <c r="B8" s="320" t="inlineStr">
        <is>
          <t>Единица измерения  —  1 м2</t>
        </is>
      </c>
    </row>
    <row r="9">
      <c r="B9" s="262" t="n"/>
      <c r="C9" s="285" t="n"/>
      <c r="D9" s="285" t="n"/>
      <c r="E9" s="285" t="n"/>
    </row>
    <row r="10" ht="51" customHeight="1" s="297">
      <c r="B10" s="322" t="inlineStr">
        <is>
          <t>Наименование</t>
        </is>
      </c>
      <c r="C10" s="322" t="inlineStr">
        <is>
          <t>Сметная стоимость в ценах на 01.01.2023
 (руб.)</t>
        </is>
      </c>
      <c r="D10" s="322" t="inlineStr">
        <is>
          <t>Удельный вес, 
(в СМР)</t>
        </is>
      </c>
      <c r="E10" s="322" t="inlineStr">
        <is>
          <t>Удельный вес, % 
(от всего по РМ)</t>
        </is>
      </c>
    </row>
    <row r="11">
      <c r="B11" s="254" t="inlineStr">
        <is>
          <t>Оплата труда рабочих</t>
        </is>
      </c>
      <c r="C11" s="287">
        <f>'Прил.5 Расчет СМР и ОБ'!J14</f>
        <v/>
      </c>
      <c r="D11" s="256">
        <f>C11/$C$24</f>
        <v/>
      </c>
      <c r="E11" s="256">
        <f>C11/$C$40</f>
        <v/>
      </c>
    </row>
    <row r="12">
      <c r="B12" s="254" t="inlineStr">
        <is>
          <t>Эксплуатация машин основных</t>
        </is>
      </c>
      <c r="C12" s="287">
        <f>'Прил.5 Расчет СМР и ОБ'!J24</f>
        <v/>
      </c>
      <c r="D12" s="256">
        <f>C12/$C$24</f>
        <v/>
      </c>
      <c r="E12" s="256">
        <f>C12/$C$40</f>
        <v/>
      </c>
    </row>
    <row r="13">
      <c r="B13" s="254" t="inlineStr">
        <is>
          <t>Эксплуатация машин прочих</t>
        </is>
      </c>
      <c r="C13" s="287">
        <f>'Прил.5 Расчет СМР и ОБ'!J32</f>
        <v/>
      </c>
      <c r="D13" s="256">
        <f>C13/$C$24</f>
        <v/>
      </c>
      <c r="E13" s="256">
        <f>C13/$C$40</f>
        <v/>
      </c>
    </row>
    <row r="14">
      <c r="B14" s="254" t="inlineStr">
        <is>
          <t>ЭКСПЛУАТАЦИЯ МАШИН, ВСЕГО:</t>
        </is>
      </c>
      <c r="C14" s="287">
        <f>C13+C12</f>
        <v/>
      </c>
      <c r="D14" s="256">
        <f>C14/$C$24</f>
        <v/>
      </c>
      <c r="E14" s="256">
        <f>C14/$C$40</f>
        <v/>
      </c>
    </row>
    <row r="15">
      <c r="B15" s="254" t="inlineStr">
        <is>
          <t>в том числе зарплата машинистов</t>
        </is>
      </c>
      <c r="C15" s="287">
        <f>'Прил.5 Расчет СМР и ОБ'!J16</f>
        <v/>
      </c>
      <c r="D15" s="256">
        <f>C15/$C$24</f>
        <v/>
      </c>
      <c r="E15" s="256">
        <f>C15/$C$40</f>
        <v/>
      </c>
    </row>
    <row r="16">
      <c r="B16" s="254" t="inlineStr">
        <is>
          <t>Материалы основные</t>
        </is>
      </c>
      <c r="C16" s="287">
        <f>'Прил.5 Расчет СМР и ОБ'!J43</f>
        <v/>
      </c>
      <c r="D16" s="256">
        <f>C16/$C$24</f>
        <v/>
      </c>
      <c r="E16" s="256">
        <f>C16/$C$40</f>
        <v/>
      </c>
    </row>
    <row r="17">
      <c r="B17" s="254" t="inlineStr">
        <is>
          <t>Материалы прочие</t>
        </is>
      </c>
      <c r="C17" s="287">
        <f>'Прил.5 Расчет СМР и ОБ'!J45</f>
        <v/>
      </c>
      <c r="D17" s="256">
        <f>C17/$C$24</f>
        <v/>
      </c>
      <c r="E17" s="256">
        <f>C17/$C$40</f>
        <v/>
      </c>
      <c r="G17" s="406" t="n"/>
    </row>
    <row r="18">
      <c r="B18" s="254" t="inlineStr">
        <is>
          <t>МАТЕРИАЛЫ, ВСЕГО:</t>
        </is>
      </c>
      <c r="C18" s="287">
        <f>C17+C16</f>
        <v/>
      </c>
      <c r="D18" s="256">
        <f>C18/$C$24</f>
        <v/>
      </c>
      <c r="E18" s="256">
        <f>C18/$C$40</f>
        <v/>
      </c>
    </row>
    <row r="19">
      <c r="B19" s="254" t="inlineStr">
        <is>
          <t>ИТОГО</t>
        </is>
      </c>
      <c r="C19" s="287">
        <f>C18+C14+C11</f>
        <v/>
      </c>
      <c r="D19" s="256" t="n"/>
      <c r="E19" s="254" t="n"/>
    </row>
    <row r="20">
      <c r="B20" s="254" t="inlineStr">
        <is>
          <t>Сметная прибыль, руб.</t>
        </is>
      </c>
      <c r="C20" s="287">
        <f>ROUND(C21*(C11+C15),2)</f>
        <v/>
      </c>
      <c r="D20" s="256">
        <f>C20/$C$24</f>
        <v/>
      </c>
      <c r="E20" s="256">
        <f>C20/$C$40</f>
        <v/>
      </c>
    </row>
    <row r="21">
      <c r="B21" s="254" t="inlineStr">
        <is>
          <t>Сметная прибыль, %</t>
        </is>
      </c>
      <c r="C21" s="259">
        <f>'Прил.5 Расчет СМР и ОБ'!D49</f>
        <v/>
      </c>
      <c r="D21" s="256" t="n"/>
      <c r="E21" s="254" t="n"/>
    </row>
    <row r="22">
      <c r="B22" s="254" t="inlineStr">
        <is>
          <t>Накладные расходы, руб.</t>
        </is>
      </c>
      <c r="C22" s="287">
        <f>ROUND(C23*(C11+C15),2)</f>
        <v/>
      </c>
      <c r="D22" s="256">
        <f>C22/$C$24</f>
        <v/>
      </c>
      <c r="E22" s="256">
        <f>C22/$C$40</f>
        <v/>
      </c>
    </row>
    <row r="23">
      <c r="B23" s="254" t="inlineStr">
        <is>
          <t>Накладные расходы, %</t>
        </is>
      </c>
      <c r="C23" s="259">
        <f>'Прил.5 Расчет СМР и ОБ'!D48</f>
        <v/>
      </c>
      <c r="D23" s="256" t="n"/>
      <c r="E23" s="254" t="n"/>
    </row>
    <row r="24">
      <c r="B24" s="254" t="inlineStr">
        <is>
          <t>ВСЕГО СМР с НР и СП</t>
        </is>
      </c>
      <c r="C24" s="287">
        <f>C19+C20+C22</f>
        <v/>
      </c>
      <c r="D24" s="256">
        <f>C24/$C$24</f>
        <v/>
      </c>
      <c r="E24" s="256">
        <f>C24/$C$40</f>
        <v/>
      </c>
    </row>
    <row r="25" ht="25.5" customHeight="1" s="297">
      <c r="B25" s="254" t="inlineStr">
        <is>
          <t>ВСЕГО стоимость оборудования, в том числе</t>
        </is>
      </c>
      <c r="C25" s="287">
        <f>'Прил.5 Расчет СМР и ОБ'!J38</f>
        <v/>
      </c>
      <c r="D25" s="256" t="n"/>
      <c r="E25" s="256">
        <f>C25/$C$40</f>
        <v/>
      </c>
    </row>
    <row r="26" ht="25.5" customHeight="1" s="297">
      <c r="B26" s="254" t="inlineStr">
        <is>
          <t>стоимость оборудования технологического</t>
        </is>
      </c>
      <c r="C26" s="287">
        <f>'Прил.5 Расчет СМР и ОБ'!J39</f>
        <v/>
      </c>
      <c r="D26" s="256" t="n"/>
      <c r="E26" s="256">
        <f>C26/$C$40</f>
        <v/>
      </c>
    </row>
    <row r="27">
      <c r="B27" s="254" t="inlineStr">
        <is>
          <t>ИТОГО (СМР + ОБОРУДОВАНИЕ)</t>
        </is>
      </c>
      <c r="C27" s="270">
        <f>C24+C25</f>
        <v/>
      </c>
      <c r="D27" s="256" t="n"/>
      <c r="E27" s="256">
        <f>C27/$C$40</f>
        <v/>
      </c>
      <c r="G27" s="257" t="n"/>
    </row>
    <row r="28" ht="33" customHeight="1" s="297">
      <c r="B28" s="254" t="inlineStr">
        <is>
          <t>ПРОЧ. ЗАТР., УЧТЕННЫЕ ПОКАЗАТЕЛЕМ,  в том числе</t>
        </is>
      </c>
      <c r="C28" s="254" t="n"/>
      <c r="D28" s="254" t="n"/>
      <c r="E28" s="254" t="n"/>
    </row>
    <row r="29" ht="25.5" customHeight="1" s="297">
      <c r="B29" s="254" t="inlineStr">
        <is>
          <t>Временные здания и сооружения - 3,3%</t>
        </is>
      </c>
      <c r="C29" s="270">
        <f>ROUND(C24*3.3%,2)</f>
        <v/>
      </c>
      <c r="D29" s="254" t="n"/>
      <c r="E29" s="256">
        <f>C29/$C$40</f>
        <v/>
      </c>
    </row>
    <row r="30" ht="38.25" customHeight="1" s="297">
      <c r="B30" s="254" t="inlineStr">
        <is>
          <t>Дополнительные затраты при производстве строительно-монтажных работ в зимнее время - 1%</t>
        </is>
      </c>
      <c r="C30" s="270">
        <f>ROUND((C24+C29)*1%,2)</f>
        <v/>
      </c>
      <c r="D30" s="254" t="n"/>
      <c r="E30" s="256">
        <f>C30/$C$40</f>
        <v/>
      </c>
    </row>
    <row r="31">
      <c r="B31" s="254" t="inlineStr">
        <is>
          <t>Пусконаладочные работы</t>
        </is>
      </c>
      <c r="C31" s="270" t="n">
        <v>0</v>
      </c>
      <c r="D31" s="254" t="n"/>
      <c r="E31" s="256">
        <f>C31/$C$40</f>
        <v/>
      </c>
    </row>
    <row r="32" ht="25.5" customHeight="1" s="297">
      <c r="B32" s="254" t="inlineStr">
        <is>
          <t>Затраты по перевозке работников к месту работы и обратно</t>
        </is>
      </c>
      <c r="C32" s="270" t="n">
        <v>0</v>
      </c>
      <c r="D32" s="254" t="n"/>
      <c r="E32" s="256">
        <f>C32/$C$40</f>
        <v/>
      </c>
    </row>
    <row r="33" ht="25.5" customHeight="1" s="297">
      <c r="B33" s="254" t="inlineStr">
        <is>
          <t>Затраты, связанные с осуществлением работ вахтовым методом</t>
        </is>
      </c>
      <c r="C33" s="270" t="n">
        <v>0</v>
      </c>
      <c r="D33" s="254" t="n"/>
      <c r="E33" s="256">
        <f>C33/$C$40</f>
        <v/>
      </c>
    </row>
    <row r="34" ht="51" customHeight="1" s="297">
      <c r="B34" s="2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>
        <f>ROUND($C$27/438365.82*0,2)</f>
        <v/>
      </c>
      <c r="D34" s="254" t="n"/>
      <c r="E34" s="256">
        <f>C34/$C$40</f>
        <v/>
      </c>
    </row>
    <row r="35" ht="76.5" customHeight="1" s="297">
      <c r="B35" s="2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 t="n">
        <v>0</v>
      </c>
      <c r="D35" s="254" t="n"/>
      <c r="E35" s="256">
        <f>C35/$C$40</f>
        <v/>
      </c>
    </row>
    <row r="36" ht="25.5" customHeight="1" s="297">
      <c r="B36" s="254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254" t="n"/>
      <c r="E36" s="256">
        <f>C36/$C$40</f>
        <v/>
      </c>
      <c r="L36" s="257" t="n"/>
    </row>
    <row r="37">
      <c r="B37" s="254" t="inlineStr">
        <is>
          <t>Авторский надзор - 0,2%</t>
        </is>
      </c>
      <c r="C37" s="270">
        <f>ROUND((C27+C32+C33+C34+C35+C29+C31+C30)*0.2%,2)</f>
        <v/>
      </c>
      <c r="D37" s="254" t="n"/>
      <c r="E37" s="256">
        <f>C37/$C$40</f>
        <v/>
      </c>
      <c r="L37" s="257" t="n"/>
    </row>
    <row r="38" ht="38.25" customHeight="1" s="297">
      <c r="B38" s="254" t="inlineStr">
        <is>
          <t>ИТОГО (СМР+ОБОРУДОВАНИЕ+ПРОЧ. ЗАТР., УЧТЕННЫЕ ПОКАЗАТЕЛЕМ)</t>
        </is>
      </c>
      <c r="C38" s="287">
        <f>C27+C32+C33+C34+C35+C29+C31+C30+C36+C37</f>
        <v/>
      </c>
      <c r="D38" s="254" t="n"/>
      <c r="E38" s="256">
        <f>C38/$C$40</f>
        <v/>
      </c>
    </row>
    <row r="39" ht="13.5" customHeight="1" s="297">
      <c r="B39" s="254" t="inlineStr">
        <is>
          <t>Непредвиденные расходы</t>
        </is>
      </c>
      <c r="C39" s="287">
        <f>ROUND(C38*3%,2)</f>
        <v/>
      </c>
      <c r="D39" s="254" t="n"/>
      <c r="E39" s="256">
        <f>C39/$C$38</f>
        <v/>
      </c>
    </row>
    <row r="40">
      <c r="B40" s="254" t="inlineStr">
        <is>
          <t>ВСЕГО:</t>
        </is>
      </c>
      <c r="C40" s="287">
        <f>C39+C38</f>
        <v/>
      </c>
      <c r="D40" s="254" t="n"/>
      <c r="E40" s="256">
        <f>C40/$C$40</f>
        <v/>
      </c>
    </row>
    <row r="41">
      <c r="B41" s="254" t="inlineStr">
        <is>
          <t>ИТОГО ПОКАЗАТЕЛЬ НА ЕД. ИЗМ.</t>
        </is>
      </c>
      <c r="C41" s="287">
        <f>C40/'Прил.5 Расчет СМР и ОБ'!E52</f>
        <v/>
      </c>
      <c r="D41" s="254" t="n"/>
      <c r="E41" s="254" t="n"/>
    </row>
    <row r="42">
      <c r="B42" s="289" t="n"/>
      <c r="C42" s="285" t="n"/>
      <c r="D42" s="285" t="n"/>
      <c r="E42" s="285" t="n"/>
    </row>
    <row r="43">
      <c r="B43" s="289" t="inlineStr">
        <is>
          <t>Составил ____________________________ А.П. Николаева</t>
        </is>
      </c>
      <c r="C43" s="285" t="n"/>
      <c r="D43" s="285" t="n"/>
      <c r="E43" s="285" t="n"/>
    </row>
    <row r="44">
      <c r="B44" s="289" t="inlineStr">
        <is>
          <t xml:space="preserve">(должность, подпись, инициалы, фамилия) </t>
        </is>
      </c>
      <c r="C44" s="285" t="n"/>
      <c r="D44" s="285" t="n"/>
      <c r="E44" s="285" t="n"/>
    </row>
    <row r="45">
      <c r="B45" s="289" t="n"/>
      <c r="C45" s="285" t="n"/>
      <c r="D45" s="285" t="n"/>
      <c r="E45" s="285" t="n"/>
    </row>
    <row r="46">
      <c r="B46" s="289" t="inlineStr">
        <is>
          <t>Проверил ____________________________ А.В. Костянецкая</t>
        </is>
      </c>
      <c r="C46" s="285" t="n"/>
      <c r="D46" s="285" t="n"/>
      <c r="E46" s="285" t="n"/>
    </row>
    <row r="47">
      <c r="B47" s="320" t="inlineStr">
        <is>
          <t>(должность, подпись, инициалы, фамилия)</t>
        </is>
      </c>
      <c r="D47" s="285" t="n"/>
      <c r="E47" s="285" t="n"/>
    </row>
    <row r="49">
      <c r="B49" s="285" t="n"/>
      <c r="C49" s="285" t="n"/>
      <c r="D49" s="285" t="n"/>
      <c r="E49" s="285" t="n"/>
    </row>
    <row r="50">
      <c r="B50" s="285" t="n"/>
      <c r="C50" s="285" t="n"/>
      <c r="D50" s="285" t="n"/>
      <c r="E50" s="2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19" workbookViewId="0">
      <selection activeCell="B33" sqref="B3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2.7109375" customWidth="1" style="295" min="5" max="5"/>
    <col width="14.570312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9.140625" customWidth="1" style="295" min="12" max="12"/>
    <col width="9.140625" customWidth="1" style="297" min="13" max="13"/>
  </cols>
  <sheetData>
    <row r="1" s="297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297">
      <c r="A2" s="295" t="n"/>
      <c r="B2" s="295" t="n"/>
      <c r="C2" s="295" t="n"/>
      <c r="D2" s="295" t="n"/>
      <c r="E2" s="295" t="n"/>
      <c r="F2" s="295" t="n"/>
      <c r="G2" s="295" t="n"/>
      <c r="H2" s="331" t="inlineStr">
        <is>
          <t>Приложение №5</t>
        </is>
      </c>
      <c r="K2" s="295" t="n"/>
      <c r="L2" s="295" t="n"/>
      <c r="M2" s="295" t="n"/>
      <c r="N2" s="295" t="n"/>
    </row>
    <row r="3" s="297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85">
      <c r="A4" s="303" t="inlineStr">
        <is>
          <t>Расчет стоимости СМР и оборудования</t>
        </is>
      </c>
    </row>
    <row r="5" ht="12.75" customFormat="1" customHeight="1" s="285">
      <c r="A5" s="303" t="n"/>
      <c r="B5" s="303" t="n"/>
      <c r="C5" s="344" t="n"/>
      <c r="D5" s="303" t="n"/>
      <c r="E5" s="303" t="n"/>
      <c r="F5" s="303" t="n"/>
      <c r="G5" s="303" t="n"/>
      <c r="H5" s="303" t="n"/>
      <c r="I5" s="303" t="n"/>
      <c r="J5" s="303" t="n"/>
    </row>
    <row r="6" ht="12.75" customFormat="1" customHeight="1" s="285">
      <c r="A6" s="210" t="inlineStr">
        <is>
          <t>Наименование разрабатываемого показателя УНЦ</t>
        </is>
      </c>
      <c r="B6" s="209" t="n"/>
      <c r="C6" s="209" t="n"/>
      <c r="D6" s="336" t="inlineStr">
        <is>
          <t>Устройство вдольтрассового проезда</t>
        </is>
      </c>
    </row>
    <row r="7" ht="12.75" customFormat="1" customHeight="1" s="285">
      <c r="A7" s="306" t="inlineStr">
        <is>
          <t>Единица измерения  —  1 м2</t>
        </is>
      </c>
      <c r="I7" s="319" t="n"/>
      <c r="J7" s="319" t="n"/>
    </row>
    <row r="8" ht="13.5" customFormat="1" customHeight="1" s="285">
      <c r="A8" s="306" t="n"/>
    </row>
    <row r="9" ht="27" customHeight="1" s="297">
      <c r="A9" s="322" t="inlineStr">
        <is>
          <t>№ пп.</t>
        </is>
      </c>
      <c r="B9" s="322" t="inlineStr">
        <is>
          <t>Код ресурса</t>
        </is>
      </c>
      <c r="C9" s="322" t="inlineStr">
        <is>
          <t>Наименование</t>
        </is>
      </c>
      <c r="D9" s="322" t="inlineStr">
        <is>
          <t>Ед. изм.</t>
        </is>
      </c>
      <c r="E9" s="322" t="inlineStr">
        <is>
          <t>Кол-во единиц по проектным данным</t>
        </is>
      </c>
      <c r="F9" s="322" t="inlineStr">
        <is>
          <t>Сметная стоимость в ценах на 01.01.2000 (руб.)</t>
        </is>
      </c>
      <c r="G9" s="402" t="n"/>
      <c r="H9" s="322" t="inlineStr">
        <is>
          <t>Удельный вес, %</t>
        </is>
      </c>
      <c r="I9" s="322" t="inlineStr">
        <is>
          <t>Сметная стоимость в ценах на 01.01.2023 (руб.)</t>
        </is>
      </c>
      <c r="J9" s="402" t="n"/>
      <c r="K9" s="295" t="n"/>
      <c r="L9" s="295" t="n"/>
      <c r="M9" s="295" t="n"/>
      <c r="N9" s="295" t="n"/>
    </row>
    <row r="10" ht="28.5" customHeight="1" s="297">
      <c r="A10" s="404" t="n"/>
      <c r="B10" s="404" t="n"/>
      <c r="C10" s="404" t="n"/>
      <c r="D10" s="404" t="n"/>
      <c r="E10" s="404" t="n"/>
      <c r="F10" s="322" t="inlineStr">
        <is>
          <t>на ед. изм.</t>
        </is>
      </c>
      <c r="G10" s="322" t="inlineStr">
        <is>
          <t>общая</t>
        </is>
      </c>
      <c r="H10" s="404" t="n"/>
      <c r="I10" s="322" t="inlineStr">
        <is>
          <t>на ед. изм.</t>
        </is>
      </c>
      <c r="J10" s="322" t="inlineStr">
        <is>
          <t>общая</t>
        </is>
      </c>
      <c r="K10" s="295" t="n"/>
      <c r="L10" s="295" t="n"/>
      <c r="M10" s="295" t="n"/>
      <c r="N10" s="295" t="n"/>
    </row>
    <row r="11" s="297">
      <c r="A11" s="322" t="n">
        <v>1</v>
      </c>
      <c r="B11" s="322" t="n">
        <v>2</v>
      </c>
      <c r="C11" s="322" t="n">
        <v>3</v>
      </c>
      <c r="D11" s="322" t="n">
        <v>4</v>
      </c>
      <c r="E11" s="322" t="n">
        <v>5</v>
      </c>
      <c r="F11" s="322" t="n">
        <v>6</v>
      </c>
      <c r="G11" s="322" t="n">
        <v>7</v>
      </c>
      <c r="H11" s="322" t="n">
        <v>8</v>
      </c>
      <c r="I11" s="334" t="n">
        <v>9</v>
      </c>
      <c r="J11" s="334" t="n">
        <v>10</v>
      </c>
      <c r="K11" s="295" t="n"/>
      <c r="L11" s="295" t="n"/>
      <c r="M11" s="295" t="n"/>
      <c r="N11" s="295" t="n"/>
    </row>
    <row r="12">
      <c r="A12" s="322" t="n"/>
      <c r="B12" s="326" t="inlineStr">
        <is>
          <t>Затраты труда рабочих-строителей</t>
        </is>
      </c>
      <c r="C12" s="401" t="n"/>
      <c r="D12" s="401" t="n"/>
      <c r="E12" s="401" t="n"/>
      <c r="F12" s="401" t="n"/>
      <c r="G12" s="401" t="n"/>
      <c r="H12" s="402" t="n"/>
      <c r="I12" s="194" t="n"/>
      <c r="J12" s="194" t="n"/>
    </row>
    <row r="13" ht="25.5" customHeight="1" s="297">
      <c r="A13" s="322" t="n">
        <v>1</v>
      </c>
      <c r="B13" s="207" t="inlineStr">
        <is>
          <t>1-1-8</t>
        </is>
      </c>
      <c r="C13" s="321" t="inlineStr">
        <is>
          <t>Затраты труда рабочих-строителей среднего разряда (1,8)</t>
        </is>
      </c>
      <c r="D13" s="322" t="inlineStr">
        <is>
          <t>чел.-ч.</t>
        </is>
      </c>
      <c r="E13" s="407">
        <f>G13/F13</f>
        <v/>
      </c>
      <c r="F13" s="203" t="n">
        <v>7.68</v>
      </c>
      <c r="G13" s="203">
        <f>'Прил. 3'!H12</f>
        <v/>
      </c>
      <c r="H13" s="206">
        <f>G13/G14</f>
        <v/>
      </c>
      <c r="I13" s="203">
        <f>ФОТр.тек.!E13</f>
        <v/>
      </c>
      <c r="J13" s="203">
        <f>ROUND(I13*E13,2)</f>
        <v/>
      </c>
    </row>
    <row r="14" ht="25.5" customFormat="1" customHeight="1" s="295">
      <c r="A14" s="322" t="n"/>
      <c r="B14" s="322" t="n"/>
      <c r="C14" s="326" t="inlineStr">
        <is>
          <t>Итого по разделу "Затраты труда рабочих-строителей"</t>
        </is>
      </c>
      <c r="D14" s="322" t="inlineStr">
        <is>
          <t>чел.-ч.</t>
        </is>
      </c>
      <c r="E14" s="407">
        <f>SUM(E13:E13)</f>
        <v/>
      </c>
      <c r="F14" s="203" t="n"/>
      <c r="G14" s="203">
        <f>SUM(G13:G13)</f>
        <v/>
      </c>
      <c r="H14" s="325" t="n">
        <v>1</v>
      </c>
      <c r="I14" s="194" t="n"/>
      <c r="J14" s="203">
        <f>SUM(J13:J13)</f>
        <v/>
      </c>
    </row>
    <row r="15" ht="14.25" customFormat="1" customHeight="1" s="295">
      <c r="A15" s="322" t="n"/>
      <c r="B15" s="321" t="inlineStr">
        <is>
          <t>Затраты труда машинистов</t>
        </is>
      </c>
      <c r="C15" s="401" t="n"/>
      <c r="D15" s="401" t="n"/>
      <c r="E15" s="401" t="n"/>
      <c r="F15" s="401" t="n"/>
      <c r="G15" s="401" t="n"/>
      <c r="H15" s="402" t="n"/>
      <c r="I15" s="194" t="n"/>
      <c r="J15" s="194" t="n"/>
    </row>
    <row r="16" ht="14.25" customFormat="1" customHeight="1" s="295">
      <c r="A16" s="322" t="n">
        <v>2</v>
      </c>
      <c r="B16" s="322" t="n">
        <v>2</v>
      </c>
      <c r="C16" s="321" t="inlineStr">
        <is>
          <t>Затраты труда машинистов</t>
        </is>
      </c>
      <c r="D16" s="322" t="inlineStr">
        <is>
          <t>чел.-ч.</t>
        </is>
      </c>
      <c r="E16" s="407" t="n">
        <v>5649.0804</v>
      </c>
      <c r="F16" s="203">
        <f>G16/E16</f>
        <v/>
      </c>
      <c r="G16" s="203">
        <f>'Прил. 3'!H16</f>
        <v/>
      </c>
      <c r="H16" s="325" t="n">
        <v>1</v>
      </c>
      <c r="I16" s="203">
        <f>ROUND(F16*'Прил. 10'!D11,2)</f>
        <v/>
      </c>
      <c r="J16" s="203">
        <f>ROUND(I16*E16,2)</f>
        <v/>
      </c>
    </row>
    <row r="17" ht="14.25" customFormat="1" customHeight="1" s="295">
      <c r="A17" s="322" t="n"/>
      <c r="B17" s="326" t="inlineStr">
        <is>
          <t>Машины и механизмы</t>
        </is>
      </c>
      <c r="C17" s="401" t="n"/>
      <c r="D17" s="401" t="n"/>
      <c r="E17" s="401" t="n"/>
      <c r="F17" s="401" t="n"/>
      <c r="G17" s="401" t="n"/>
      <c r="H17" s="402" t="n"/>
      <c r="I17" s="194" t="n"/>
      <c r="J17" s="194" t="n"/>
    </row>
    <row r="18" ht="14.25" customFormat="1" customHeight="1" s="295">
      <c r="A18" s="322" t="n"/>
      <c r="B18" s="321" t="inlineStr">
        <is>
          <t>Основные машины и механизмы</t>
        </is>
      </c>
      <c r="C18" s="401" t="n"/>
      <c r="D18" s="401" t="n"/>
      <c r="E18" s="401" t="n"/>
      <c r="F18" s="401" t="n"/>
      <c r="G18" s="401" t="n"/>
      <c r="H18" s="402" t="n"/>
      <c r="I18" s="194" t="n"/>
      <c r="J18" s="194" t="n"/>
    </row>
    <row r="19" ht="25.5" customFormat="1" customHeight="1" s="295">
      <c r="A19" s="322" t="n">
        <v>3</v>
      </c>
      <c r="B19" s="207" t="inlineStr">
        <is>
          <t>91.08.03-018</t>
        </is>
      </c>
      <c r="C19" s="321" t="inlineStr">
        <is>
          <t>Катки самоходные гладкие вибрационные, масса 13 т</t>
        </is>
      </c>
      <c r="D19" s="322" t="inlineStr">
        <is>
          <t>маш.-ч.</t>
        </is>
      </c>
      <c r="E19" s="407">
        <f>G19/F19</f>
        <v/>
      </c>
      <c r="F19" s="324" t="n">
        <v>286.56</v>
      </c>
      <c r="G19" s="203">
        <f>G20+G21+G22</f>
        <v/>
      </c>
      <c r="H19" s="206">
        <f>G19/$G$33</f>
        <v/>
      </c>
      <c r="I19" s="203">
        <f>ROUND(F19*'Прил. 10'!$D$12,2)</f>
        <v/>
      </c>
      <c r="J19" s="203">
        <f>J20+J21+J22</f>
        <v/>
      </c>
    </row>
    <row r="20" hidden="1" outlineLevel="1" ht="25.5" customFormat="1" customHeight="1" s="295">
      <c r="A20" s="322" t="n">
        <v>4</v>
      </c>
      <c r="B20" s="207" t="inlineStr">
        <is>
          <t>91.08.03-018</t>
        </is>
      </c>
      <c r="C20" s="321" t="inlineStr">
        <is>
          <t>Катки самоходные гладкие вибрационные, масса 13 т</t>
        </is>
      </c>
      <c r="D20" s="322" t="inlineStr">
        <is>
          <t>маш.-ч.</t>
        </is>
      </c>
      <c r="E20" s="407" t="n">
        <v>2346.824</v>
      </c>
      <c r="F20" s="324" t="n">
        <v>286.56</v>
      </c>
      <c r="G20" s="203">
        <f>ROUND(E20*F20,2)</f>
        <v/>
      </c>
      <c r="H20" s="206">
        <f>G20/$G$33</f>
        <v/>
      </c>
      <c r="I20" s="203">
        <f>ROUND(F20*'Прил. 10'!$D$12,2)</f>
        <v/>
      </c>
      <c r="J20" s="203">
        <f>ROUND(I20*E20,2)</f>
        <v/>
      </c>
    </row>
    <row r="21" hidden="1" outlineLevel="1" ht="25.5" customFormat="1" customHeight="1" s="295">
      <c r="A21" s="322" t="n">
        <v>5</v>
      </c>
      <c r="B21" s="207" t="inlineStr">
        <is>
          <t>91.08.03-016</t>
        </is>
      </c>
      <c r="C21" s="321" t="inlineStr">
        <is>
          <t>Катки самоходные гладкие вибрационные, масса 8 т</t>
        </is>
      </c>
      <c r="D21" s="322" t="inlineStr">
        <is>
          <t>маш.-ч.</t>
        </is>
      </c>
      <c r="E21" s="407" t="n">
        <v>1003.408</v>
      </c>
      <c r="F21" s="324" t="n">
        <v>226.54</v>
      </c>
      <c r="G21" s="203">
        <f>ROUND(E21*F21,2)</f>
        <v/>
      </c>
      <c r="H21" s="206">
        <f>G21/$G$33</f>
        <v/>
      </c>
      <c r="I21" s="203">
        <f>ROUND(F21*'Прил. 10'!$D$12,2)</f>
        <v/>
      </c>
      <c r="J21" s="203">
        <f>ROUND(I21*E21,2)</f>
        <v/>
      </c>
    </row>
    <row r="22" hidden="1" outlineLevel="1" ht="25.5" customFormat="1" customHeight="1" s="295">
      <c r="A22" s="322" t="n">
        <v>6</v>
      </c>
      <c r="B22" s="207" t="inlineStr">
        <is>
          <t>91.08.03-041</t>
        </is>
      </c>
      <c r="C22" s="321" t="inlineStr">
        <is>
          <t>Катки самоходные гладкие вибрационные, масса 12 т</t>
        </is>
      </c>
      <c r="D22" s="322" t="inlineStr">
        <is>
          <t>маш.-ч.</t>
        </is>
      </c>
      <c r="E22" s="407" t="n">
        <v>28.0116</v>
      </c>
      <c r="F22" s="324" t="n">
        <v>282.42</v>
      </c>
      <c r="G22" s="203">
        <f>ROUND(E22*F22,2)</f>
        <v/>
      </c>
      <c r="H22" s="206">
        <f>G22/$G$33</f>
        <v/>
      </c>
      <c r="I22" s="203">
        <f>ROUND(F22*'Прил. 10'!$D$12,2)</f>
        <v/>
      </c>
      <c r="J22" s="203">
        <f>ROUND(I22*E22,2)</f>
        <v/>
      </c>
    </row>
    <row r="23" collapsed="1" ht="25.5" customFormat="1" customHeight="1" s="295">
      <c r="A23" s="322" t="n">
        <v>7</v>
      </c>
      <c r="B23" s="207" t="inlineStr">
        <is>
          <t>91.14.03-002</t>
        </is>
      </c>
      <c r="C23" s="321" t="inlineStr">
        <is>
          <t>Автомобили-самосвалы, грузоподъемность до 10 т</t>
        </is>
      </c>
      <c r="D23" s="322" t="inlineStr">
        <is>
          <t>маш.-ч.</t>
        </is>
      </c>
      <c r="E23" s="407" t="n">
        <v>5356.8</v>
      </c>
      <c r="F23" s="324" t="n">
        <v>87.48999999999999</v>
      </c>
      <c r="G23" s="203">
        <f>ROUND(E23*F23,2)</f>
        <v/>
      </c>
      <c r="H23" s="206">
        <f>G23/$G$33</f>
        <v/>
      </c>
      <c r="I23" s="203">
        <f>ROUND(F23*'Прил. 10'!$D$12,2)</f>
        <v/>
      </c>
      <c r="J23" s="203">
        <f>ROUND(I23*E23,2)</f>
        <v/>
      </c>
    </row>
    <row r="24" ht="14.25" customFormat="1" customHeight="1" s="295">
      <c r="A24" s="322" t="n"/>
      <c r="B24" s="322" t="n"/>
      <c r="C24" s="321" t="inlineStr">
        <is>
          <t>Итого основные машины и механизмы</t>
        </is>
      </c>
      <c r="D24" s="322" t="n"/>
      <c r="E24" s="407" t="n"/>
      <c r="F24" s="203" t="n"/>
      <c r="G24" s="203">
        <f>G19+G23</f>
        <v/>
      </c>
      <c r="H24" s="325">
        <f>G24/G33</f>
        <v/>
      </c>
      <c r="I24" s="195" t="n"/>
      <c r="J24" s="203">
        <f>J19+J23</f>
        <v/>
      </c>
    </row>
    <row r="25" hidden="1" outlineLevel="1" ht="25.5" customFormat="1" customHeight="1" s="295">
      <c r="A25" s="322" t="n">
        <v>8</v>
      </c>
      <c r="B25" s="207" t="inlineStr">
        <is>
          <t>91.01.02-004</t>
        </is>
      </c>
      <c r="C25" s="321" t="inlineStr">
        <is>
          <t>Автогрейдеры среднего типа, мощность 99 кВт (135 л.с.)</t>
        </is>
      </c>
      <c r="D25" s="322" t="inlineStr">
        <is>
          <t>маш.-ч.</t>
        </is>
      </c>
      <c r="E25" s="407" t="n">
        <v>989.8920000000001</v>
      </c>
      <c r="F25" s="324" t="n">
        <v>123</v>
      </c>
      <c r="G25" s="203">
        <f>ROUND(E25*F25,2)</f>
        <v/>
      </c>
      <c r="H25" s="206">
        <f>G25/$G$33</f>
        <v/>
      </c>
      <c r="I25" s="203">
        <f>ROUND(F25*'Прил. 10'!$D$12,2)</f>
        <v/>
      </c>
      <c r="J25" s="203">
        <f>ROUND(I25*E25,2)</f>
        <v/>
      </c>
    </row>
    <row r="26" hidden="1" outlineLevel="1" ht="14.25" customFormat="1" customHeight="1" s="295">
      <c r="A26" s="322" t="n">
        <v>9</v>
      </c>
      <c r="B26" s="207" t="inlineStr">
        <is>
          <t>91.13.01-038</t>
        </is>
      </c>
      <c r="C26" s="321" t="inlineStr">
        <is>
          <t>Машины поливомоечные 6000 л</t>
        </is>
      </c>
      <c r="D26" s="322" t="inlineStr">
        <is>
          <t>маш.-ч.</t>
        </is>
      </c>
      <c r="E26" s="407" t="n">
        <v>342.364</v>
      </c>
      <c r="F26" s="324" t="n">
        <v>110</v>
      </c>
      <c r="G26" s="203">
        <f>ROUND(E26*F26,2)</f>
        <v/>
      </c>
      <c r="H26" s="206">
        <f>G26/$G$33</f>
        <v/>
      </c>
      <c r="I26" s="203">
        <f>ROUND(F26*'Прил. 10'!$D$12,2)</f>
        <v/>
      </c>
      <c r="J26" s="203">
        <f>ROUND(I26*E26,2)</f>
        <v/>
      </c>
    </row>
    <row r="27" hidden="1" outlineLevel="1" ht="14.25" customFormat="1" customHeight="1" s="295">
      <c r="A27" s="322" t="n">
        <v>10</v>
      </c>
      <c r="B27" s="207" t="inlineStr">
        <is>
          <t>91.01.01-035</t>
        </is>
      </c>
      <c r="C27" s="321" t="inlineStr">
        <is>
          <t>Бульдозеры, мощность 79 кВт (108 л.с.)</t>
        </is>
      </c>
      <c r="D27" s="322" t="inlineStr">
        <is>
          <t>маш.-ч.</t>
        </is>
      </c>
      <c r="E27" s="407" t="n">
        <v>400.148</v>
      </c>
      <c r="F27" s="324" t="n">
        <v>79.06999999999999</v>
      </c>
      <c r="G27" s="203">
        <f>ROUND(E27*F27,2)</f>
        <v/>
      </c>
      <c r="H27" s="206">
        <f>G27/$G$33</f>
        <v/>
      </c>
      <c r="I27" s="203">
        <f>ROUND(F27*'Прил. 10'!$D$12,2)</f>
        <v/>
      </c>
      <c r="J27" s="203">
        <f>ROUND(I27*E27,2)</f>
        <v/>
      </c>
    </row>
    <row r="28" hidden="1" outlineLevel="1" ht="25.5" customFormat="1" customHeight="1" s="295">
      <c r="A28" s="322" t="n">
        <v>11</v>
      </c>
      <c r="B28" s="207" t="inlineStr">
        <is>
          <t>91.15.02-023</t>
        </is>
      </c>
      <c r="C28" s="321" t="inlineStr">
        <is>
          <t>Тракторы на гусеничном ходу, мощность 59 кВт (80 л.с.)</t>
        </is>
      </c>
      <c r="D28" s="322" t="inlineStr">
        <is>
          <t>маш.-ч.</t>
        </is>
      </c>
      <c r="E28" s="407" t="n">
        <v>258.54</v>
      </c>
      <c r="F28" s="324" t="n">
        <v>77.2</v>
      </c>
      <c r="G28" s="203">
        <f>ROUND(E28*F28,2)</f>
        <v/>
      </c>
      <c r="H28" s="206">
        <f>G28/$G$33</f>
        <v/>
      </c>
      <c r="I28" s="203">
        <f>ROUND(F28*'Прил. 10'!$D$12,2)</f>
        <v/>
      </c>
      <c r="J28" s="203">
        <f>ROUND(I28*E28,2)</f>
        <v/>
      </c>
    </row>
    <row r="29" hidden="1" outlineLevel="1" ht="14.25" customFormat="1" customHeight="1" s="295">
      <c r="A29" s="322" t="n">
        <v>12</v>
      </c>
      <c r="B29" s="207" t="inlineStr">
        <is>
          <t>91.01.01-034</t>
        </is>
      </c>
      <c r="C29" s="321" t="inlineStr">
        <is>
          <t>Бульдозеры, мощность 59 кВт (80 л.с.)</t>
        </is>
      </c>
      <c r="D29" s="322" t="inlineStr">
        <is>
          <t>маш.-ч.</t>
        </is>
      </c>
      <c r="E29" s="407" t="n">
        <v>219.6288</v>
      </c>
      <c r="F29" s="324" t="n">
        <v>59.47</v>
      </c>
      <c r="G29" s="203">
        <f>ROUND(E29*F29,2)</f>
        <v/>
      </c>
      <c r="H29" s="206">
        <f>G29/$G$33</f>
        <v/>
      </c>
      <c r="I29" s="203">
        <f>ROUND(F29*'Прил. 10'!$D$12,2)</f>
        <v/>
      </c>
      <c r="J29" s="203">
        <f>ROUND(I29*E29,2)</f>
        <v/>
      </c>
    </row>
    <row r="30" hidden="1" outlineLevel="1" ht="14.25" customFormat="1" customHeight="1" s="295">
      <c r="A30" s="322" t="n">
        <v>13</v>
      </c>
      <c r="B30" s="207" t="inlineStr">
        <is>
          <t>91.01.01-039</t>
        </is>
      </c>
      <c r="C30" s="321" t="inlineStr">
        <is>
          <t>Бульдозеры, мощность 132 кВт (180 л.с.)</t>
        </is>
      </c>
      <c r="D30" s="322" t="inlineStr">
        <is>
          <t>маш.-ч.</t>
        </is>
      </c>
      <c r="E30" s="407" t="n">
        <v>60.264</v>
      </c>
      <c r="F30" s="324" t="n">
        <v>132.79</v>
      </c>
      <c r="G30" s="203">
        <f>ROUND(E30*F30,2)</f>
        <v/>
      </c>
      <c r="H30" s="206">
        <f>G30/$G$33</f>
        <v/>
      </c>
      <c r="I30" s="203">
        <f>ROUND(F30*'Прил. 10'!$D$12,2)</f>
        <v/>
      </c>
      <c r="J30" s="203">
        <f>ROUND(I30*E30,2)</f>
        <v/>
      </c>
    </row>
    <row r="31" hidden="1" outlineLevel="1" ht="14.25" customFormat="1" customHeight="1" s="295">
      <c r="A31" s="322" t="n">
        <v>14</v>
      </c>
      <c r="B31" s="207" t="inlineStr">
        <is>
          <t>91.12.06-012</t>
        </is>
      </c>
      <c r="C31" s="321" t="inlineStr">
        <is>
          <t>Рыхлители прицепные (без трактора)</t>
        </is>
      </c>
      <c r="D31" s="322" t="inlineStr">
        <is>
          <t>маш.-ч.</t>
        </is>
      </c>
      <c r="E31" s="407" t="n">
        <v>258.54</v>
      </c>
      <c r="F31" s="324" t="n">
        <v>8</v>
      </c>
      <c r="G31" s="203">
        <f>ROUND(E31*F31,2)</f>
        <v/>
      </c>
      <c r="H31" s="206">
        <f>G31/$G$33</f>
        <v/>
      </c>
      <c r="I31" s="203">
        <f>ROUND(F31*'Прил. 10'!$D$12,2)</f>
        <v/>
      </c>
      <c r="J31" s="203">
        <f>ROUND(I31*E31,2)</f>
        <v/>
      </c>
    </row>
    <row r="32" collapsed="1" ht="14.25" customFormat="1" customHeight="1" s="295">
      <c r="A32" s="322" t="n"/>
      <c r="B32" s="322" t="n"/>
      <c r="C32" s="321" t="inlineStr">
        <is>
          <t>Итого прочие машины и механизмы</t>
        </is>
      </c>
      <c r="D32" s="322" t="n"/>
      <c r="E32" s="323" t="n"/>
      <c r="F32" s="203" t="n"/>
      <c r="G32" s="195">
        <f>SUM(G25:G31)</f>
        <v/>
      </c>
      <c r="H32" s="206">
        <f>G32/G33</f>
        <v/>
      </c>
      <c r="I32" s="203" t="n"/>
      <c r="J32" s="203">
        <f>SUM(J25:J31)</f>
        <v/>
      </c>
    </row>
    <row r="33" ht="25.5" customFormat="1" customHeight="1" s="295">
      <c r="A33" s="322" t="n"/>
      <c r="B33" s="322" t="n"/>
      <c r="C33" s="326" t="inlineStr">
        <is>
          <t>Итого по разделу «Машины и механизмы»</t>
        </is>
      </c>
      <c r="D33" s="322" t="n"/>
      <c r="E33" s="323" t="n"/>
      <c r="F33" s="203" t="n"/>
      <c r="G33" s="203">
        <f>G32+G24</f>
        <v/>
      </c>
      <c r="H33" s="188" t="n">
        <v>1</v>
      </c>
      <c r="I33" s="189" t="n"/>
      <c r="J33" s="218">
        <f>J32+J24</f>
        <v/>
      </c>
    </row>
    <row r="34" ht="14.25" customFormat="1" customHeight="1" s="295">
      <c r="A34" s="322" t="n"/>
      <c r="B34" s="326" t="inlineStr">
        <is>
          <t>Оборудование</t>
        </is>
      </c>
      <c r="C34" s="401" t="n"/>
      <c r="D34" s="401" t="n"/>
      <c r="E34" s="401" t="n"/>
      <c r="F34" s="401" t="n"/>
      <c r="G34" s="401" t="n"/>
      <c r="H34" s="402" t="n"/>
      <c r="I34" s="194" t="n"/>
      <c r="J34" s="194" t="n"/>
    </row>
    <row r="35">
      <c r="A35" s="322" t="n"/>
      <c r="B35" s="321" t="inlineStr">
        <is>
          <t>Основное оборудование</t>
        </is>
      </c>
      <c r="C35" s="401" t="n"/>
      <c r="D35" s="401" t="n"/>
      <c r="E35" s="401" t="n"/>
      <c r="F35" s="401" t="n"/>
      <c r="G35" s="401" t="n"/>
      <c r="H35" s="402" t="n"/>
      <c r="I35" s="194" t="n"/>
      <c r="J35" s="194" t="n"/>
      <c r="K35" s="295" t="n"/>
      <c r="L35" s="295" t="n"/>
    </row>
    <row r="36">
      <c r="A36" s="322" t="n"/>
      <c r="B36" s="322" t="n"/>
      <c r="C36" s="321" t="inlineStr">
        <is>
          <t>Итого основное оборудование</t>
        </is>
      </c>
      <c r="D36" s="322" t="n"/>
      <c r="E36" s="407" t="n"/>
      <c r="F36" s="324" t="n"/>
      <c r="G36" s="203" t="n">
        <v>0</v>
      </c>
      <c r="H36" s="325" t="n">
        <v>0</v>
      </c>
      <c r="I36" s="195" t="n"/>
      <c r="J36" s="203" t="n">
        <v>0</v>
      </c>
      <c r="K36" s="295" t="n"/>
      <c r="L36" s="295" t="n"/>
    </row>
    <row r="37">
      <c r="A37" s="322" t="n"/>
      <c r="B37" s="322" t="n"/>
      <c r="C37" s="321" t="inlineStr">
        <is>
          <t>Итого прочее оборудование</t>
        </is>
      </c>
      <c r="D37" s="322" t="n"/>
      <c r="E37" s="407" t="n"/>
      <c r="F37" s="324" t="n"/>
      <c r="G37" s="203" t="n">
        <v>0</v>
      </c>
      <c r="H37" s="325" t="n">
        <v>0</v>
      </c>
      <c r="I37" s="195" t="n"/>
      <c r="J37" s="203" t="n">
        <v>0</v>
      </c>
      <c r="K37" s="295" t="n"/>
      <c r="L37" s="295" t="n"/>
    </row>
    <row r="38">
      <c r="A38" s="322" t="n"/>
      <c r="B38" s="322" t="n"/>
      <c r="C38" s="326" t="inlineStr">
        <is>
          <t>Итого по разделу «Оборудование»</t>
        </is>
      </c>
      <c r="D38" s="322" t="n"/>
      <c r="E38" s="323" t="n"/>
      <c r="F38" s="324" t="n"/>
      <c r="G38" s="203">
        <f>G36+G37</f>
        <v/>
      </c>
      <c r="H38" s="325" t="n">
        <v>0</v>
      </c>
      <c r="I38" s="195" t="n"/>
      <c r="J38" s="203">
        <f>J37+J36</f>
        <v/>
      </c>
      <c r="K38" s="295" t="n"/>
      <c r="L38" s="295" t="n"/>
    </row>
    <row r="39" ht="25.5" customHeight="1" s="297">
      <c r="A39" s="322" t="n"/>
      <c r="B39" s="322" t="n"/>
      <c r="C39" s="321" t="inlineStr">
        <is>
          <t>в том числе технологическое оборудование</t>
        </is>
      </c>
      <c r="D39" s="322" t="n"/>
      <c r="E39" s="408" t="n"/>
      <c r="F39" s="324" t="n"/>
      <c r="G39" s="203">
        <f>G38</f>
        <v/>
      </c>
      <c r="H39" s="325" t="n"/>
      <c r="I39" s="195" t="n"/>
      <c r="J39" s="203">
        <f>J38</f>
        <v/>
      </c>
      <c r="K39" s="295" t="n"/>
      <c r="L39" s="295" t="n"/>
    </row>
    <row r="40" ht="14.25" customFormat="1" customHeight="1" s="295">
      <c r="A40" s="322" t="n"/>
      <c r="B40" s="326" t="inlineStr">
        <is>
          <t>Материалы</t>
        </is>
      </c>
      <c r="C40" s="401" t="n"/>
      <c r="D40" s="401" t="n"/>
      <c r="E40" s="401" t="n"/>
      <c r="F40" s="401" t="n"/>
      <c r="G40" s="401" t="n"/>
      <c r="H40" s="402" t="n"/>
      <c r="I40" s="194" t="n"/>
      <c r="J40" s="194" t="n"/>
    </row>
    <row r="41" ht="14.25" customFormat="1" customHeight="1" s="295">
      <c r="A41" s="322" t="n"/>
      <c r="B41" s="321" t="inlineStr">
        <is>
          <t>Основные материалы</t>
        </is>
      </c>
      <c r="C41" s="401" t="n"/>
      <c r="D41" s="401" t="n"/>
      <c r="E41" s="401" t="n"/>
      <c r="F41" s="401" t="n"/>
      <c r="G41" s="401" t="n"/>
      <c r="H41" s="402" t="n"/>
      <c r="I41" s="194" t="n"/>
      <c r="J41" s="194" t="n"/>
    </row>
    <row r="42" collapsed="1" ht="25.5" customFormat="1" customHeight="1" s="295">
      <c r="A42" s="322" t="n">
        <v>15</v>
      </c>
      <c r="B42" s="207" t="inlineStr">
        <is>
          <t>02.2.05.04-1772</t>
        </is>
      </c>
      <c r="C42" s="321" t="inlineStr">
        <is>
          <t>Щебень М 600, фракция 25-70 мм, группа 2</t>
        </is>
      </c>
      <c r="D42" s="322" t="inlineStr">
        <is>
          <t>м3</t>
        </is>
      </c>
      <c r="E42" s="407" t="n">
        <v>11482.4</v>
      </c>
      <c r="F42" s="324" t="n">
        <v>114.13</v>
      </c>
      <c r="G42" s="203">
        <f>ROUND(E42*F42,2)</f>
        <v/>
      </c>
      <c r="H42" s="206">
        <f>G42/$G$46</f>
        <v/>
      </c>
      <c r="I42" s="203">
        <f>ROUND(F42*'Прил. 10'!$D$13,2)</f>
        <v/>
      </c>
      <c r="J42" s="203">
        <f>ROUND(I42*E42,2)</f>
        <v/>
      </c>
    </row>
    <row r="43" ht="14.25" customFormat="1" customHeight="1" s="295">
      <c r="A43" s="335" t="n"/>
      <c r="B43" s="212" t="n"/>
      <c r="C43" s="213" t="inlineStr">
        <is>
          <t>Итого основные материалы</t>
        </is>
      </c>
      <c r="D43" s="335" t="n"/>
      <c r="E43" s="409" t="n"/>
      <c r="F43" s="218" t="n"/>
      <c r="G43" s="218">
        <f>G42</f>
        <v/>
      </c>
      <c r="H43" s="188">
        <f>H42</f>
        <v/>
      </c>
      <c r="I43" s="218" t="n"/>
      <c r="J43" s="218">
        <f>J42</f>
        <v/>
      </c>
    </row>
    <row r="44" outlineLevel="1" collapsed="1" ht="14.25" customFormat="1" customHeight="1" s="295">
      <c r="A44" s="322" t="n">
        <v>16</v>
      </c>
      <c r="B44" s="207" t="inlineStr">
        <is>
          <t>01.7.03.01-0001</t>
        </is>
      </c>
      <c r="C44" s="321" t="inlineStr">
        <is>
          <t>Вода</t>
        </is>
      </c>
      <c r="D44" s="322" t="inlineStr">
        <is>
          <t>м3</t>
        </is>
      </c>
      <c r="E44" s="407" t="n">
        <v>1550</v>
      </c>
      <c r="F44" s="324" t="n">
        <v>2.44</v>
      </c>
      <c r="G44" s="203">
        <f>ROUND(E44*F44,2)</f>
        <v/>
      </c>
      <c r="H44" s="206">
        <f>G44/$G$46</f>
        <v/>
      </c>
      <c r="I44" s="203">
        <f>ROUND(F44*'Прил. 10'!$D$13,2)</f>
        <v/>
      </c>
      <c r="J44" s="203">
        <f>ROUND(I44*E44,2)</f>
        <v/>
      </c>
    </row>
    <row r="45" ht="14.25" customFormat="1" customHeight="1" s="295">
      <c r="A45" s="322" t="n"/>
      <c r="B45" s="322" t="n"/>
      <c r="C45" s="321" t="inlineStr">
        <is>
          <t>Итого прочие материалы</t>
        </is>
      </c>
      <c r="D45" s="322" t="n"/>
      <c r="E45" s="323" t="n"/>
      <c r="F45" s="324" t="n"/>
      <c r="G45" s="203">
        <f>G44</f>
        <v/>
      </c>
      <c r="H45" s="325">
        <f>H44</f>
        <v/>
      </c>
      <c r="I45" s="203" t="n"/>
      <c r="J45" s="203">
        <f>J44</f>
        <v/>
      </c>
    </row>
    <row r="46" ht="14.25" customFormat="1" customHeight="1" s="295">
      <c r="A46" s="322" t="n"/>
      <c r="B46" s="322" t="n"/>
      <c r="C46" s="326" t="inlineStr">
        <is>
          <t>Итого по разделу «Материалы»</t>
        </is>
      </c>
      <c r="D46" s="322" t="n"/>
      <c r="E46" s="323" t="n"/>
      <c r="F46" s="324" t="n"/>
      <c r="G46" s="203">
        <f>G43+G45</f>
        <v/>
      </c>
      <c r="H46" s="325" t="n"/>
      <c r="I46" s="203" t="n"/>
      <c r="J46" s="203">
        <f>J43+J45</f>
        <v/>
      </c>
    </row>
    <row r="47" ht="14.25" customFormat="1" customHeight="1" s="295">
      <c r="A47" s="322" t="n"/>
      <c r="B47" s="322" t="n"/>
      <c r="C47" s="321" t="inlineStr">
        <is>
          <t>ИТОГО ПО РМ</t>
        </is>
      </c>
      <c r="D47" s="322" t="n"/>
      <c r="E47" s="323" t="n"/>
      <c r="F47" s="324" t="n"/>
      <c r="G47" s="203">
        <f>G14+G33+G46</f>
        <v/>
      </c>
      <c r="H47" s="325" t="n"/>
      <c r="I47" s="203" t="n"/>
      <c r="J47" s="203">
        <f>J14+J33+J46</f>
        <v/>
      </c>
    </row>
    <row r="48" ht="14.25" customFormat="1" customHeight="1" s="295">
      <c r="A48" s="322" t="n"/>
      <c r="B48" s="322" t="n"/>
      <c r="C48" s="321" t="inlineStr">
        <is>
          <t>Накладные расходы</t>
        </is>
      </c>
      <c r="D48" s="197">
        <f>ROUND(G48/(G$16+$G$14),2)</f>
        <v/>
      </c>
      <c r="E48" s="323" t="n"/>
      <c r="F48" s="324" t="n"/>
      <c r="G48" s="203" t="n">
        <v>313347.36</v>
      </c>
      <c r="H48" s="325" t="n"/>
      <c r="I48" s="203" t="n"/>
      <c r="J48" s="203">
        <f>ROUND(D48*(J14+J16),2)</f>
        <v/>
      </c>
    </row>
    <row r="49" ht="14.25" customFormat="1" customHeight="1" s="295">
      <c r="A49" s="322" t="n"/>
      <c r="B49" s="322" t="n"/>
      <c r="C49" s="321" t="inlineStr">
        <is>
          <t>Сметная прибыль</t>
        </is>
      </c>
      <c r="D49" s="197">
        <f>ROUND(G49/(G$14+G$16),2)</f>
        <v/>
      </c>
      <c r="E49" s="323" t="n"/>
      <c r="F49" s="324" t="n"/>
      <c r="G49" s="203" t="n">
        <v>235637.38</v>
      </c>
      <c r="H49" s="325" t="n"/>
      <c r="I49" s="203" t="n"/>
      <c r="J49" s="203">
        <f>ROUND(D49*(J14+J16),2)</f>
        <v/>
      </c>
    </row>
    <row r="50" ht="14.25" customFormat="1" customHeight="1" s="295">
      <c r="A50" s="322" t="n"/>
      <c r="B50" s="322" t="n"/>
      <c r="C50" s="321" t="inlineStr">
        <is>
          <t>Итого СМР (с НР и СП)</t>
        </is>
      </c>
      <c r="D50" s="322" t="n"/>
      <c r="E50" s="323" t="n"/>
      <c r="F50" s="324" t="n"/>
      <c r="G50" s="203">
        <f>G14+G33+G46+G48+G49</f>
        <v/>
      </c>
      <c r="H50" s="325" t="n"/>
      <c r="I50" s="203" t="n"/>
      <c r="J50" s="203">
        <f>J14+J33+J46+J48+J49</f>
        <v/>
      </c>
    </row>
    <row r="51" ht="14.25" customFormat="1" customHeight="1" s="295">
      <c r="A51" s="322" t="n"/>
      <c r="B51" s="322" t="n"/>
      <c r="C51" s="321" t="inlineStr">
        <is>
          <t>ВСЕГО СМР + ОБОРУДОВАНИЕ</t>
        </is>
      </c>
      <c r="D51" s="322" t="n"/>
      <c r="E51" s="323" t="n"/>
      <c r="F51" s="324" t="n"/>
      <c r="G51" s="203">
        <f>G50+G38</f>
        <v/>
      </c>
      <c r="H51" s="325" t="n"/>
      <c r="I51" s="203" t="n"/>
      <c r="J51" s="203">
        <f>J50+J38</f>
        <v/>
      </c>
    </row>
    <row r="52" ht="34.5" customFormat="1" customHeight="1" s="295">
      <c r="A52" s="322" t="n"/>
      <c r="B52" s="322" t="n"/>
      <c r="C52" s="321" t="inlineStr">
        <is>
          <t>ИТОГО ПОКАЗАТЕЛЬ НА ЕД. ИЗМ.</t>
        </is>
      </c>
      <c r="D52" s="322" t="inlineStr">
        <is>
          <t>м2</t>
        </is>
      </c>
      <c r="E52" s="323" t="n">
        <v>90963</v>
      </c>
      <c r="F52" s="324" t="n"/>
      <c r="G52" s="203">
        <f>G51/E52</f>
        <v/>
      </c>
      <c r="H52" s="325" t="n"/>
      <c r="I52" s="203" t="n"/>
      <c r="J52" s="203">
        <f>J51/E52</f>
        <v/>
      </c>
    </row>
    <row r="54" ht="14.25" customFormat="1" customHeight="1" s="295">
      <c r="A54" s="285" t="inlineStr">
        <is>
          <t>Составил ______________________    А.П. Николаева</t>
        </is>
      </c>
    </row>
    <row r="55" ht="14.25" customFormat="1" customHeight="1" s="295">
      <c r="A55" s="294" t="inlineStr">
        <is>
          <t xml:space="preserve">                         (подпись, инициалы, фамилия)</t>
        </is>
      </c>
    </row>
    <row r="56" ht="14.25" customFormat="1" customHeight="1" s="295">
      <c r="A56" s="285" t="n"/>
    </row>
    <row r="57" ht="14.25" customFormat="1" customHeight="1" s="295">
      <c r="A57" s="285" t="inlineStr">
        <is>
          <t>Проверил ______________________        А.В. Костянецкая</t>
        </is>
      </c>
    </row>
    <row r="58" ht="14.25" customFormat="1" customHeight="1" s="295">
      <c r="A58" s="294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H2:J2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6" sqref="C16"/>
    </sheetView>
  </sheetViews>
  <sheetFormatPr baseColWidth="8" defaultRowHeight="15"/>
  <cols>
    <col width="5.7109375" customWidth="1" style="297" min="1" max="1"/>
    <col width="17.5703125" customWidth="1" style="297" min="2" max="2"/>
    <col width="39.140625" customWidth="1" style="297" min="3" max="3"/>
    <col width="10.7109375" customWidth="1" style="297" min="4" max="4"/>
    <col width="13.85546875" customWidth="1" style="297" min="5" max="5"/>
    <col width="13.28515625" customWidth="1" style="297" min="6" max="6"/>
    <col width="14.140625" customWidth="1" style="297" min="7" max="7"/>
  </cols>
  <sheetData>
    <row r="1">
      <c r="A1" s="337" t="inlineStr">
        <is>
          <t>Приложение №6</t>
        </is>
      </c>
    </row>
    <row r="2" ht="21.75" customHeight="1" s="297">
      <c r="A2" s="337" t="n"/>
      <c r="B2" s="337" t="n"/>
      <c r="C2" s="337" t="n"/>
      <c r="D2" s="337" t="n"/>
      <c r="E2" s="337" t="n"/>
      <c r="F2" s="337" t="n"/>
      <c r="G2" s="337" t="n"/>
    </row>
    <row r="3">
      <c r="A3" s="303" t="inlineStr">
        <is>
          <t>Расчет стоимости оборудования</t>
        </is>
      </c>
    </row>
    <row r="4" ht="25.5" customHeight="1" s="297">
      <c r="A4" s="306" t="inlineStr">
        <is>
          <t>Наименование разрабатываемого показателя УНЦ — Устройство вдольтрассового проезда</t>
        </is>
      </c>
    </row>
    <row r="5">
      <c r="A5" s="285" t="n"/>
      <c r="B5" s="285" t="n"/>
      <c r="C5" s="285" t="n"/>
      <c r="D5" s="285" t="n"/>
      <c r="E5" s="285" t="n"/>
      <c r="F5" s="285" t="n"/>
      <c r="G5" s="285" t="n"/>
    </row>
    <row r="6" ht="30" customHeight="1" s="297">
      <c r="A6" s="342" t="inlineStr">
        <is>
          <t>№ пп.</t>
        </is>
      </c>
      <c r="B6" s="342" t="inlineStr">
        <is>
          <t>Код ресурса</t>
        </is>
      </c>
      <c r="C6" s="342" t="inlineStr">
        <is>
          <t>Наименование</t>
        </is>
      </c>
      <c r="D6" s="342" t="inlineStr">
        <is>
          <t>Ед. изм.</t>
        </is>
      </c>
      <c r="E6" s="322" t="inlineStr">
        <is>
          <t>Кол-во единиц по проектным данным</t>
        </is>
      </c>
      <c r="F6" s="342" t="inlineStr">
        <is>
          <t>Сметная стоимость в ценах на 01.01.2000 (руб.)</t>
        </is>
      </c>
      <c r="G6" s="402" t="n"/>
    </row>
    <row r="7">
      <c r="A7" s="404" t="n"/>
      <c r="B7" s="404" t="n"/>
      <c r="C7" s="404" t="n"/>
      <c r="D7" s="404" t="n"/>
      <c r="E7" s="404" t="n"/>
      <c r="F7" s="322" t="inlineStr">
        <is>
          <t>на ед. изм.</t>
        </is>
      </c>
      <c r="G7" s="322" t="inlineStr">
        <is>
          <t>общая</t>
        </is>
      </c>
    </row>
    <row r="8">
      <c r="A8" s="322" t="n">
        <v>1</v>
      </c>
      <c r="B8" s="322" t="n">
        <v>2</v>
      </c>
      <c r="C8" s="322" t="n">
        <v>3</v>
      </c>
      <c r="D8" s="322" t="n">
        <v>4</v>
      </c>
      <c r="E8" s="322" t="n">
        <v>5</v>
      </c>
      <c r="F8" s="322" t="n">
        <v>6</v>
      </c>
      <c r="G8" s="322" t="n">
        <v>7</v>
      </c>
    </row>
    <row r="9" ht="15" customHeight="1" s="297">
      <c r="A9" s="254" t="n"/>
      <c r="B9" s="321" t="inlineStr">
        <is>
          <t>ИНЖЕНЕРНОЕ ОБОРУДОВАНИЕ</t>
        </is>
      </c>
      <c r="C9" s="401" t="n"/>
      <c r="D9" s="401" t="n"/>
      <c r="E9" s="401" t="n"/>
      <c r="F9" s="401" t="n"/>
      <c r="G9" s="402" t="n"/>
    </row>
    <row r="10" ht="27" customHeight="1" s="297">
      <c r="A10" s="322" t="n"/>
      <c r="B10" s="326" t="n"/>
      <c r="C10" s="321" t="inlineStr">
        <is>
          <t>ИТОГО ИНЖЕНЕРНОЕ ОБОРУДОВАНИЕ</t>
        </is>
      </c>
      <c r="D10" s="326" t="n"/>
      <c r="E10" s="142" t="n"/>
      <c r="F10" s="324" t="n"/>
      <c r="G10" s="324" t="n">
        <v>0</v>
      </c>
    </row>
    <row r="11">
      <c r="A11" s="322" t="n"/>
      <c r="B11" s="321" t="inlineStr">
        <is>
          <t>ТЕХНОЛОГИЧЕСКОЕ ОБОРУДОВАНИЕ</t>
        </is>
      </c>
      <c r="C11" s="401" t="n"/>
      <c r="D11" s="401" t="n"/>
      <c r="E11" s="401" t="n"/>
      <c r="F11" s="401" t="n"/>
      <c r="G11" s="402" t="n"/>
    </row>
    <row r="12" ht="25.5" customHeight="1" s="297">
      <c r="A12" s="322" t="n"/>
      <c r="B12" s="321" t="n"/>
      <c r="C12" s="321" t="inlineStr">
        <is>
          <t>ИТОГО ТЕХНОЛОГИЧЕСКОЕ ОБОРУДОВАНИЕ</t>
        </is>
      </c>
      <c r="D12" s="321" t="n"/>
      <c r="E12" s="341" t="n"/>
      <c r="F12" s="324" t="n"/>
      <c r="G12" s="203" t="n">
        <v>0</v>
      </c>
    </row>
    <row r="13" ht="19.5" customHeight="1" s="297">
      <c r="A13" s="322" t="n"/>
      <c r="B13" s="321" t="n"/>
      <c r="C13" s="321" t="inlineStr">
        <is>
          <t>Всего по разделу «Оборудование»</t>
        </is>
      </c>
      <c r="D13" s="321" t="n"/>
      <c r="E13" s="341" t="n"/>
      <c r="F13" s="324" t="n"/>
      <c r="G13" s="203">
        <f>G10+G12</f>
        <v/>
      </c>
    </row>
    <row r="14">
      <c r="A14" s="296" t="n"/>
      <c r="B14" s="291" t="n"/>
      <c r="C14" s="296" t="n"/>
      <c r="D14" s="296" t="n"/>
      <c r="E14" s="296" t="n"/>
      <c r="F14" s="296" t="n"/>
      <c r="G14" s="296" t="n"/>
    </row>
    <row r="15">
      <c r="A15" s="285" t="inlineStr">
        <is>
          <t>Составил ______________________    А.П. Николаева</t>
        </is>
      </c>
      <c r="B15" s="295" t="n"/>
      <c r="C15" s="295" t="n"/>
      <c r="D15" s="296" t="n"/>
      <c r="E15" s="296" t="n"/>
      <c r="F15" s="296" t="n"/>
      <c r="G15" s="296" t="n"/>
    </row>
    <row r="16">
      <c r="A16" s="294" t="inlineStr">
        <is>
          <t xml:space="preserve">                         (подпись, инициалы, фамилия)</t>
        </is>
      </c>
      <c r="B16" s="295" t="n"/>
      <c r="C16" s="295" t="n"/>
      <c r="D16" s="296" t="n"/>
      <c r="E16" s="296" t="n"/>
      <c r="F16" s="296" t="n"/>
      <c r="G16" s="296" t="n"/>
    </row>
    <row r="17">
      <c r="A17" s="285" t="n"/>
      <c r="B17" s="295" t="n"/>
      <c r="C17" s="295" t="n"/>
      <c r="D17" s="296" t="n"/>
      <c r="E17" s="296" t="n"/>
      <c r="F17" s="296" t="n"/>
      <c r="G17" s="296" t="n"/>
    </row>
    <row r="18">
      <c r="A18" s="285" t="inlineStr">
        <is>
          <t>Проверил ______________________        А.В. Костянецкая</t>
        </is>
      </c>
      <c r="B18" s="295" t="n"/>
      <c r="C18" s="295" t="n"/>
      <c r="D18" s="296" t="n"/>
      <c r="E18" s="296" t="n"/>
      <c r="F18" s="296" t="n"/>
      <c r="G18" s="296" t="n"/>
    </row>
    <row r="19">
      <c r="A19" s="294" t="inlineStr">
        <is>
          <t xml:space="preserve">                        (подпись, инициалы, фамилия)</t>
        </is>
      </c>
      <c r="B19" s="295" t="n"/>
      <c r="C19" s="295" t="n"/>
      <c r="D19" s="296" t="n"/>
      <c r="E19" s="296" t="n"/>
      <c r="F19" s="296" t="n"/>
      <c r="G19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9" sqref="B19"/>
    </sheetView>
  </sheetViews>
  <sheetFormatPr baseColWidth="8" defaultColWidth="8.85546875" defaultRowHeight="15"/>
  <cols>
    <col width="14.42578125" customWidth="1" style="297" min="1" max="1"/>
    <col width="29.7109375" customWidth="1" style="297" min="2" max="2"/>
    <col width="39.140625" customWidth="1" style="297" min="3" max="3"/>
    <col width="24.5703125" customWidth="1" style="297" min="4" max="4"/>
    <col width="8.85546875" customWidth="1" style="297" min="5" max="5"/>
  </cols>
  <sheetData>
    <row r="1">
      <c r="B1" s="285" t="n"/>
      <c r="C1" s="285" t="n"/>
      <c r="D1" s="337" t="inlineStr">
        <is>
          <t>Приложение №7</t>
        </is>
      </c>
    </row>
    <row r="2">
      <c r="A2" s="337" t="n"/>
      <c r="B2" s="337" t="n"/>
      <c r="C2" s="337" t="n"/>
      <c r="D2" s="337" t="n"/>
    </row>
    <row r="3" ht="24.75" customHeight="1" s="297">
      <c r="A3" s="303" t="inlineStr">
        <is>
          <t>Расчет показателя УНЦ</t>
        </is>
      </c>
    </row>
    <row r="4" ht="24.75" customHeight="1" s="297">
      <c r="A4" s="303" t="n"/>
      <c r="B4" s="303" t="n"/>
      <c r="C4" s="303" t="n"/>
      <c r="D4" s="303" t="n"/>
    </row>
    <row r="5" ht="24.6" customHeight="1" s="297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9.9" customHeight="1" s="297">
      <c r="A6" s="306" t="inlineStr">
        <is>
          <t>Единица измерения  — 1 м2</t>
        </is>
      </c>
      <c r="D6" s="306" t="n"/>
    </row>
    <row r="7">
      <c r="A7" s="285" t="n"/>
      <c r="B7" s="285" t="n"/>
      <c r="C7" s="285" t="n"/>
      <c r="D7" s="285" t="n"/>
    </row>
    <row r="8" ht="14.45" customHeight="1" s="297">
      <c r="A8" s="315" t="inlineStr">
        <is>
          <t>Код показателя</t>
        </is>
      </c>
      <c r="B8" s="315" t="inlineStr">
        <is>
          <t>Наименование показателя</t>
        </is>
      </c>
      <c r="C8" s="315" t="inlineStr">
        <is>
          <t>Наименование РМ, входящих в состав показателя</t>
        </is>
      </c>
      <c r="D8" s="315" t="inlineStr">
        <is>
          <t>Норматив цены на 01.01.2023, тыс.руб.</t>
        </is>
      </c>
    </row>
    <row r="9" ht="15" customHeight="1" s="297">
      <c r="A9" s="404" t="n"/>
      <c r="B9" s="404" t="n"/>
      <c r="C9" s="404" t="n"/>
      <c r="D9" s="404" t="n"/>
    </row>
    <row r="10">
      <c r="A10" s="322" t="n">
        <v>1</v>
      </c>
      <c r="B10" s="322" t="n">
        <v>2</v>
      </c>
      <c r="C10" s="322" t="n">
        <v>3</v>
      </c>
      <c r="D10" s="322" t="n">
        <v>4</v>
      </c>
    </row>
    <row r="11" ht="41.45" customHeight="1" s="297">
      <c r="A11" s="322" t="inlineStr">
        <is>
          <t>Л9-03</t>
        </is>
      </c>
      <c r="B11" s="322" t="inlineStr">
        <is>
          <t xml:space="preserve">УНЦ устройства лежневых дорог </t>
        </is>
      </c>
      <c r="C11" s="287">
        <f>D5</f>
        <v/>
      </c>
      <c r="D11" s="288">
        <f>'Прил.4 РМ'!C41/1000</f>
        <v/>
      </c>
      <c r="E11" s="289" t="n"/>
    </row>
    <row r="12">
      <c r="A12" s="296" t="n"/>
      <c r="B12" s="291" t="n"/>
      <c r="C12" s="296" t="n"/>
      <c r="D12" s="296" t="n"/>
    </row>
    <row r="13">
      <c r="A13" s="285" t="inlineStr">
        <is>
          <t>Составил ______________________      А.П. Николаева</t>
        </is>
      </c>
      <c r="B13" s="295" t="n"/>
      <c r="C13" s="295" t="n"/>
      <c r="D13" s="296" t="n"/>
    </row>
    <row r="14">
      <c r="A14" s="294" t="inlineStr">
        <is>
          <t xml:space="preserve">                         (подпись, инициалы, фамилия)</t>
        </is>
      </c>
      <c r="B14" s="295" t="n"/>
      <c r="C14" s="295" t="n"/>
      <c r="D14" s="296" t="n"/>
    </row>
    <row r="15">
      <c r="A15" s="285" t="n"/>
      <c r="B15" s="295" t="n"/>
      <c r="C15" s="295" t="n"/>
      <c r="D15" s="296" t="n"/>
    </row>
    <row r="16">
      <c r="A16" s="285" t="inlineStr">
        <is>
          <t>Проверил ______________________        А.В. Костянецкая</t>
        </is>
      </c>
      <c r="B16" s="295" t="n"/>
      <c r="C16" s="295" t="n"/>
      <c r="D16" s="296" t="n"/>
    </row>
    <row r="17">
      <c r="A17" s="294" t="inlineStr">
        <is>
          <t xml:space="preserve">                        (подпись, инициалы, фамилия)</t>
        </is>
      </c>
      <c r="B17" s="295" t="n"/>
      <c r="C17" s="295" t="n"/>
      <c r="D17" s="2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9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97" min="1" max="1"/>
    <col width="40.7109375" customWidth="1" style="297" min="2" max="2"/>
    <col width="37" customWidth="1" style="297" min="3" max="3"/>
    <col width="32" customWidth="1" style="297" min="4" max="4"/>
    <col width="9.140625" customWidth="1" style="297" min="5" max="5"/>
  </cols>
  <sheetData>
    <row r="4" ht="15.75" customHeight="1" s="297">
      <c r="B4" s="313" t="inlineStr">
        <is>
          <t>Приложение № 10</t>
        </is>
      </c>
    </row>
    <row r="5" ht="18.75" customHeight="1" s="297">
      <c r="B5" s="166" t="n"/>
    </row>
    <row r="6" ht="15.75" customHeight="1" s="297">
      <c r="B6" s="310" t="inlineStr">
        <is>
          <t>Используемые индексы изменений сметной стоимости и нормы сопутствующих затрат</t>
        </is>
      </c>
    </row>
    <row r="7">
      <c r="B7" s="343" t="n"/>
    </row>
    <row r="8">
      <c r="B8" s="343" t="n"/>
      <c r="C8" s="343" t="n"/>
      <c r="D8" s="343" t="n"/>
      <c r="E8" s="343" t="n"/>
    </row>
    <row r="9" ht="47.25" customHeight="1" s="297">
      <c r="B9" s="315" t="inlineStr">
        <is>
          <t>Наименование индекса / норм сопутствующих затрат</t>
        </is>
      </c>
      <c r="C9" s="315" t="inlineStr">
        <is>
          <t>Дата применения и обоснование индекса / норм сопутствующих затрат</t>
        </is>
      </c>
      <c r="D9" s="315" t="inlineStr">
        <is>
          <t>Размер индекса / норма сопутствующих затрат</t>
        </is>
      </c>
    </row>
    <row r="10" ht="15.75" customHeight="1" s="297">
      <c r="B10" s="315" t="n">
        <v>1</v>
      </c>
      <c r="C10" s="315" t="n">
        <v>2</v>
      </c>
      <c r="D10" s="315" t="n">
        <v>3</v>
      </c>
    </row>
    <row r="11" ht="45" customHeight="1" s="297">
      <c r="B11" s="315" t="inlineStr">
        <is>
          <t xml:space="preserve">Индекс изменения сметной стоимости на 1 квартал 2023 года. ОЗП </t>
        </is>
      </c>
      <c r="C11" s="315" t="inlineStr">
        <is>
          <t>Письмо Минстроя России от 01.04.2023г. №17772-ИФ/09 прил.9</t>
        </is>
      </c>
      <c r="D11" s="315" t="n">
        <v>46.83</v>
      </c>
    </row>
    <row r="12" ht="29.25" customHeight="1" s="297">
      <c r="B12" s="315" t="inlineStr">
        <is>
          <t>Индекс изменения сметной стоимости на 1 квартал 2023 года. ЭМ</t>
        </is>
      </c>
      <c r="C12" s="315" t="inlineStr">
        <is>
          <t>Письмо Минстроя России от 01.04.2023г. №17772-ИФ/09 прил.9</t>
        </is>
      </c>
      <c r="D12" s="315" t="n">
        <v>11.96</v>
      </c>
    </row>
    <row r="13" ht="29.25" customHeight="1" s="297">
      <c r="B13" s="315" t="inlineStr">
        <is>
          <t>Индекс изменения сметной стоимости на 1 квартал 2023 года. МАТ</t>
        </is>
      </c>
      <c r="C13" s="315" t="inlineStr">
        <is>
          <t>Письмо Минстроя России от 01.04.2023г. №17772-ИФ/09 прил.9</t>
        </is>
      </c>
      <c r="D13" s="315" t="n">
        <v>9.84</v>
      </c>
    </row>
    <row r="14" ht="30.75" customHeight="1" s="297">
      <c r="B14" s="31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15" t="n">
        <v>6.26</v>
      </c>
    </row>
    <row r="15" ht="89.25" customHeight="1" s="297">
      <c r="B15" s="315" t="inlineStr">
        <is>
          <t>Временные здания и сооружения</t>
        </is>
      </c>
      <c r="C15" s="31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297">
      <c r="B16" s="315" t="inlineStr">
        <is>
          <t>Дополнительные затраты при производстве строительно-монтажных работ в зимнее время</t>
        </is>
      </c>
      <c r="C16" s="31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0.01</v>
      </c>
    </row>
    <row r="17" ht="34.5" customHeight="1" s="297">
      <c r="B17" s="315" t="inlineStr">
        <is>
          <t>Пусконаладочные работы</t>
        </is>
      </c>
      <c r="C17" s="315" t="n"/>
      <c r="D17" s="315" t="n"/>
    </row>
    <row r="18" ht="31.5" customHeight="1" s="297">
      <c r="B18" s="315" t="inlineStr">
        <is>
          <t>Строительный контроль</t>
        </is>
      </c>
      <c r="C18" s="315" t="inlineStr">
        <is>
          <t>Постановление Правительства РФ от 21.06.10 г. № 468</t>
        </is>
      </c>
      <c r="D18" s="169" t="n">
        <v>0.0214</v>
      </c>
    </row>
    <row r="19" ht="31.5" customHeight="1" s="297">
      <c r="B19" s="315" t="inlineStr">
        <is>
          <t>Авторский надзор - 0,2%</t>
        </is>
      </c>
      <c r="C19" s="315" t="inlineStr">
        <is>
          <t>Приказ от 4.08.2020 № 421/пр п.173</t>
        </is>
      </c>
      <c r="D19" s="169" t="n">
        <v>0.002</v>
      </c>
    </row>
    <row r="20" ht="24" customHeight="1" s="297">
      <c r="B20" s="315" t="inlineStr">
        <is>
          <t>Непредвиденные расходы</t>
        </is>
      </c>
      <c r="C20" s="315" t="inlineStr">
        <is>
          <t>Приказ от 4.08.2020 № 421/пр п.179</t>
        </is>
      </c>
      <c r="D20" s="169" t="n">
        <v>0.03</v>
      </c>
    </row>
    <row r="21" ht="18.75" customHeight="1" s="297">
      <c r="B21" s="167" t="n"/>
    </row>
    <row r="22" ht="18.75" customHeight="1" s="297">
      <c r="B22" s="167" t="n"/>
    </row>
    <row r="23" ht="18.75" customHeight="1" s="297">
      <c r="B23" s="167" t="n"/>
    </row>
    <row r="24" ht="18.75" customHeight="1" s="297">
      <c r="B24" s="167" t="n"/>
    </row>
    <row r="27">
      <c r="B27" s="285" t="inlineStr">
        <is>
          <t>Составил ______________________        А.П. Николаева</t>
        </is>
      </c>
      <c r="C27" s="295" t="n"/>
    </row>
    <row r="28">
      <c r="B28" s="294" t="inlineStr">
        <is>
          <t xml:space="preserve">                         (подпись, инициалы, фамилия)</t>
        </is>
      </c>
      <c r="C28" s="295" t="n"/>
    </row>
    <row r="29">
      <c r="B29" s="285" t="n"/>
      <c r="C29" s="295" t="n"/>
    </row>
    <row r="30">
      <c r="B30" s="285" t="inlineStr">
        <is>
          <t>Проверил ______________________        А.В. Костянецкая</t>
        </is>
      </c>
      <c r="C30" s="295" t="n"/>
    </row>
    <row r="31">
      <c r="B31" s="294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97" min="2" max="2"/>
    <col width="13" customWidth="1" style="297" min="3" max="3"/>
    <col width="22.85546875" customWidth="1" style="297" min="4" max="4"/>
    <col width="21.5703125" customWidth="1" style="297" min="5" max="5"/>
    <col width="43.85546875" customWidth="1" style="297" min="6" max="6"/>
  </cols>
  <sheetData>
    <row r="1" s="297"/>
    <row r="2" ht="17.25" customHeight="1" s="297">
      <c r="A2" s="310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88" t="inlineStr">
        <is>
          <t>№ пп.</t>
        </is>
      </c>
      <c r="B5" s="388" t="inlineStr">
        <is>
          <t>Наименование элемента</t>
        </is>
      </c>
      <c r="C5" s="388" t="inlineStr">
        <is>
          <t>Обозначение</t>
        </is>
      </c>
      <c r="D5" s="388" t="inlineStr">
        <is>
          <t>Формула</t>
        </is>
      </c>
      <c r="E5" s="388" t="inlineStr">
        <is>
          <t>Величина элемента</t>
        </is>
      </c>
      <c r="F5" s="388" t="inlineStr">
        <is>
          <t>Наименования обосновывающих документов</t>
        </is>
      </c>
      <c r="G5" s="299" t="n"/>
    </row>
    <row r="6" ht="15.75" customHeight="1" s="297">
      <c r="A6" s="388" t="n">
        <v>1</v>
      </c>
      <c r="B6" s="388" t="n">
        <v>2</v>
      </c>
      <c r="C6" s="388" t="n">
        <v>3</v>
      </c>
      <c r="D6" s="388" t="n">
        <v>4</v>
      </c>
      <c r="E6" s="388" t="n">
        <v>5</v>
      </c>
      <c r="F6" s="388" t="n">
        <v>6</v>
      </c>
      <c r="G6" s="299" t="n"/>
    </row>
    <row r="7" ht="110.25" customHeight="1" s="297">
      <c r="A7" s="389" t="inlineStr">
        <is>
          <t>1.1</t>
        </is>
      </c>
      <c r="B7" s="3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1" t="inlineStr">
        <is>
          <t>С1ср</t>
        </is>
      </c>
      <c r="D7" s="391" t="inlineStr">
        <is>
          <t>-</t>
        </is>
      </c>
      <c r="E7" s="392" t="n">
        <v>47872.94</v>
      </c>
      <c r="F7" s="3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89" t="inlineStr">
        <is>
          <t>1.2</t>
        </is>
      </c>
      <c r="B8" s="390" t="inlineStr">
        <is>
          <t>Среднегодовое нормативное число часов работы одного рабочего в месяц, часы (ч.)</t>
        </is>
      </c>
      <c r="C8" s="391" t="inlineStr">
        <is>
          <t>tср</t>
        </is>
      </c>
      <c r="D8" s="391" t="inlineStr">
        <is>
          <t>1973ч/12мес.</t>
        </is>
      </c>
      <c r="E8" s="393">
        <f>1973/12</f>
        <v/>
      </c>
      <c r="F8" s="390" t="inlineStr">
        <is>
          <t>Производственный календарь 2023 год
(40-часов.неделя)</t>
        </is>
      </c>
      <c r="G8" s="301" t="n"/>
    </row>
    <row r="9" ht="15.75" customHeight="1" s="297">
      <c r="A9" s="389" t="inlineStr">
        <is>
          <t>1.3</t>
        </is>
      </c>
      <c r="B9" s="390" t="inlineStr">
        <is>
          <t>Коэффициент увеличения</t>
        </is>
      </c>
      <c r="C9" s="391" t="inlineStr">
        <is>
          <t>Кув</t>
        </is>
      </c>
      <c r="D9" s="391" t="inlineStr">
        <is>
          <t>-</t>
        </is>
      </c>
      <c r="E9" s="393" t="n">
        <v>1</v>
      </c>
      <c r="F9" s="390" t="n"/>
      <c r="G9" s="301" t="n"/>
    </row>
    <row r="10" ht="15.75" customHeight="1" s="297">
      <c r="A10" s="389" t="inlineStr">
        <is>
          <t>1.4</t>
        </is>
      </c>
      <c r="B10" s="390" t="inlineStr">
        <is>
          <t>Средний разряд работ</t>
        </is>
      </c>
      <c r="C10" s="391" t="n"/>
      <c r="D10" s="391" t="n"/>
      <c r="E10" s="410" t="n">
        <v>1.8</v>
      </c>
      <c r="F10" s="390" t="inlineStr">
        <is>
          <t>РТМ</t>
        </is>
      </c>
      <c r="G10" s="301" t="n"/>
    </row>
    <row r="11" ht="78.75" customHeight="1" s="297">
      <c r="A11" s="389" t="inlineStr">
        <is>
          <t>1.5</t>
        </is>
      </c>
      <c r="B11" s="390" t="inlineStr">
        <is>
          <t>Тарифный коэффициент среднего разряда работ</t>
        </is>
      </c>
      <c r="C11" s="391" t="inlineStr">
        <is>
          <t>КТ</t>
        </is>
      </c>
      <c r="D11" s="391" t="inlineStr">
        <is>
          <t>-</t>
        </is>
      </c>
      <c r="E11" s="411" t="n">
        <v>1.068</v>
      </c>
      <c r="F11" s="3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89" t="inlineStr">
        <is>
          <t>1.6</t>
        </is>
      </c>
      <c r="B12" s="396" t="inlineStr">
        <is>
          <t>Коэффициент инфляции, определяемый поквартально</t>
        </is>
      </c>
      <c r="C12" s="391" t="inlineStr">
        <is>
          <t>Кинф</t>
        </is>
      </c>
      <c r="D12" s="391" t="inlineStr">
        <is>
          <t>-</t>
        </is>
      </c>
      <c r="E12" s="412" t="n">
        <v>1.139</v>
      </c>
      <c r="F12" s="3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7">
      <c r="A13" s="389" t="inlineStr">
        <is>
          <t>1.7</t>
        </is>
      </c>
      <c r="B13" s="399" t="inlineStr">
        <is>
          <t>Размер средств на оплату труда рабочих-строителей в текущем уровне цен (ФОТр.тек.), руб/чел.-ч</t>
        </is>
      </c>
      <c r="C13" s="391" t="inlineStr">
        <is>
          <t>ФОТр.тек.</t>
        </is>
      </c>
      <c r="D13" s="391" t="inlineStr">
        <is>
          <t>(С1ср/tср*КТ*Т*Кув)*Кинф</t>
        </is>
      </c>
      <c r="E13" s="400">
        <f>((E7*E9/E8)*E11)*E12</f>
        <v/>
      </c>
      <c r="F13" s="39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2025-01-24T12:10:48Z</dcterms:modified>
  <cp:lastModifiedBy>Nikolay Ivanov</cp:lastModifiedBy>
  <cp:lastPrinted>2023-12-01T18:04:17Z</cp:lastPrinted>
</cp:coreProperties>
</file>