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4000" windowHeight="9735" tabRatio="891" firstSheet="0" activeTab="0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й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йцйу3йк">#REF!</definedName>
    <definedName name="йцйц">NA()</definedName>
    <definedName name="Ицпп">#REF!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йки">#REF!</definedName>
    <definedName name="Наименование_строительства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Toc132270798" localSheetId="0">'Прил.1 Сравнит табл'!$B$4</definedName>
    <definedName name="_Hlk133322969" localSheetId="1">'Прил.2 Расч стоим'!$B$4</definedName>
    <definedName name="_Toc132270799" localSheetId="2">Прил.3!$A$3</definedName>
    <definedName name="_xlnm.Print_Titles" localSheetId="2">'Прил.3'!$9:$11</definedName>
    <definedName name="_xlnm.Print_Area" localSheetId="2">'Прил.3'!$A$1:$H$102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РМ'!$A$1:$E$47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й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йки" localSheetId="4">#REF!</definedName>
    <definedName name="Наименование_строительства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ОБ'!$A$1:$J$115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й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йцйу3йк" localSheetId="6">#REF!</definedName>
    <definedName name="Ицпп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йки" localSheetId="6">#REF!</definedName>
    <definedName name="Наименование_строительства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9">
    <numFmt numFmtId="164" formatCode="_-* #,##0.00_-;\-* #,##0.00_-;_-* &quot;-&quot;??_-;_-@_-"/>
    <numFmt numFmtId="165" formatCode="#,##0.0"/>
    <numFmt numFmtId="166" formatCode="#,##0.000"/>
    <numFmt numFmtId="167" formatCode="0.0000"/>
    <numFmt numFmtId="168" formatCode="#,##0.0000"/>
    <numFmt numFmtId="169" formatCode="#,##0.00000"/>
    <numFmt numFmtId="170" formatCode="_-* #,##0.0\ _₽_-;\-* #,##0.0\ _₽_-;_-* &quot;-&quot;??\ _₽_-;_-@_-"/>
    <numFmt numFmtId="171" formatCode="#,##0.00_ ;\-#,##0.00\ "/>
    <numFmt numFmtId="172" formatCode="0.0_ ;\-0.0\ "/>
  </numFmts>
  <fonts count="22">
    <font>
      <name val="Calibri"/>
      <color rgb="FF000000"/>
      <sz val="11"/>
    </font>
    <font>
      <name val="Arial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9"/>
    </font>
    <font>
      <name val="Arial Cyr"/>
      <color rgb="FF0563C1"/>
      <sz val="10"/>
      <u val="single"/>
    </font>
    <font>
      <name val="Calibri"/>
      <color rgb="FF0563C1"/>
      <sz val="11"/>
      <u val="single"/>
    </font>
    <font>
      <name val="Calibri"/>
      <b val="1"/>
      <color rgb="FF000000"/>
      <sz val="11"/>
    </font>
    <font>
      <name val="Times New Roman"/>
      <color rgb="FF000000"/>
      <sz val="14"/>
    </font>
    <font>
      <name val="Times New Roman"/>
      <color rgb="FF000000"/>
      <sz val="12"/>
    </font>
    <font>
      <name val="Calibri"/>
      <color rgb="FF000000"/>
      <sz val="12"/>
    </font>
    <font>
      <name val="Arial"/>
      <i val="1"/>
      <color rgb="FF000000"/>
      <sz val="10"/>
    </font>
    <font>
      <name val="Calibri"/>
      <color rgb="FFE7E6E6"/>
      <sz val="11"/>
    </font>
    <font>
      <name val="Times New Roman"/>
      <color rgb="FF000000"/>
      <sz val="11"/>
    </font>
    <font>
      <name val="Calibri"/>
      <color rgb="FFFF0000"/>
      <sz val="11"/>
    </font>
    <font>
      <name val="Arial"/>
      <color rgb="FF000000"/>
      <sz val="8"/>
    </font>
    <font>
      <name val="Calibri"/>
      <color rgb="FFBFBFBF"/>
      <sz val="11"/>
    </font>
    <font>
      <name val="Times New Roman"/>
      <b val="1"/>
      <color rgb="FF000000"/>
      <sz val="14"/>
    </font>
    <font>
      <name val="Times New Roman"/>
      <color rgb="FF000000"/>
      <sz val="10"/>
    </font>
    <font>
      <name val="Times New Roman"/>
      <b val="1"/>
      <color rgb="FF000000"/>
      <sz val="12"/>
    </font>
    <font>
      <name val="Calibri"/>
      <b val="1"/>
      <color rgb="FF000000"/>
      <sz val="11"/>
      <vertAlign val="subscript"/>
    </font>
    <font>
      <name val="Calibri"/>
      <color rgb="FF000000"/>
      <sz val="11"/>
      <vertAlign val="subscript"/>
    </font>
  </fonts>
  <fills count="6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4BAC3"/>
        <bgColor rgb="FFFFFFFF"/>
      </patternFill>
    </fill>
    <fill>
      <patternFill patternType="solid">
        <fgColor rgb="FFD9E2F3"/>
        <bgColor rgb="FFFFFFFF"/>
      </patternFill>
    </fill>
    <fill>
      <patternFill patternType="solid">
        <fgColor rgb="FFFFFF00"/>
        <bgColor rgb="FFFFFFFF"/>
      </patternFill>
    </fill>
  </fills>
  <borders count="2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50">
    <xf numFmtId="0" fontId="0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2" fillId="0" borderId="2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2" fillId="0" borderId="0" pivotButton="0" quotePrefix="0" xfId="0"/>
    <xf numFmtId="0" fontId="2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justify" vertical="center"/>
    </xf>
    <xf numFmtId="164" fontId="0" fillId="0" borderId="0" pivotButton="0" quotePrefix="0" xfId="0"/>
    <xf numFmtId="4" fontId="0" fillId="0" borderId="0" pivotButton="0" quotePrefix="0" xfId="0"/>
    <xf numFmtId="0" fontId="2" fillId="0" borderId="0" applyAlignment="1" pivotButton="0" quotePrefix="0" xfId="0">
      <alignment vertical="center"/>
    </xf>
    <xf numFmtId="0" fontId="0" fillId="0" borderId="0" pivotButton="0" quotePrefix="0" xfId="0"/>
    <xf numFmtId="49" fontId="2" fillId="0" borderId="0" applyAlignment="1" pivotButton="0" quotePrefix="0" xfId="0">
      <alignment horizontal="left" vertical="center"/>
    </xf>
    <xf numFmtId="0" fontId="0" fillId="0" borderId="1" applyAlignment="1" pivotButton="0" quotePrefix="0" xfId="0">
      <alignment horizontal="center" vertical="center"/>
    </xf>
    <xf numFmtId="49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5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165" fontId="0" fillId="0" borderId="1" applyAlignment="1" pivotButton="0" quotePrefix="0" xfId="0">
      <alignment horizontal="center" vertical="center"/>
    </xf>
    <xf numFmtId="166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vertical="center" wrapText="1"/>
    </xf>
    <xf numFmtId="167" fontId="0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wrapText="1"/>
    </xf>
    <xf numFmtId="0" fontId="7" fillId="0" borderId="1" applyAlignment="1" pivotButton="0" quotePrefix="0" xfId="0">
      <alignment vertical="center" wrapText="1"/>
    </xf>
    <xf numFmtId="4" fontId="7" fillId="0" borderId="1" applyAlignment="1" pivotButton="0" quotePrefix="0" xfId="0">
      <alignment horizontal="center" vertical="center"/>
    </xf>
    <xf numFmtId="0" fontId="8" fillId="0" borderId="0" applyAlignment="1" pivotButton="0" quotePrefix="0" xfId="0">
      <alignment horizontal="right" vertical="center"/>
    </xf>
    <xf numFmtId="0" fontId="8" fillId="0" borderId="0" applyAlignment="1" pivotButton="0" quotePrefix="0" xfId="0">
      <alignment horizontal="justify" vertical="center"/>
    </xf>
    <xf numFmtId="0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justify" vertic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right"/>
    </xf>
    <xf numFmtId="164" fontId="2" fillId="0" borderId="1" applyAlignment="1" pivotButton="0" quotePrefix="0" xfId="0">
      <alignment horizontal="right" vertical="top" wrapText="1"/>
    </xf>
    <xf numFmtId="10" fontId="9" fillId="0" borderId="1" applyAlignment="1" pivotButton="0" quotePrefix="0" xfId="0">
      <alignment horizontal="center" vertical="center" wrapText="1"/>
    </xf>
    <xf numFmtId="49" fontId="0" fillId="0" borderId="0" pivotButton="0" quotePrefix="0" xfId="0"/>
    <xf numFmtId="4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9" fillId="0" borderId="1" applyAlignment="1" pivotButton="0" quotePrefix="0" xfId="0">
      <alignment horizontal="center" vertical="center" wrapText="1"/>
    </xf>
    <xf numFmtId="10" fontId="9" fillId="0" borderId="1" applyAlignment="1" pivotButton="0" quotePrefix="0" xfId="0">
      <alignment horizontal="center" vertical="center" wrapText="1"/>
    </xf>
    <xf numFmtId="49" fontId="2" fillId="0" borderId="1" applyAlignment="1" pivotButton="0" quotePrefix="0" xfId="0">
      <alignment horizontal="center" vertical="top" wrapText="1"/>
    </xf>
    <xf numFmtId="4" fontId="2" fillId="0" borderId="1" applyAlignment="1" pivotButton="0" quotePrefix="0" xfId="0">
      <alignment horizontal="right" vertical="top" wrapText="1"/>
    </xf>
    <xf numFmtId="1" fontId="2" fillId="0" borderId="1" applyAlignment="1" pivotButton="0" quotePrefix="0" xfId="0">
      <alignment horizontal="center" vertical="top" wrapText="1"/>
    </xf>
    <xf numFmtId="0" fontId="9" fillId="0" borderId="1" applyAlignment="1" pivotButton="0" quotePrefix="0" xfId="0">
      <alignment horizontal="center" vertical="center" wrapText="1"/>
    </xf>
    <xf numFmtId="0" fontId="10" fillId="0" borderId="1" applyAlignment="1" pivotButton="0" quotePrefix="0" xfId="0">
      <alignment horizontal="center" vertical="center" wrapText="1"/>
    </xf>
    <xf numFmtId="164" fontId="3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vertical="center" wrapText="1"/>
    </xf>
    <xf numFmtId="0" fontId="0" fillId="0" borderId="0" pivotButton="0" quotePrefix="0" xfId="0"/>
    <xf numFmtId="0" fontId="11" fillId="0" borderId="0" applyAlignment="1" pivotButton="0" quotePrefix="0" xfId="0">
      <alignment vertical="top"/>
    </xf>
    <xf numFmtId="0" fontId="2" fillId="0" borderId="1" applyAlignment="1" pivotButton="0" quotePrefix="0" xfId="0">
      <alignment vertical="center" wrapText="1"/>
    </xf>
    <xf numFmtId="4" fontId="2" fillId="0" borderId="1" applyAlignment="1" pivotButton="0" quotePrefix="0" xfId="0">
      <alignment horizontal="right" vertical="center"/>
    </xf>
    <xf numFmtId="10" fontId="2" fillId="0" borderId="1" applyAlignment="1" pivotButton="0" quotePrefix="0" xfId="0">
      <alignment vertical="center"/>
    </xf>
    <xf numFmtId="0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vertical="center" wrapText="1"/>
    </xf>
    <xf numFmtId="10" fontId="2" fillId="0" borderId="1" applyAlignment="1" pivotButton="0" quotePrefix="0" xfId="0">
      <alignment horizontal="right" vertical="center"/>
    </xf>
    <xf numFmtId="0" fontId="1" fillId="0" borderId="0" pivotButton="0" quotePrefix="0" xfId="0"/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pivotButton="0" quotePrefix="0" xfId="0"/>
    <xf numFmtId="0" fontId="2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10" fontId="2" fillId="0" borderId="0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right" vertical="center" wrapText="1"/>
    </xf>
    <xf numFmtId="164" fontId="1" fillId="0" borderId="0" pivotButton="0" quotePrefix="0" xfId="0"/>
    <xf numFmtId="168" fontId="2" fillId="0" borderId="1" applyAlignment="1" pivotButton="0" quotePrefix="0" xfId="0">
      <alignment horizontal="center" vertical="center" wrapText="1"/>
    </xf>
    <xf numFmtId="10" fontId="2" fillId="0" borderId="1" applyAlignment="1" pivotButton="0" quotePrefix="0" xfId="0">
      <alignment horizontal="right" vertical="center" wrapText="1"/>
    </xf>
    <xf numFmtId="49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169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3" fillId="0" borderId="3" applyAlignment="1" pivotButton="0" quotePrefix="0" xfId="0">
      <alignment horizontal="left" vertical="center" wrapText="1"/>
    </xf>
    <xf numFmtId="2" fontId="2" fillId="0" borderId="3" applyAlignment="1" pivotButton="0" quotePrefix="0" xfId="0">
      <alignment horizontal="center" vertical="center" wrapText="1"/>
    </xf>
    <xf numFmtId="4" fontId="2" fillId="0" borderId="3" applyAlignment="1" pivotButton="0" quotePrefix="0" xfId="0">
      <alignment horizontal="right" vertical="center" wrapText="1"/>
    </xf>
    <xf numFmtId="10" fontId="2" fillId="0" borderId="3" applyAlignment="1" pivotButton="0" quotePrefix="0" xfId="0">
      <alignment horizontal="right" vertical="center" wrapText="1"/>
    </xf>
    <xf numFmtId="0" fontId="2" fillId="0" borderId="4" applyAlignment="1" pivotButton="0" quotePrefix="0" xfId="0">
      <alignment horizontal="center" vertical="center" wrapText="1"/>
    </xf>
    <xf numFmtId="0" fontId="1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right" vertical="center" wrapText="1"/>
    </xf>
    <xf numFmtId="2" fontId="2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left" vertical="center" wrapText="1"/>
    </xf>
    <xf numFmtId="10" fontId="2" fillId="0" borderId="1" applyAlignment="1" pivotButton="0" quotePrefix="0" xfId="0">
      <alignment horizontal="right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center" vertical="center" wrapText="1"/>
    </xf>
    <xf numFmtId="10" fontId="1" fillId="0" borderId="0" pivotButton="0" quotePrefix="0" xfId="0"/>
    <xf numFmtId="4" fontId="1" fillId="0" borderId="0" pivotButton="0" quotePrefix="0" xfId="0"/>
    <xf numFmtId="4" fontId="2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49" fontId="2" fillId="0" borderId="1" applyAlignment="1" pivotButton="0" quotePrefix="0" xfId="0">
      <alignment horizontal="center" vertical="center" wrapText="1"/>
    </xf>
    <xf numFmtId="170" fontId="12" fillId="2" borderId="0" pivotButton="0" quotePrefix="0" xfId="0"/>
    <xf numFmtId="0" fontId="0" fillId="0" borderId="1" applyAlignment="1" pivotButton="0" quotePrefix="0" xfId="0">
      <alignment horizontal="center"/>
    </xf>
    <xf numFmtId="10" fontId="2" fillId="0" borderId="0" applyAlignment="1" applyProtection="1" pivotButton="0" quotePrefix="0" xfId="0">
      <alignment horizontal="center" vertical="center" wrapText="1"/>
      <protection locked="0" hidden="0"/>
    </xf>
    <xf numFmtId="0" fontId="8" fillId="0" borderId="0" applyAlignment="1" pivotButton="0" quotePrefix="0" xfId="0">
      <alignment horizontal="justify" vertical="center"/>
    </xf>
    <xf numFmtId="0" fontId="0" fillId="0" borderId="0" pivotButton="0" quotePrefix="0" xfId="0"/>
    <xf numFmtId="0" fontId="9" fillId="0" borderId="1" applyAlignment="1" pivotButton="0" quotePrefix="0" xfId="0">
      <alignment vertical="center" wrapText="1"/>
    </xf>
    <xf numFmtId="0" fontId="9" fillId="0" borderId="1" applyAlignment="1" pivotButton="0" quotePrefix="0" xfId="0">
      <alignment horizontal="justify" vertical="center" wrapText="1"/>
    </xf>
    <xf numFmtId="14" fontId="13" fillId="0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right"/>
    </xf>
    <xf numFmtId="0" fontId="0" fillId="3" borderId="5" applyAlignment="1" pivotButton="0" quotePrefix="0" xfId="0">
      <alignment horizontal="center" vertical="center" wrapText="1"/>
    </xf>
    <xf numFmtId="0" fontId="0" fillId="3" borderId="6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/>
    </xf>
    <xf numFmtId="167" fontId="0" fillId="4" borderId="8" applyAlignment="1" pivotButton="0" quotePrefix="0" xfId="0">
      <alignment horizontal="center" vertical="center"/>
    </xf>
    <xf numFmtId="167" fontId="0" fillId="0" borderId="8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/>
    </xf>
    <xf numFmtId="0" fontId="0" fillId="0" borderId="9" applyAlignment="1" pivotButton="0" quotePrefix="0" xfId="0">
      <alignment horizontal="center"/>
    </xf>
    <xf numFmtId="167" fontId="0" fillId="4" borderId="10" applyAlignment="1" pivotButton="0" quotePrefix="0" xfId="0">
      <alignment horizontal="center" vertical="center"/>
    </xf>
    <xf numFmtId="167" fontId="0" fillId="0" borderId="10" applyAlignment="1" pivotButton="0" quotePrefix="0" xfId="0">
      <alignment horizontal="center" vertical="center"/>
    </xf>
    <xf numFmtId="167" fontId="0" fillId="4" borderId="6" applyAlignment="1" pivotButton="0" quotePrefix="0" xfId="0">
      <alignment horizontal="center" vertical="center"/>
    </xf>
    <xf numFmtId="167" fontId="0" fillId="0" borderId="6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/>
    </xf>
    <xf numFmtId="0" fontId="0" fillId="4" borderId="10" applyAlignment="1" pivotButton="0" quotePrefix="0" xfId="0">
      <alignment horizontal="center" vertical="center"/>
    </xf>
    <xf numFmtId="0" fontId="14" fillId="0" borderId="10" applyAlignment="1" pivotButton="0" quotePrefix="0" xfId="0">
      <alignment horizontal="center" vertical="center"/>
    </xf>
    <xf numFmtId="0" fontId="14" fillId="0" borderId="10" applyAlignment="1" pivotButton="0" quotePrefix="0" xfId="0">
      <alignment horizontal="center" vertical="center"/>
    </xf>
    <xf numFmtId="0" fontId="0" fillId="0" borderId="0" pivotButton="0" quotePrefix="0" xfId="0"/>
    <xf numFmtId="0" fontId="0" fillId="5" borderId="0" pivotButton="0" quotePrefix="0" xfId="0"/>
    <xf numFmtId="0" fontId="0" fillId="0" borderId="0" pivotButton="0" quotePrefix="0" xfId="0"/>
    <xf numFmtId="0" fontId="9" fillId="0" borderId="0" pivotButton="0" quotePrefix="0" xfId="0"/>
    <xf numFmtId="0" fontId="8" fillId="0" borderId="0" applyAlignment="1" pivotButton="0" quotePrefix="0" xfId="0">
      <alignment horizontal="center" vertical="center"/>
    </xf>
    <xf numFmtId="49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vertical="center" wrapText="1"/>
    </xf>
    <xf numFmtId="0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vertical="center" wrapText="1"/>
    </xf>
    <xf numFmtId="0" fontId="9" fillId="0" borderId="0" applyAlignment="1" pivotButton="0" quotePrefix="0" xfId="0">
      <alignment vertical="center"/>
    </xf>
    <xf numFmtId="0" fontId="10" fillId="0" borderId="0" pivotButton="0" quotePrefix="0" xfId="0"/>
    <xf numFmtId="0" fontId="2" fillId="0" borderId="0" pivotButton="0" quotePrefix="0" xfId="0"/>
    <xf numFmtId="0" fontId="15" fillId="0" borderId="0" applyAlignment="1" pivotButton="0" quotePrefix="0" xfId="0">
      <alignment vertical="center"/>
    </xf>
    <xf numFmtId="171" fontId="16" fillId="0" borderId="0" pivotButton="0" quotePrefix="0" xfId="0"/>
    <xf numFmtId="0" fontId="0" fillId="0" borderId="0" pivotButton="0" quotePrefix="0" xfId="0"/>
    <xf numFmtId="0" fontId="11" fillId="0" borderId="0" applyAlignment="1" pivotButton="0" quotePrefix="0" xfId="0">
      <alignment vertical="top"/>
    </xf>
    <xf numFmtId="0" fontId="17" fillId="0" borderId="0" applyAlignment="1" pivotButton="0" quotePrefix="0" xfId="0">
      <alignment horizontal="center" vertical="center"/>
    </xf>
    <xf numFmtId="2" fontId="0" fillId="0" borderId="0" pivotButton="0" quotePrefix="0" xfId="0"/>
    <xf numFmtId="0" fontId="1" fillId="0" borderId="0" applyAlignment="1" pivotButton="0" quotePrefix="0" xfId="0">
      <alignment horizontal="left"/>
    </xf>
    <xf numFmtId="4" fontId="0" fillId="0" borderId="0" pivotButton="0" quotePrefix="0" xfId="0"/>
    <xf numFmtId="49" fontId="2" fillId="0" borderId="1" applyAlignment="1" pivotButton="0" quotePrefix="0" xfId="0">
      <alignment horizontal="center" vertical="top" wrapText="1"/>
    </xf>
    <xf numFmtId="0" fontId="2" fillId="0" borderId="1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center" vertical="top" wrapText="1"/>
    </xf>
    <xf numFmtId="49" fontId="2" fillId="0" borderId="1" applyAlignment="1" pivotButton="0" quotePrefix="0" xfId="0">
      <alignment horizontal="left" vertical="center" wrapText="1"/>
    </xf>
    <xf numFmtId="49" fontId="2" fillId="0" borderId="1" applyAlignment="1" pivotButton="0" quotePrefix="0" xfId="0">
      <alignment horizontal="left" vertical="center" wrapText="1"/>
    </xf>
    <xf numFmtId="49" fontId="2" fillId="0" borderId="1" applyAlignment="1" pivotButton="0" quotePrefix="0" xfId="0">
      <alignment horizontal="right" vertical="center" wrapText="1"/>
    </xf>
    <xf numFmtId="164" fontId="2" fillId="0" borderId="1" applyAlignment="1" pivotButton="0" quotePrefix="0" xfId="0">
      <alignment horizontal="center" vertical="center" wrapText="1"/>
    </xf>
    <xf numFmtId="164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center" wrapText="1"/>
    </xf>
    <xf numFmtId="2" fontId="13" fillId="0" borderId="1" applyAlignment="1" pivotButton="0" quotePrefix="0" xfId="0">
      <alignment horizontal="center" vertical="center" wrapText="1"/>
    </xf>
    <xf numFmtId="164" fontId="2" fillId="0" borderId="1" applyAlignment="1" pivotButton="0" quotePrefix="0" xfId="0">
      <alignment horizontal="center" vertical="center" wrapText="1"/>
    </xf>
    <xf numFmtId="164" fontId="2" fillId="0" borderId="1" applyAlignment="1" pivotButton="0" quotePrefix="0" xfId="0">
      <alignment horizontal="right" vertical="center" wrapText="1"/>
    </xf>
    <xf numFmtId="4" fontId="2" fillId="0" borderId="0" applyAlignment="1" pivotButton="0" quotePrefix="0" xfId="0">
      <alignment vertical="center" wrapText="1"/>
    </xf>
    <xf numFmtId="4" fontId="2" fillId="0" borderId="0" applyAlignment="1" pivotButton="0" quotePrefix="0" xfId="0">
      <alignment vertical="center"/>
    </xf>
    <xf numFmtId="0" fontId="3" fillId="0" borderId="1" applyAlignment="1" pivotButton="0" quotePrefix="0" xfId="0">
      <alignment horizontal="left" vertical="center" wrapText="1"/>
    </xf>
    <xf numFmtId="0" fontId="13" fillId="0" borderId="1" applyAlignment="1" pivotButton="0" quotePrefix="0" xfId="0">
      <alignment horizontal="center" vertical="center" wrapText="1"/>
    </xf>
    <xf numFmtId="0" fontId="18" fillId="0" borderId="1" applyAlignment="1" pivotButton="0" quotePrefix="0" xfId="0">
      <alignment horizontal="center" vertical="center" wrapText="1"/>
    </xf>
    <xf numFmtId="49" fontId="2" fillId="0" borderId="1" applyAlignment="1" pivotButton="0" quotePrefix="0" xfId="0">
      <alignment horizontal="center" vertical="top" wrapText="1"/>
    </xf>
    <xf numFmtId="0" fontId="2" fillId="0" borderId="1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center" vertical="top" wrapText="1"/>
    </xf>
    <xf numFmtId="0" fontId="2" fillId="0" borderId="1" applyAlignment="1" pivotButton="0" quotePrefix="0" xfId="0">
      <alignment horizontal="right" vertical="top" wrapText="1"/>
    </xf>
    <xf numFmtId="2" fontId="2" fillId="0" borderId="1" applyAlignment="1" pivotButton="0" quotePrefix="0" xfId="0">
      <alignment horizontal="right" vertical="top" wrapText="1"/>
    </xf>
    <xf numFmtId="49" fontId="1" fillId="0" borderId="0" pivotButton="0" quotePrefix="0" xfId="0"/>
    <xf numFmtId="0" fontId="9" fillId="0" borderId="1" applyAlignment="1" pivotButton="0" quotePrefix="0" xfId="0">
      <alignment horizontal="center" vertical="center" wrapText="1"/>
    </xf>
    <xf numFmtId="0" fontId="9" fillId="0" borderId="1" pivotButton="0" quotePrefix="0" xfId="0"/>
    <xf numFmtId="0" fontId="9" fillId="0" borderId="1" applyAlignment="1" pivotButton="0" quotePrefix="0" xfId="0">
      <alignment vertical="center" wrapText="1"/>
    </xf>
    <xf numFmtId="0" fontId="9" fillId="0" borderId="1" applyAlignment="1" pivotButton="0" quotePrefix="1" xfId="0">
      <alignment horizontal="center" vertical="center"/>
    </xf>
    <xf numFmtId="0" fontId="9" fillId="0" borderId="1" applyAlignment="1" pivotButton="0" quotePrefix="0" xfId="0">
      <alignment vertical="center" wrapText="1"/>
    </xf>
    <xf numFmtId="166" fontId="9" fillId="0" borderId="1" applyAlignment="1" pivotButton="0" quotePrefix="0" xfId="0">
      <alignment horizontal="right" vertical="center"/>
    </xf>
    <xf numFmtId="166" fontId="9" fillId="0" borderId="1" applyAlignment="1" pivotButton="0" quotePrefix="0" xfId="0">
      <alignment horizontal="right" vertical="center" wrapText="1"/>
    </xf>
    <xf numFmtId="166" fontId="19" fillId="0" borderId="1" applyAlignment="1" pivotButton="0" quotePrefix="0" xfId="0">
      <alignment vertical="center" wrapText="1"/>
    </xf>
    <xf numFmtId="166" fontId="19" fillId="0" borderId="1" applyAlignment="1" pivotButton="0" quotePrefix="0" xfId="0">
      <alignment vertical="center" wrapText="1"/>
    </xf>
    <xf numFmtId="0" fontId="0" fillId="0" borderId="0" pivotButton="0" quotePrefix="0" xfId="0"/>
    <xf numFmtId="0" fontId="2" fillId="0" borderId="0" pivotButton="0" quotePrefix="0" xfId="0"/>
    <xf numFmtId="0" fontId="2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center" vertical="center"/>
    </xf>
    <xf numFmtId="4" fontId="2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vertical="center" wrapText="1"/>
    </xf>
    <xf numFmtId="4" fontId="2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vertical="center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1" fillId="0" borderId="0" pivotButton="0" quotePrefix="0" xfId="0"/>
    <xf numFmtId="0" fontId="15" fillId="0" borderId="0" applyAlignment="1" pivotButton="0" quotePrefix="0" xfId="0">
      <alignment vertical="center"/>
    </xf>
    <xf numFmtId="0" fontId="9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172" fontId="0" fillId="2" borderId="0" pivotButton="0" quotePrefix="0" xfId="0"/>
    <xf numFmtId="170" fontId="0" fillId="0" borderId="0" pivotButton="0" quotePrefix="0" xfId="0"/>
    <xf numFmtId="0" fontId="9" fillId="0" borderId="0" applyAlignment="1" pivotButton="0" quotePrefix="0" xfId="0">
      <alignment horizontal="justify" vertical="center"/>
    </xf>
    <xf numFmtId="0" fontId="9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 wrapText="1"/>
    </xf>
    <xf numFmtId="0" fontId="19" fillId="0" borderId="1" applyAlignment="1" pivotButton="0" quotePrefix="0" xfId="0">
      <alignment horizontal="right" vertical="center" wrapText="1"/>
    </xf>
    <xf numFmtId="0" fontId="19" fillId="0" borderId="0" applyAlignment="1" pivotButton="0" quotePrefix="0" xfId="0">
      <alignment horizontal="center" vertical="center"/>
    </xf>
    <xf numFmtId="0" fontId="9" fillId="0" borderId="1" applyAlignment="1" pivotButton="0" quotePrefix="0" xfId="0">
      <alignment horizontal="center" vertical="center" wrapText="1"/>
    </xf>
    <xf numFmtId="0" fontId="3" fillId="0" borderId="4" applyAlignment="1" pivotButton="0" quotePrefix="0" xfId="0">
      <alignment horizontal="left" vertical="center" wrapText="1"/>
    </xf>
    <xf numFmtId="0" fontId="3" fillId="0" borderId="12" applyAlignment="1" pivotButton="0" quotePrefix="0" xfId="0">
      <alignment horizontal="left" vertical="center" wrapText="1"/>
    </xf>
    <xf numFmtId="49" fontId="2" fillId="0" borderId="0" applyAlignment="1" pivotButton="0" quotePrefix="0" xfId="0">
      <alignment horizontal="left" vertical="top" wrapText="1"/>
    </xf>
    <xf numFmtId="49" fontId="11" fillId="0" borderId="0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left" vertical="center" wrapText="1"/>
    </xf>
    <xf numFmtId="0" fontId="9" fillId="0" borderId="0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4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right" vertical="center" wrapText="1"/>
    </xf>
    <xf numFmtId="0" fontId="2" fillId="0" borderId="14" applyAlignment="1" pivotButton="0" quotePrefix="0" xfId="0">
      <alignment horizontal="left" vertical="center" wrapText="1"/>
    </xf>
    <xf numFmtId="0" fontId="3" fillId="0" borderId="14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left" vertical="center" wrapText="1"/>
    </xf>
    <xf numFmtId="0" fontId="3" fillId="0" borderId="15" applyAlignment="1" pivotButton="0" quotePrefix="0" xfId="0">
      <alignment horizontal="left" vertical="center" wrapText="1"/>
    </xf>
    <xf numFmtId="0" fontId="2" fillId="0" borderId="4" applyAlignment="1" pivotButton="0" quotePrefix="0" xfId="0">
      <alignment horizontal="center" vertical="center" wrapText="1"/>
    </xf>
    <xf numFmtId="0" fontId="2" fillId="0" borderId="13" applyAlignment="1" pivotButton="0" quotePrefix="0" xfId="0">
      <alignment horizontal="center" vertical="center" wrapText="1"/>
    </xf>
    <xf numFmtId="4" fontId="2" fillId="0" borderId="0" applyAlignment="1" pivotButton="0" quotePrefix="0" xfId="0">
      <alignment horizontal="left" vertical="center" wrapText="1"/>
    </xf>
    <xf numFmtId="0" fontId="2" fillId="0" borderId="3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4" applyAlignment="1" pivotButton="0" quotePrefix="0" xfId="0">
      <alignment horizontal="left" vertical="center" wrapText="1"/>
    </xf>
    <xf numFmtId="0" fontId="2" fillId="0" borderId="12" applyAlignment="1" pivotButton="0" quotePrefix="0" xfId="0">
      <alignment horizontal="left" vertical="center" wrapText="1"/>
    </xf>
    <xf numFmtId="0" fontId="2" fillId="0" borderId="13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4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right"/>
    </xf>
    <xf numFmtId="0" fontId="2" fillId="0" borderId="1" applyAlignment="1" pivotButton="0" quotePrefix="0" xfId="0">
      <alignment horizontal="center" vertical="top" wrapText="1"/>
    </xf>
    <xf numFmtId="0" fontId="7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/>
    </xf>
    <xf numFmtId="2" fontId="7" fillId="0" borderId="16" applyAlignment="1" pivotButton="0" quotePrefix="0" xfId="0">
      <alignment horizontal="center" wrapText="1"/>
    </xf>
    <xf numFmtId="0" fontId="0" fillId="0" borderId="17" applyAlignment="1" pivotButton="0" quotePrefix="0" xfId="0">
      <alignment horizontal="center" wrapText="1"/>
    </xf>
    <xf numFmtId="0" fontId="0" fillId="0" borderId="17" applyAlignment="1" pivotButton="0" quotePrefix="0" xfId="0">
      <alignment horizontal="center"/>
    </xf>
    <xf numFmtId="0" fontId="0" fillId="0" borderId="12" pivotButton="0" quotePrefix="0" xfId="0"/>
    <xf numFmtId="0" fontId="0" fillId="0" borderId="13" pivotButton="0" quotePrefix="0" xfId="0"/>
    <xf numFmtId="0" fontId="0" fillId="0" borderId="20" pivotButton="0" quotePrefix="0" xfId="0"/>
    <xf numFmtId="0" fontId="0" fillId="0" borderId="2" pivotButton="0" quotePrefix="0" xfId="0"/>
    <xf numFmtId="0" fontId="3" fillId="0" borderId="20" applyAlignment="1" pivotButton="0" quotePrefix="0" xfId="0">
      <alignment horizontal="left" vertical="center" wrapText="1"/>
    </xf>
    <xf numFmtId="0" fontId="0" fillId="0" borderId="15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G35"/>
  <sheetViews>
    <sheetView tabSelected="1" view="pageBreakPreview" topLeftCell="A11" zoomScale="60" zoomScaleNormal="100" workbookViewId="0">
      <selection activeCell="C30" sqref="C30"/>
    </sheetView>
  </sheetViews>
  <sheetFormatPr baseColWidth="8" defaultRowHeight="15"/>
  <cols>
    <col width="36.85546875" customWidth="1" style="198" min="3" max="3"/>
    <col width="39.42578125" customWidth="1" style="198" min="4" max="4"/>
    <col width="14.28515625" customWidth="1" style="198" min="7" max="7"/>
    <col width="15" customWidth="1" style="198" min="10" max="10"/>
  </cols>
  <sheetData>
    <row r="3" ht="15.75" customHeight="1" s="198">
      <c r="B3" s="202" t="inlineStr">
        <is>
          <t>Приложение № 1</t>
        </is>
      </c>
    </row>
    <row r="4" ht="18.75" customHeight="1" s="198">
      <c r="B4" s="203" t="inlineStr">
        <is>
          <t>Сравнительная таблица отбора объекта-представителя</t>
        </is>
      </c>
    </row>
    <row r="5" ht="84" customHeight="1" s="198">
      <c r="B5" s="204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198">
      <c r="B6" s="135" t="n"/>
      <c r="C6" s="135" t="n"/>
      <c r="D6" s="135" t="n"/>
    </row>
    <row r="7" ht="64.5" customHeight="1" s="198">
      <c r="B7" s="201" t="inlineStr">
        <is>
          <t>Наименование разрабатываемого показателя УНЦ - Устройство ледозащитных сооружений опор ВЛ</t>
        </is>
      </c>
    </row>
    <row r="8" ht="31.5" customHeight="1" s="198">
      <c r="B8" s="201" t="inlineStr">
        <is>
          <t>Сопоставимый уровень цен: 2 кв. 2017г</t>
        </is>
      </c>
    </row>
    <row r="9" ht="15.75" customHeight="1" s="198">
      <c r="B9" s="201" t="inlineStr">
        <is>
          <t>Единица измерения  — 1 опора</t>
        </is>
      </c>
    </row>
    <row r="10" ht="18.75" customHeight="1" s="198">
      <c r="B10" s="109" t="n"/>
    </row>
    <row r="11" ht="15.75" customHeight="1" s="198">
      <c r="B11" s="207" t="inlineStr">
        <is>
          <t>№ п/п</t>
        </is>
      </c>
      <c r="C11" s="207" t="inlineStr">
        <is>
          <t>Параметр</t>
        </is>
      </c>
      <c r="D11" s="207" t="inlineStr">
        <is>
          <t xml:space="preserve">Объект-представитель </t>
        </is>
      </c>
    </row>
    <row r="12" ht="31.5" customHeight="1" s="198">
      <c r="B12" s="207" t="n">
        <v>1</v>
      </c>
      <c r="C12" s="179" t="inlineStr">
        <is>
          <t>Наименование объекта-представителя</t>
        </is>
      </c>
      <c r="D12" s="167" t="inlineStr">
        <is>
          <t>ПС 220 кВ Славянская с ВЛ 220 кВ Ермак - Славянская №1, 2</t>
        </is>
      </c>
    </row>
    <row r="13" ht="31.5" customHeight="1" s="198">
      <c r="B13" s="207" t="n">
        <v>2</v>
      </c>
      <c r="C13" s="179" t="inlineStr">
        <is>
          <t>Наименование субъекта Российской Федерации</t>
        </is>
      </c>
      <c r="D13" s="168" t="inlineStr">
        <is>
          <t>Тазовский р-он, ЯНАО, Тюменская обл.</t>
        </is>
      </c>
    </row>
    <row r="14" ht="15.75" customHeight="1" s="198">
      <c r="B14" s="207" t="n">
        <v>3</v>
      </c>
      <c r="C14" s="179" t="inlineStr">
        <is>
          <t>Климатический район и подрайон</t>
        </is>
      </c>
      <c r="D14" s="168" t="inlineStr">
        <is>
          <t>IБ</t>
        </is>
      </c>
    </row>
    <row r="15" ht="15.75" customHeight="1" s="198">
      <c r="B15" s="207" t="n">
        <v>4</v>
      </c>
      <c r="C15" s="179" t="inlineStr">
        <is>
          <t>Мощность объекта</t>
        </is>
      </c>
      <c r="D15" s="167" t="n">
        <v>17</v>
      </c>
    </row>
    <row r="16" ht="94.5" customHeight="1" s="198">
      <c r="B16" s="207" t="n">
        <v>5</v>
      </c>
      <c r="C16" s="112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07" t="inlineStr">
        <is>
          <t>Сваи С35</t>
        </is>
      </c>
    </row>
    <row r="17" ht="78.75" customHeight="1" s="198">
      <c r="B17" s="207" t="n">
        <v>6</v>
      </c>
      <c r="C17" s="112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61">
        <f>SUM(D18:D21)</f>
        <v/>
      </c>
    </row>
    <row r="18" ht="15.75" customHeight="1" s="198">
      <c r="B18" s="136" t="inlineStr">
        <is>
          <t>6.1</t>
        </is>
      </c>
      <c r="C18" s="179" t="inlineStr">
        <is>
          <t>строительно-монтажные работы</t>
        </is>
      </c>
      <c r="D18" s="161">
        <f>'Прил.2 Расч стоим'!F13+'Прил.2 Расч стоим'!G13</f>
        <v/>
      </c>
    </row>
    <row r="19" ht="15.75" customHeight="1" s="198">
      <c r="B19" s="136" t="inlineStr">
        <is>
          <t>6.2</t>
        </is>
      </c>
      <c r="C19" s="179" t="inlineStr">
        <is>
          <t>оборудование и инвентарь</t>
        </is>
      </c>
      <c r="D19" s="161" t="n">
        <v>0</v>
      </c>
    </row>
    <row r="20" ht="15.75" customHeight="1" s="198">
      <c r="B20" s="136" t="inlineStr">
        <is>
          <t>6.3</t>
        </is>
      </c>
      <c r="C20" s="179" t="inlineStr">
        <is>
          <t>пусконаладочные работы</t>
        </is>
      </c>
      <c r="D20" s="161">
        <f>D19*0.07*0.8</f>
        <v/>
      </c>
    </row>
    <row r="21" ht="15.75" customHeight="1" s="198">
      <c r="B21" s="136" t="inlineStr">
        <is>
          <t>6.4</t>
        </is>
      </c>
      <c r="C21" s="179" t="inlineStr">
        <is>
          <t>прочие и лимитированные затраты</t>
        </is>
      </c>
      <c r="D21" s="161">
        <f>'Прил.2 Расч стоим'!I13</f>
        <v/>
      </c>
    </row>
    <row r="22" ht="15.75" customHeight="1" s="198">
      <c r="B22" s="207" t="n">
        <v>7</v>
      </c>
      <c r="C22" s="179" t="inlineStr">
        <is>
          <t>Сопоставимый уровень цен</t>
        </is>
      </c>
      <c r="D22" s="113" t="inlineStr">
        <is>
          <t>2 кв. 2017г</t>
        </is>
      </c>
      <c r="G22" s="148" t="n"/>
    </row>
    <row r="23" ht="110.25" customHeight="1" s="198">
      <c r="B23" s="207" t="n">
        <v>8</v>
      </c>
      <c r="C23" s="112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61">
        <f>'Прил.2 Расч стоим'!J14</f>
        <v/>
      </c>
    </row>
    <row r="24" ht="47.25" customHeight="1" s="198">
      <c r="B24" s="207" t="n">
        <v>9</v>
      </c>
      <c r="C24" s="112" t="inlineStr">
        <is>
          <t>Приведенная сметная стоимость на единицу мощности, тыс. руб. (строка 8/строку 4)</t>
        </is>
      </c>
      <c r="D24" s="161">
        <f>D23/D15</f>
        <v/>
      </c>
      <c r="G24" s="148" t="n"/>
    </row>
    <row r="25" hidden="1" ht="110.25" customHeight="1" s="198">
      <c r="B25" s="207" t="n">
        <v>10</v>
      </c>
      <c r="C25" s="179" t="inlineStr">
        <is>
          <t>Примечание</t>
        </is>
      </c>
      <c r="D25" s="179" t="inlineStr">
        <is>
          <t>Выбран объектом-представителем с учетом минимальной удельной стоимости. Исключены доп. затраты, связанные с усложненными условиями выполнения смр (стесненность, работа вблизи объектов под высоким напряжением)</t>
        </is>
      </c>
    </row>
    <row r="26" ht="37.5" customHeight="1" s="198">
      <c r="B26" s="140" t="n"/>
      <c r="C26" s="141" t="n"/>
      <c r="D26" s="141" t="n"/>
    </row>
    <row r="27" hidden="1" s="198">
      <c r="B27" s="185" t="inlineStr">
        <is>
          <t>Составил ______________________        Е.А. Князева</t>
        </is>
      </c>
      <c r="C27" s="195" t="n"/>
    </row>
    <row r="28" hidden="1" s="198">
      <c r="B28" s="196" t="inlineStr">
        <is>
          <t xml:space="preserve">                         (подпись, инициалы, фамилия)</t>
        </is>
      </c>
      <c r="C28" s="195" t="n"/>
    </row>
    <row r="29" hidden="1" s="198">
      <c r="B29" s="196" t="n"/>
      <c r="C29" s="195" t="n"/>
    </row>
    <row r="30">
      <c r="B30" s="185" t="inlineStr">
        <is>
          <t>Составил ______________________        Р.Р. Шагеева</t>
        </is>
      </c>
      <c r="C30" s="195" t="n"/>
    </row>
    <row r="31">
      <c r="B31" s="196" t="inlineStr">
        <is>
          <t xml:space="preserve">                         (подпись, инициалы, фамилия)</t>
        </is>
      </c>
      <c r="C31" s="195" t="n"/>
    </row>
    <row r="32">
      <c r="B32" s="185" t="n"/>
      <c r="C32" s="195" t="n"/>
    </row>
    <row r="33">
      <c r="B33" s="185" t="inlineStr">
        <is>
          <t>Проверил ______________________        А.В. Костянецкая</t>
        </is>
      </c>
      <c r="C33" s="195" t="n"/>
    </row>
    <row r="34">
      <c r="B34" s="196" t="inlineStr">
        <is>
          <t xml:space="preserve">                        (подпись, инициалы, фамилия)</t>
        </is>
      </c>
      <c r="C34" s="195" t="n"/>
    </row>
    <row r="35" ht="15.75" customHeight="1" s="198">
      <c r="B35" s="141" t="n"/>
      <c r="C35" s="141" t="n"/>
      <c r="D35" s="141" t="n"/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81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60" zoomScaleNormal="100" workbookViewId="0">
      <selection activeCell="E17" sqref="E17"/>
    </sheetView>
  </sheetViews>
  <sheetFormatPr baseColWidth="8" defaultRowHeight="15"/>
  <cols>
    <col width="5.5703125" customWidth="1" style="198" min="1" max="1"/>
    <col width="35.28515625" customWidth="1" style="198" min="3" max="3"/>
    <col width="13.85546875" customWidth="1" style="198" min="4" max="4"/>
    <col width="17.42578125" customWidth="1" style="198" min="5" max="5"/>
    <col width="12.7109375" customWidth="1" style="198" min="6" max="6"/>
    <col width="14.85546875" customWidth="1" style="198" min="7" max="7"/>
    <col width="16.7109375" customWidth="1" style="198" min="8" max="8"/>
    <col width="13" customWidth="1" style="198" min="9" max="10"/>
    <col width="18" customWidth="1" style="198" min="11" max="11"/>
  </cols>
  <sheetData>
    <row r="3" ht="15.75" customHeight="1" s="198">
      <c r="B3" s="202" t="inlineStr">
        <is>
          <t>Приложение № 2</t>
        </is>
      </c>
    </row>
    <row r="4" ht="15.75" customHeight="1" s="198">
      <c r="B4" s="206" t="inlineStr">
        <is>
          <t>Расчет стоимости основных видов работ для выбора объекта-представителя</t>
        </is>
      </c>
    </row>
    <row r="5" ht="15.75" customHeight="1" s="198">
      <c r="B5" s="44" t="n"/>
      <c r="C5" s="44" t="n"/>
      <c r="D5" s="44" t="n"/>
      <c r="E5" s="44" t="n"/>
      <c r="F5" s="44" t="n"/>
      <c r="G5" s="44" t="n"/>
      <c r="H5" s="44" t="n"/>
      <c r="I5" s="44" t="n"/>
      <c r="J5" s="44" t="n"/>
      <c r="K5" s="44" t="n"/>
    </row>
    <row r="6" ht="15.75" customHeight="1" s="198">
      <c r="B6" s="201">
        <f>'Прил.1 Сравнит табл'!B7</f>
        <v/>
      </c>
    </row>
    <row r="7" ht="15.75" customHeight="1" s="198">
      <c r="B7" s="201">
        <f>'Прил.1 Сравнит табл'!B9</f>
        <v/>
      </c>
    </row>
    <row r="8" ht="18.75" customHeight="1" s="198">
      <c r="B8" s="109" t="n"/>
    </row>
    <row r="9" ht="15.75" customHeight="1" s="198">
      <c r="B9" s="207" t="inlineStr">
        <is>
          <t>№ п/п</t>
        </is>
      </c>
      <c r="C9" s="207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07" t="inlineStr">
        <is>
          <t>Объект-представитель 1</t>
        </is>
      </c>
      <c r="E9" s="244" t="n"/>
      <c r="F9" s="244" t="n"/>
      <c r="G9" s="244" t="n"/>
      <c r="H9" s="244" t="n"/>
      <c r="I9" s="244" t="n"/>
      <c r="J9" s="245" t="n"/>
    </row>
    <row r="10" ht="15.75" customHeight="1" s="198">
      <c r="B10" s="246" t="n"/>
      <c r="C10" s="246" t="n"/>
      <c r="D10" s="207" t="inlineStr">
        <is>
          <t>Номер сметы</t>
        </is>
      </c>
      <c r="E10" s="207" t="inlineStr">
        <is>
          <t>Наименование сметы</t>
        </is>
      </c>
      <c r="F10" s="207" t="inlineStr">
        <is>
          <t>Сметная стоимость в уровне цен 2 кв. 2017 г., тыс. руб.</t>
        </is>
      </c>
      <c r="G10" s="244" t="n"/>
      <c r="H10" s="244" t="n"/>
      <c r="I10" s="244" t="n"/>
      <c r="J10" s="245" t="n"/>
    </row>
    <row r="11" ht="72.75" customHeight="1" s="198">
      <c r="B11" s="247" t="n"/>
      <c r="C11" s="247" t="n"/>
      <c r="D11" s="247" t="n"/>
      <c r="E11" s="247" t="n"/>
      <c r="F11" s="207" t="inlineStr">
        <is>
          <t>Строительные работы</t>
        </is>
      </c>
      <c r="G11" s="207" t="inlineStr">
        <is>
          <t>Монтажные работы</t>
        </is>
      </c>
      <c r="H11" s="207" t="inlineStr">
        <is>
          <t>Оборудование</t>
        </is>
      </c>
      <c r="I11" s="207" t="inlineStr">
        <is>
          <t>Прочее</t>
        </is>
      </c>
      <c r="J11" s="207" t="inlineStr">
        <is>
          <t>Всего</t>
        </is>
      </c>
    </row>
    <row r="12" ht="78.75" customHeight="1" s="198">
      <c r="B12" s="176" t="n">
        <v>1</v>
      </c>
      <c r="C12" s="179">
        <f>'Прил.1 Сравнит табл'!D16</f>
        <v/>
      </c>
      <c r="D12" s="178" t="inlineStr">
        <is>
          <t>02-13-01</t>
        </is>
      </c>
      <c r="E12" s="179" t="inlineStr">
        <is>
          <t xml:space="preserve">Сооружение ВЛ 220 кВ (ПС Ермак - Уг.35В. Строительная часть) (2 цепь) </t>
        </is>
      </c>
      <c r="F12" s="180">
        <f>6199360.44196/1000*9.36</f>
        <v/>
      </c>
      <c r="G12" s="180">
        <f>L12*L13+M12*M13+N12*N13</f>
        <v/>
      </c>
      <c r="H12" s="180">
        <f>O12*O13</f>
        <v/>
      </c>
      <c r="I12" s="180" t="n"/>
      <c r="J12" s="181">
        <f>SUM(F12:I12)</f>
        <v/>
      </c>
    </row>
    <row r="13" ht="15" customHeight="1" s="198">
      <c r="B13" s="205" t="inlineStr">
        <is>
          <t>Всего по объекту:</t>
        </is>
      </c>
      <c r="C13" s="244" t="n"/>
      <c r="D13" s="244" t="n"/>
      <c r="E13" s="245" t="n"/>
      <c r="F13" s="183">
        <f>SUM(F12:F12)</f>
        <v/>
      </c>
      <c r="G13" s="183">
        <f>SUM(G12:G12)</f>
        <v/>
      </c>
      <c r="H13" s="183">
        <f>SUM(H12:H12)</f>
        <v/>
      </c>
      <c r="I13" s="183">
        <f>(F13+G13)*3.9%+((F13+G13)*3.9%+F13+G13)*4.3%*1.5</f>
        <v/>
      </c>
      <c r="J13" s="183">
        <f>SUM(F13:I13)</f>
        <v/>
      </c>
    </row>
    <row r="14" ht="15.75" customHeight="1" s="198">
      <c r="B14" s="205" t="inlineStr">
        <is>
          <t>Всего по объекту в сопоставимом уровне цен 2 кв. 2017г:</t>
        </is>
      </c>
      <c r="C14" s="244" t="n"/>
      <c r="D14" s="244" t="n"/>
      <c r="E14" s="245" t="n"/>
      <c r="F14" s="183">
        <f>F13</f>
        <v/>
      </c>
      <c r="G14" s="183">
        <f>L12*L14+M12*M14+N12*N14</f>
        <v/>
      </c>
      <c r="H14" s="183">
        <f>H13</f>
        <v/>
      </c>
      <c r="I14" s="183">
        <f>(F14+G14)*3.9%+((F14+G14)*3.9%+F14+G14)*4.3%*1.5</f>
        <v/>
      </c>
      <c r="J14" s="183">
        <f>SUM(F14:I14)</f>
        <v/>
      </c>
    </row>
    <row r="18">
      <c r="C18" s="185" t="inlineStr">
        <is>
          <t>Составил ______________________        Р.Р. Шагеева</t>
        </is>
      </c>
      <c r="D18" s="195" t="n"/>
    </row>
    <row r="19">
      <c r="C19" s="196" t="inlineStr">
        <is>
          <t xml:space="preserve">                         (подпись, инициалы, фамилия)</t>
        </is>
      </c>
      <c r="D19" s="195" t="n"/>
    </row>
    <row r="20">
      <c r="C20" s="185" t="n"/>
      <c r="D20" s="195" t="n"/>
    </row>
    <row r="21">
      <c r="C21" s="185" t="inlineStr">
        <is>
          <t>Проверил ______________________        А.В. Костянецкая</t>
        </is>
      </c>
      <c r="D21" s="195" t="n"/>
    </row>
    <row r="22">
      <c r="C22" s="196" t="inlineStr">
        <is>
          <t xml:space="preserve">                        (подпись, инициалы, фамилия)</t>
        </is>
      </c>
      <c r="D22" s="195" t="n"/>
    </row>
  </sheetData>
  <mergeCells count="12"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3:K3"/>
    <mergeCell ref="B14:E14"/>
  </mergeCells>
  <pageMargins left="0.7" right="0.7" top="0.75" bottom="0.75" header="0.3" footer="0.3"/>
  <pageSetup orientation="portrait" paperSize="9" scale="52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96"/>
  <sheetViews>
    <sheetView view="pageBreakPreview" topLeftCell="A73" zoomScale="55" workbookViewId="0">
      <selection activeCell="D182" sqref="D182"/>
    </sheetView>
  </sheetViews>
  <sheetFormatPr baseColWidth="8" defaultRowHeight="15"/>
  <cols>
    <col width="12.5703125" customWidth="1" style="198" min="2" max="2"/>
    <col width="17" customWidth="1" style="198" min="3" max="3"/>
    <col width="49.7109375" customWidth="1" style="198" min="4" max="4"/>
    <col width="16.28515625" customWidth="1" style="198" min="5" max="5"/>
    <col width="20.7109375" customWidth="1" style="198" min="6" max="6"/>
    <col width="16.140625" customWidth="1" style="198" min="7" max="7"/>
    <col width="16.7109375" customWidth="1" style="198" min="8" max="8"/>
    <col width="4.5703125" customWidth="1" style="198" min="9" max="9"/>
    <col width="12.42578125" customWidth="1" style="198" min="10" max="10"/>
    <col width="13" customWidth="1" style="198" min="11" max="11"/>
    <col width="9.140625" customWidth="1" style="198" min="12" max="12"/>
  </cols>
  <sheetData>
    <row r="2" ht="15.75" customHeight="1" s="198">
      <c r="A2" s="202" t="inlineStr">
        <is>
          <t xml:space="preserve">Приложение № 3 </t>
        </is>
      </c>
    </row>
    <row r="3" ht="18.75" customHeight="1" s="198">
      <c r="A3" s="203" t="inlineStr">
        <is>
          <t>Объектная ресурсная ведомость</t>
        </is>
      </c>
    </row>
    <row r="4">
      <c r="B4" s="146" t="n"/>
    </row>
    <row r="5" ht="18.75" customHeight="1" s="198">
      <c r="A5" s="203" t="n"/>
      <c r="B5" s="203" t="n"/>
      <c r="C5" s="210" t="n"/>
    </row>
    <row r="6" ht="18.75" customHeight="1" s="198">
      <c r="A6" s="109" t="n"/>
    </row>
    <row r="7" ht="32.25" customHeight="1" s="198">
      <c r="A7" s="213">
        <f>'Прил.1 Сравнит табл'!B7</f>
        <v/>
      </c>
    </row>
    <row r="8" ht="15.75" customHeight="1" s="198">
      <c r="A8" s="45" t="n"/>
      <c r="B8" s="45" t="n"/>
      <c r="C8" s="45" t="n"/>
      <c r="D8" s="45" t="n"/>
      <c r="E8" s="45" t="n"/>
      <c r="F8" s="45" t="n"/>
      <c r="G8" s="45" t="n"/>
      <c r="H8" s="106" t="n"/>
    </row>
    <row r="9" ht="38.25" customHeight="1" s="198">
      <c r="A9" s="207" t="inlineStr">
        <is>
          <t>п/п</t>
        </is>
      </c>
      <c r="B9" s="207" t="inlineStr">
        <is>
          <t>№ЛСР</t>
        </is>
      </c>
      <c r="C9" s="207" t="inlineStr">
        <is>
          <t>Код ресурса</t>
        </is>
      </c>
      <c r="D9" s="207" t="inlineStr">
        <is>
          <t>Наименование ресурса</t>
        </is>
      </c>
      <c r="E9" s="207" t="inlineStr">
        <is>
          <t>Ед. изм.</t>
        </is>
      </c>
      <c r="F9" s="207" t="inlineStr">
        <is>
          <t>Кол-во единиц по данным объекта-представителя</t>
        </is>
      </c>
      <c r="G9" s="207" t="inlineStr">
        <is>
          <t>Сметная стоимость в ценах на 01.01.2000 (руб.)</t>
        </is>
      </c>
      <c r="H9" s="245" t="n"/>
    </row>
    <row r="10" ht="40.5" customHeight="1" s="198">
      <c r="A10" s="247" t="n"/>
      <c r="B10" s="247" t="n"/>
      <c r="C10" s="247" t="n"/>
      <c r="D10" s="247" t="n"/>
      <c r="E10" s="247" t="n"/>
      <c r="F10" s="247" t="n"/>
      <c r="G10" s="207" t="inlineStr">
        <is>
          <t>на ед.изм.</t>
        </is>
      </c>
      <c r="H10" s="207" t="inlineStr">
        <is>
          <t>общая</t>
        </is>
      </c>
    </row>
    <row r="11" ht="15.75" customHeight="1" s="198">
      <c r="A11" s="207" t="n">
        <v>1</v>
      </c>
      <c r="B11" s="58" t="n"/>
      <c r="C11" s="207" t="n">
        <v>2</v>
      </c>
      <c r="D11" s="207" t="inlineStr">
        <is>
          <t>З</t>
        </is>
      </c>
      <c r="E11" s="207" t="n">
        <v>4</v>
      </c>
      <c r="F11" s="207" t="n">
        <v>5</v>
      </c>
      <c r="G11" s="58" t="n">
        <v>6</v>
      </c>
      <c r="H11" s="58" t="n">
        <v>7</v>
      </c>
    </row>
    <row r="12" ht="15" customHeight="1" s="198">
      <c r="A12" s="208" t="inlineStr">
        <is>
          <t>Затраты труда рабочих</t>
        </is>
      </c>
      <c r="B12" s="244" t="n"/>
      <c r="C12" s="244" t="n"/>
      <c r="D12" s="244" t="n"/>
      <c r="E12" s="244" t="n"/>
      <c r="F12" s="59">
        <f>SUM(F13:F20)</f>
        <v/>
      </c>
      <c r="G12" s="60" t="n"/>
      <c r="H12" s="59">
        <f>SUM(H13:H20)</f>
        <v/>
      </c>
      <c r="J12" s="199" t="n"/>
      <c r="K12" s="150" t="n"/>
    </row>
    <row r="13">
      <c r="A13" s="169" t="n">
        <v>1</v>
      </c>
      <c r="B13" s="107" t="n"/>
      <c r="C13" s="169" t="inlineStr">
        <is>
          <t>1-3-9</t>
        </is>
      </c>
      <c r="D13" s="170" t="inlineStr">
        <is>
          <t>Затраты труда рабочих (ср 3,9)</t>
        </is>
      </c>
      <c r="E13" s="238" t="inlineStr">
        <is>
          <t>чел.-ч</t>
        </is>
      </c>
      <c r="F13" s="169" t="n">
        <v>2384.18</v>
      </c>
      <c r="G13" s="172" t="n">
        <v>9.51</v>
      </c>
      <c r="H13" s="173">
        <f>F13*G13</f>
        <v/>
      </c>
      <c r="J13" s="200" t="n"/>
    </row>
    <row r="14">
      <c r="A14" s="56">
        <f>A13+1</f>
        <v/>
      </c>
      <c r="B14" s="107" t="n"/>
      <c r="C14" s="169" t="inlineStr">
        <is>
          <t>1-4-0</t>
        </is>
      </c>
      <c r="D14" s="170" t="inlineStr">
        <is>
          <t>Затраты труда рабочих (ср 4)</t>
        </is>
      </c>
      <c r="E14" s="238" t="inlineStr">
        <is>
          <t>чел.-ч</t>
        </is>
      </c>
      <c r="F14" s="169" t="n">
        <v>2356.9</v>
      </c>
      <c r="G14" s="172" t="n">
        <v>9.619999999999999</v>
      </c>
      <c r="H14" s="173">
        <f>F14*G14</f>
        <v/>
      </c>
      <c r="J14" s="200" t="n"/>
    </row>
    <row r="15">
      <c r="A15" s="56">
        <f>A14+1</f>
        <v/>
      </c>
      <c r="B15" s="107" t="n"/>
      <c r="C15" s="169" t="inlineStr">
        <is>
          <t>1-3-6</t>
        </is>
      </c>
      <c r="D15" s="170" t="inlineStr">
        <is>
          <t>Затраты труда рабочих (ср 3,6)</t>
        </is>
      </c>
      <c r="E15" s="238" t="inlineStr">
        <is>
          <t>чел.-ч</t>
        </is>
      </c>
      <c r="F15" s="169" t="n">
        <v>1897.39</v>
      </c>
      <c r="G15" s="172" t="n">
        <v>9.18</v>
      </c>
      <c r="H15" s="173">
        <f>F15*G15</f>
        <v/>
      </c>
      <c r="J15" s="200" t="n"/>
    </row>
    <row r="16">
      <c r="A16" s="56">
        <f>A15+1</f>
        <v/>
      </c>
      <c r="B16" s="107" t="n"/>
      <c r="C16" s="169" t="inlineStr">
        <is>
          <t>1-3-5</t>
        </is>
      </c>
      <c r="D16" s="170" t="inlineStr">
        <is>
          <t>Затраты труда рабочих (ср 3,5)</t>
        </is>
      </c>
      <c r="E16" s="238" t="inlineStr">
        <is>
          <t>чел.-ч</t>
        </is>
      </c>
      <c r="F16" s="169" t="n">
        <v>1608.39</v>
      </c>
      <c r="G16" s="172" t="n">
        <v>9.07</v>
      </c>
      <c r="H16" s="173">
        <f>F16*G16</f>
        <v/>
      </c>
      <c r="J16" s="200" t="n"/>
    </row>
    <row r="17">
      <c r="A17" s="56">
        <f>A16+1</f>
        <v/>
      </c>
      <c r="B17" s="107" t="n"/>
      <c r="C17" s="169" t="inlineStr">
        <is>
          <t>1-3-0</t>
        </is>
      </c>
      <c r="D17" s="170" t="inlineStr">
        <is>
          <t>Затраты труда рабочих (ср 3)</t>
        </is>
      </c>
      <c r="E17" s="238" t="inlineStr">
        <is>
          <t>чел.-ч</t>
        </is>
      </c>
      <c r="F17" s="169" t="n">
        <v>1632.8</v>
      </c>
      <c r="G17" s="172" t="n">
        <v>8.529999999999999</v>
      </c>
      <c r="H17" s="173">
        <f>F17*G17</f>
        <v/>
      </c>
      <c r="J17" s="200" t="n"/>
    </row>
    <row r="18">
      <c r="A18" s="56">
        <f>A17+1</f>
        <v/>
      </c>
      <c r="B18" s="107" t="n"/>
      <c r="C18" s="169" t="inlineStr">
        <is>
          <t>1-2-0</t>
        </is>
      </c>
      <c r="D18" s="170" t="inlineStr">
        <is>
          <t>Затраты труда рабочих (ср 2)</t>
        </is>
      </c>
      <c r="E18" s="238" t="inlineStr">
        <is>
          <t>чел.-ч</t>
        </is>
      </c>
      <c r="F18" s="169" t="n">
        <v>1481.45</v>
      </c>
      <c r="G18" s="172" t="n">
        <v>7.8</v>
      </c>
      <c r="H18" s="173">
        <f>F18*G18</f>
        <v/>
      </c>
      <c r="J18" s="200" t="n"/>
    </row>
    <row r="19">
      <c r="A19" s="56">
        <f>A18+1</f>
        <v/>
      </c>
      <c r="B19" s="107" t="n"/>
      <c r="C19" s="169" t="inlineStr">
        <is>
          <t>1-1-5</t>
        </is>
      </c>
      <c r="D19" s="170" t="inlineStr">
        <is>
          <t>Затраты труда рабочих (ср 1,5)</t>
        </is>
      </c>
      <c r="E19" s="238" t="inlineStr">
        <is>
          <t>чел.-ч</t>
        </is>
      </c>
      <c r="F19" s="169" t="n">
        <v>1194.06</v>
      </c>
      <c r="G19" s="172" t="n">
        <v>7.5</v>
      </c>
      <c r="H19" s="173">
        <f>F19*G19</f>
        <v/>
      </c>
      <c r="J19" s="200" t="n"/>
    </row>
    <row r="20">
      <c r="A20" s="56">
        <f>A19+1</f>
        <v/>
      </c>
      <c r="B20" s="107" t="n"/>
      <c r="C20" s="169" t="inlineStr">
        <is>
          <t>1-3-2</t>
        </is>
      </c>
      <c r="D20" s="170" t="inlineStr">
        <is>
          <t>Затраты труда рабочих (ср 3,2)</t>
        </is>
      </c>
      <c r="E20" s="238" t="inlineStr">
        <is>
          <t>чел.-ч</t>
        </is>
      </c>
      <c r="F20" s="169" t="n">
        <v>547.79</v>
      </c>
      <c r="G20" s="172" t="n">
        <v>8.74</v>
      </c>
      <c r="H20" s="173">
        <f>F20*G20</f>
        <v/>
      </c>
      <c r="J20" s="200" t="n"/>
    </row>
    <row r="21" ht="15" customHeight="1" s="198">
      <c r="A21" s="212" t="inlineStr">
        <is>
          <t>Затраты труда машинистов</t>
        </is>
      </c>
      <c r="B21" s="244" t="n"/>
      <c r="C21" s="244" t="n"/>
      <c r="D21" s="244" t="n"/>
      <c r="E21" s="245" t="n"/>
      <c r="F21" s="60" t="n"/>
      <c r="G21" s="60" t="n"/>
      <c r="H21" s="59">
        <f>H22</f>
        <v/>
      </c>
    </row>
    <row r="22">
      <c r="A22" s="56">
        <f>A20+1</f>
        <v/>
      </c>
      <c r="B22" s="107" t="n"/>
      <c r="C22" s="169" t="n">
        <v>2</v>
      </c>
      <c r="D22" s="170" t="inlineStr">
        <is>
          <t>Затраты труда машинистов</t>
        </is>
      </c>
      <c r="E22" s="238" t="inlineStr">
        <is>
          <t>чел.-ч</t>
        </is>
      </c>
      <c r="F22" s="169" t="inlineStr">
        <is>
          <t>3517,95</t>
        </is>
      </c>
      <c r="G22" s="55" t="n"/>
      <c r="H22" s="47" t="n">
        <v>48786.6</v>
      </c>
      <c r="L22" s="49" t="n"/>
    </row>
    <row r="23" ht="15" customHeight="1" s="198">
      <c r="A23" s="212" t="inlineStr">
        <is>
          <t>Машины и механизмы</t>
        </is>
      </c>
      <c r="B23" s="244" t="n"/>
      <c r="C23" s="244" t="n"/>
      <c r="D23" s="244" t="n"/>
      <c r="E23" s="245" t="n"/>
      <c r="F23" s="60" t="n"/>
      <c r="G23" s="60" t="n"/>
      <c r="H23" s="59">
        <f>SUM(H24:H45)</f>
        <v/>
      </c>
      <c r="K23" s="150" t="n"/>
    </row>
    <row r="24" ht="25.5" customHeight="1" s="198">
      <c r="A24" s="169">
        <f>A22+1</f>
        <v/>
      </c>
      <c r="B24" s="107" t="n"/>
      <c r="C24" s="169" t="inlineStr">
        <is>
          <t>91.02.02-003</t>
        </is>
      </c>
      <c r="D24" s="170" t="inlineStr">
        <is>
          <t>Агрегаты копровые без дизель-молота на базе экскаватора: 1 м3</t>
        </is>
      </c>
      <c r="E24" s="238" t="inlineStr">
        <is>
          <t>маш.час</t>
        </is>
      </c>
      <c r="F24" s="169" t="n">
        <v>982.4299999999999</v>
      </c>
      <c r="G24" s="172" t="n">
        <v>200.67</v>
      </c>
      <c r="H24" s="55">
        <f>ROUND(F24*G24,2)</f>
        <v/>
      </c>
    </row>
    <row r="25" ht="38.25" customHeight="1" s="198">
      <c r="A25" s="169">
        <f>A24+1</f>
        <v/>
      </c>
      <c r="B25" s="107" t="n"/>
      <c r="C25" s="169" t="inlineStr">
        <is>
          <t>91.04.01-021</t>
        </is>
      </c>
      <c r="D25" s="170" t="inlineStr">
        <is>
          <t>Комплекты оборудования шнекового бурения на базе автомобиля глубина бурения до 50 м, грузоподъемность мачты 3,7 т</t>
        </is>
      </c>
      <c r="E25" s="238" t="inlineStr">
        <is>
          <t>маш.час</t>
        </is>
      </c>
      <c r="F25" s="169" t="n">
        <v>1198.76</v>
      </c>
      <c r="G25" s="172" t="n">
        <v>87.59999999999999</v>
      </c>
      <c r="H25" s="55">
        <f>ROUND(F25*G25,2)</f>
        <v/>
      </c>
    </row>
    <row r="26">
      <c r="A26" s="169">
        <f>A25+1</f>
        <v/>
      </c>
      <c r="B26" s="107" t="n"/>
      <c r="C26" s="169" t="inlineStr">
        <is>
          <t>91.02.03-024</t>
        </is>
      </c>
      <c r="D26" s="170" t="inlineStr">
        <is>
          <t>Дизель-молоты: 2,5 т</t>
        </is>
      </c>
      <c r="E26" s="238" t="inlineStr">
        <is>
          <t>маш.час</t>
        </is>
      </c>
      <c r="F26" s="169" t="n">
        <v>982.4299999999999</v>
      </c>
      <c r="G26" s="172" t="n">
        <v>70.67</v>
      </c>
      <c r="H26" s="55">
        <f>ROUND(F26*G26,2)</f>
        <v/>
      </c>
    </row>
    <row r="27">
      <c r="A27" s="169">
        <f>A26+1</f>
        <v/>
      </c>
      <c r="B27" s="107" t="n"/>
      <c r="C27" s="169" t="inlineStr">
        <is>
          <t>91.05.06-007</t>
        </is>
      </c>
      <c r="D27" s="170" t="inlineStr">
        <is>
          <t>Краны на гусеничном ходу, грузоподъемность 25 т</t>
        </is>
      </c>
      <c r="E27" s="238" t="inlineStr">
        <is>
          <t>маш.час</t>
        </is>
      </c>
      <c r="F27" s="169" t="n">
        <v>311.53</v>
      </c>
      <c r="G27" s="172" t="n">
        <v>120.04</v>
      </c>
      <c r="H27" s="55">
        <f>ROUND(F27*G27,2)</f>
        <v/>
      </c>
    </row>
    <row r="28" ht="25.5" customHeight="1" s="198">
      <c r="A28" s="169">
        <f>A27+1</f>
        <v/>
      </c>
      <c r="B28" s="107" t="n"/>
      <c r="C28" s="169" t="inlineStr">
        <is>
          <t>91.10.05-001</t>
        </is>
      </c>
      <c r="D28" s="170" t="inlineStr">
        <is>
          <t>Трубоукладчики для труб диаметром: 800-1000 мм, грузоподъемность 35 т</t>
        </is>
      </c>
      <c r="E28" s="238" t="inlineStr">
        <is>
          <t>маш.час</t>
        </is>
      </c>
      <c r="F28" s="169" t="n">
        <v>203.21</v>
      </c>
      <c r="G28" s="172" t="n">
        <v>175.35</v>
      </c>
      <c r="H28" s="55">
        <f>ROUND(F28*G28,2)</f>
        <v/>
      </c>
    </row>
    <row r="29" ht="25.5" customHeight="1" s="198">
      <c r="A29" s="169">
        <f>A28+1</f>
        <v/>
      </c>
      <c r="B29" s="107" t="n"/>
      <c r="C29" s="169" t="inlineStr">
        <is>
          <t>91.05.05-014</t>
        </is>
      </c>
      <c r="D29" s="170" t="inlineStr">
        <is>
          <t>Краны на автомобильном ходу, грузоподъемность 10 т</t>
        </is>
      </c>
      <c r="E29" s="238" t="inlineStr">
        <is>
          <t>маш.час</t>
        </is>
      </c>
      <c r="F29" s="169" t="n">
        <v>242</v>
      </c>
      <c r="G29" s="172" t="n">
        <v>111.99</v>
      </c>
      <c r="H29" s="55">
        <f>ROUND(F29*G29,2)</f>
        <v/>
      </c>
    </row>
    <row r="30" ht="38.25" customHeight="1" s="198">
      <c r="A30" s="169">
        <f>A29+1</f>
        <v/>
      </c>
      <c r="B30" s="107" t="n"/>
      <c r="C30" s="169" t="inlineStr">
        <is>
          <t>91.18.01-007</t>
        </is>
      </c>
      <c r="D30" s="170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E30" s="238" t="inlineStr">
        <is>
          <t>маш.час</t>
        </is>
      </c>
      <c r="F30" s="169" t="n">
        <v>125.58</v>
      </c>
      <c r="G30" s="172" t="n">
        <v>90</v>
      </c>
      <c r="H30" s="55">
        <f>ROUND(F30*G30,2)</f>
        <v/>
      </c>
    </row>
    <row r="31">
      <c r="A31" s="169">
        <f>A30+1</f>
        <v/>
      </c>
      <c r="B31" s="107" t="n"/>
      <c r="C31" s="169" t="inlineStr">
        <is>
          <t>91.06.09-061</t>
        </is>
      </c>
      <c r="D31" s="170" t="inlineStr">
        <is>
          <t>Подмости самоходные высотой подъема: 12 м</t>
        </is>
      </c>
      <c r="E31" s="238" t="inlineStr">
        <is>
          <t>маш.час</t>
        </is>
      </c>
      <c r="F31" s="169" t="n">
        <v>285.24</v>
      </c>
      <c r="G31" s="172" t="n">
        <v>35.3</v>
      </c>
      <c r="H31" s="55">
        <f>ROUND(F31*G31,2)</f>
        <v/>
      </c>
    </row>
    <row r="32" ht="38.25" customHeight="1" s="198">
      <c r="A32" s="169">
        <f>A31+1</f>
        <v/>
      </c>
      <c r="B32" s="107" t="n"/>
      <c r="C32" s="169" t="inlineStr">
        <is>
          <t>03-21-01-002</t>
        </is>
      </c>
      <c r="D32" s="170" t="inlineStr">
        <is>
          <t>Перевозка грузов автомобилями-самосвалами грузоподъемностью 10 т работающих вне карьера на расстояние: I класс груза до 2 км</t>
        </is>
      </c>
      <c r="E32" s="238" t="inlineStr">
        <is>
          <t>1 т груза</t>
        </is>
      </c>
      <c r="F32" s="169" t="n">
        <v>1632.078</v>
      </c>
      <c r="G32" s="172" t="n">
        <v>3.86</v>
      </c>
      <c r="H32" s="55">
        <f>ROUND(F32*G32,2)</f>
        <v/>
      </c>
    </row>
    <row r="33">
      <c r="A33" s="169">
        <f>A32+1</f>
        <v/>
      </c>
      <c r="B33" s="107" t="n"/>
      <c r="C33" s="169" t="inlineStr">
        <is>
          <t>91.14.02-001</t>
        </is>
      </c>
      <c r="D33" s="170" t="inlineStr">
        <is>
          <t>Автомобили бортовые, грузоподъемность: до 5 т</t>
        </is>
      </c>
      <c r="E33" s="238" t="inlineStr">
        <is>
          <t>маш.час</t>
        </is>
      </c>
      <c r="F33" s="169" t="n">
        <v>48.71</v>
      </c>
      <c r="G33" s="172" t="n">
        <v>65.70999999999999</v>
      </c>
      <c r="H33" s="55">
        <f>ROUND(F33*G33,2)</f>
        <v/>
      </c>
    </row>
    <row r="34">
      <c r="A34" s="169">
        <f>A33+1</f>
        <v/>
      </c>
      <c r="B34" s="107" t="n"/>
      <c r="C34" s="169" t="inlineStr">
        <is>
          <t>91.14.04-001</t>
        </is>
      </c>
      <c r="D34" s="170" t="inlineStr">
        <is>
          <t>Тягачи седельные, грузоподъемность: 12 т</t>
        </is>
      </c>
      <c r="E34" s="238" t="inlineStr">
        <is>
          <t>маш.час</t>
        </is>
      </c>
      <c r="F34" s="169" t="n">
        <v>22.81</v>
      </c>
      <c r="G34" s="172" t="n">
        <v>102.84</v>
      </c>
      <c r="H34" s="55">
        <f>ROUND(F34*G34,2)</f>
        <v/>
      </c>
    </row>
    <row r="35">
      <c r="A35" s="169">
        <f>A34+1</f>
        <v/>
      </c>
      <c r="B35" s="107" t="n"/>
      <c r="C35" s="169" t="inlineStr">
        <is>
          <t>91.06.05-011</t>
        </is>
      </c>
      <c r="D35" s="170" t="inlineStr">
        <is>
          <t>Погрузчик, грузоподъемность 5 т</t>
        </is>
      </c>
      <c r="E35" s="238" t="inlineStr">
        <is>
          <t>маш.час</t>
        </is>
      </c>
      <c r="F35" s="169" t="n">
        <v>20.06</v>
      </c>
      <c r="G35" s="172" t="n">
        <v>89.98999999999999</v>
      </c>
      <c r="H35" s="55">
        <f>ROUND(F35*G35,2)</f>
        <v/>
      </c>
    </row>
    <row r="36" ht="25.5" customHeight="1" s="198">
      <c r="A36" s="169">
        <f>A35+1</f>
        <v/>
      </c>
      <c r="B36" s="107" t="n"/>
      <c r="C36" s="169" t="inlineStr">
        <is>
          <t>91.21.01-012</t>
        </is>
      </c>
      <c r="D36" s="170" t="inlineStr">
        <is>
          <t>Агрегаты окрасочные высокого давления для окраски поверхностей конструкций, мощность 1 кВт</t>
        </is>
      </c>
      <c r="E36" s="238" t="inlineStr">
        <is>
          <t>маш.час</t>
        </is>
      </c>
      <c r="F36" s="169" t="n">
        <v>176.99</v>
      </c>
      <c r="G36" s="172" t="n">
        <v>6.82</v>
      </c>
      <c r="H36" s="55">
        <f>ROUND(F36*G36,2)</f>
        <v/>
      </c>
    </row>
    <row r="37" ht="25.5" customHeight="1" s="198">
      <c r="A37" s="169">
        <f>A36+1</f>
        <v/>
      </c>
      <c r="B37" s="107" t="n"/>
      <c r="C37" s="169" t="inlineStr">
        <is>
          <t>91.05.06-012</t>
        </is>
      </c>
      <c r="D37" s="170" t="inlineStr">
        <is>
          <t>Краны на гусеничном ходу, грузоподъемность до 16 т</t>
        </is>
      </c>
      <c r="E37" s="238" t="inlineStr">
        <is>
          <t>маш.час</t>
        </is>
      </c>
      <c r="F37" s="169" t="n">
        <v>11.98</v>
      </c>
      <c r="G37" s="172" t="n">
        <v>96.89</v>
      </c>
      <c r="H37" s="55">
        <f>ROUND(F37*G37,2)</f>
        <v/>
      </c>
    </row>
    <row r="38">
      <c r="A38" s="169">
        <f>A37+1</f>
        <v/>
      </c>
      <c r="B38" s="107" t="n"/>
      <c r="C38" s="169" t="inlineStr">
        <is>
          <t>91.07.08-025</t>
        </is>
      </c>
      <c r="D38" s="170" t="inlineStr">
        <is>
          <t>Растворосмесители передвижные: 250 л</t>
        </is>
      </c>
      <c r="E38" s="238" t="inlineStr">
        <is>
          <t>маш.час</t>
        </is>
      </c>
      <c r="F38" s="169" t="n">
        <v>59.95</v>
      </c>
      <c r="G38" s="172" t="n">
        <v>16.31</v>
      </c>
      <c r="H38" s="55">
        <f>ROUND(F38*G38,2)</f>
        <v/>
      </c>
    </row>
    <row r="39">
      <c r="A39" s="169">
        <f>A38+1</f>
        <v/>
      </c>
      <c r="B39" s="107" t="n"/>
      <c r="C39" s="169" t="inlineStr">
        <is>
          <t>91.05.02-005</t>
        </is>
      </c>
      <c r="D39" s="170" t="inlineStr">
        <is>
          <t>Краны козловые, грузоподъемность 32 т</t>
        </is>
      </c>
      <c r="E39" s="238" t="inlineStr">
        <is>
          <t>маш.час</t>
        </is>
      </c>
      <c r="F39" s="169" t="n">
        <v>3.89</v>
      </c>
      <c r="G39" s="172" t="n">
        <v>120.24</v>
      </c>
      <c r="H39" s="55">
        <f>ROUND(F39*G39,2)</f>
        <v/>
      </c>
    </row>
    <row r="40" ht="25.5" customHeight="1" s="198">
      <c r="A40" s="169">
        <f>A39+1</f>
        <v/>
      </c>
      <c r="B40" s="107" t="n"/>
      <c r="C40" s="169" t="inlineStr">
        <is>
          <t>91.14.05-011</t>
        </is>
      </c>
      <c r="D40" s="170" t="inlineStr">
        <is>
          <t>Полуприцепы общего назначения, грузоподъемность: 12 т</t>
        </is>
      </c>
      <c r="E40" s="238" t="inlineStr">
        <is>
          <t>маш.час</t>
        </is>
      </c>
      <c r="F40" s="169" t="n">
        <v>22.81</v>
      </c>
      <c r="G40" s="172" t="n">
        <v>12</v>
      </c>
      <c r="H40" s="55">
        <f>ROUND(F40*G40,2)</f>
        <v/>
      </c>
    </row>
    <row r="41">
      <c r="A41" s="169">
        <f>A40+1</f>
        <v/>
      </c>
      <c r="B41" s="107" t="n"/>
      <c r="C41" s="169" t="inlineStr">
        <is>
          <t>91.03.19-092</t>
        </is>
      </c>
      <c r="D41" s="170" t="inlineStr">
        <is>
          <t>Сболчиватели пневматические (без сжатого воздуха)</t>
        </is>
      </c>
      <c r="E41" s="238" t="inlineStr">
        <is>
          <t>маш.час</t>
        </is>
      </c>
      <c r="F41" s="169" t="n">
        <v>110.01</v>
      </c>
      <c r="G41" s="172" t="n">
        <v>2.19</v>
      </c>
      <c r="H41" s="55">
        <f>ROUND(F41*G41,2)</f>
        <v/>
      </c>
    </row>
    <row r="42">
      <c r="A42" s="169">
        <f>A41+1</f>
        <v/>
      </c>
      <c r="B42" s="107" t="n"/>
      <c r="C42" s="169" t="inlineStr">
        <is>
          <t>91.17.04-042</t>
        </is>
      </c>
      <c r="D42" s="170" t="inlineStr">
        <is>
          <t>Аппарат для газовой сварки и резки</t>
        </is>
      </c>
      <c r="E42" s="238" t="inlineStr">
        <is>
          <t>маш.час</t>
        </is>
      </c>
      <c r="F42" s="169" t="n">
        <v>163.55</v>
      </c>
      <c r="G42" s="172" t="n">
        <v>1.2</v>
      </c>
      <c r="H42" s="55">
        <f>ROUND(F42*G42,2)</f>
        <v/>
      </c>
    </row>
    <row r="43">
      <c r="A43" s="169">
        <f>A42+1</f>
        <v/>
      </c>
      <c r="B43" s="107" t="n"/>
      <c r="C43" s="169" t="inlineStr">
        <is>
          <t>91.14.02-002</t>
        </is>
      </c>
      <c r="D43" s="170" t="inlineStr">
        <is>
          <t>Автомобили бортовые, грузоподъемность: до 8 т</t>
        </is>
      </c>
      <c r="E43" s="238" t="inlineStr">
        <is>
          <t>маш.час</t>
        </is>
      </c>
      <c r="F43" s="169" t="n">
        <v>1.8</v>
      </c>
      <c r="G43" s="172" t="n">
        <v>85.84</v>
      </c>
      <c r="H43" s="55">
        <f>ROUND(F43*G43,2)</f>
        <v/>
      </c>
    </row>
    <row r="44" ht="25.5" customHeight="1" s="198">
      <c r="A44" s="169">
        <f>A43+1</f>
        <v/>
      </c>
      <c r="B44" s="107" t="n"/>
      <c r="C44" s="169" t="inlineStr">
        <is>
          <t>91.06.01-003</t>
        </is>
      </c>
      <c r="D44" s="170" t="inlineStr">
        <is>
          <t>Домкраты гидравлические, грузоподъемность 63-100 т</t>
        </is>
      </c>
      <c r="E44" s="238" t="inlineStr">
        <is>
          <t>маш.час</t>
        </is>
      </c>
      <c r="F44" s="169" t="n">
        <v>11.68</v>
      </c>
      <c r="G44" s="172" t="n">
        <v>0.9</v>
      </c>
      <c r="H44" s="55">
        <f>ROUND(F44*G44,2)</f>
        <v/>
      </c>
    </row>
    <row r="45" ht="25.5" customHeight="1" s="198">
      <c r="A45" s="169">
        <f>A44+1</f>
        <v/>
      </c>
      <c r="B45" s="107" t="n"/>
      <c r="C45" s="169" t="inlineStr">
        <is>
          <t>91.06.03-060</t>
        </is>
      </c>
      <c r="D45" s="170" t="inlineStr">
        <is>
          <t>Лебедки электрические тяговым усилием: до 5,79 кН (0,59 т)</t>
        </is>
      </c>
      <c r="E45" s="238" t="inlineStr">
        <is>
          <t>маш.час</t>
        </is>
      </c>
      <c r="F45" s="169" t="n">
        <v>2.23</v>
      </c>
      <c r="G45" s="172" t="n">
        <v>1.7</v>
      </c>
      <c r="H45" s="55">
        <f>ROUND(F45*G45,2)</f>
        <v/>
      </c>
    </row>
    <row r="46" ht="15" customHeight="1" s="198">
      <c r="A46" s="212" t="inlineStr">
        <is>
          <t>Оборудование</t>
        </is>
      </c>
      <c r="B46" s="244" t="n"/>
      <c r="C46" s="244" t="n"/>
      <c r="D46" s="244" t="n"/>
      <c r="E46" s="245" t="n"/>
      <c r="F46" s="60" t="n"/>
      <c r="G46" s="60" t="n"/>
      <c r="H46" s="60" t="n">
        <v>0</v>
      </c>
    </row>
    <row r="47" ht="15" customHeight="1" s="198">
      <c r="A47" s="212" t="n"/>
      <c r="B47" s="212" t="n"/>
      <c r="C47" s="212" t="n"/>
      <c r="D47" s="212" t="n"/>
      <c r="E47" s="212" t="n"/>
      <c r="F47" s="60" t="n"/>
      <c r="G47" s="60" t="n"/>
      <c r="H47" s="59" t="n"/>
    </row>
    <row r="48" ht="15" customHeight="1" s="198">
      <c r="A48" s="212" t="inlineStr">
        <is>
          <t>Материалы</t>
        </is>
      </c>
      <c r="B48" s="244" t="n"/>
      <c r="C48" s="244" t="n"/>
      <c r="D48" s="244" t="n"/>
      <c r="E48" s="245" t="n"/>
      <c r="F48" s="60" t="n"/>
      <c r="G48" s="60" t="n"/>
      <c r="H48" s="59">
        <f>SUM(H49:H86)</f>
        <v/>
      </c>
      <c r="K48" s="150" t="n"/>
    </row>
    <row r="49" ht="25.5" customHeight="1" s="198">
      <c r="A49" s="56">
        <f>A45+1</f>
        <v/>
      </c>
      <c r="B49" s="107" t="n"/>
      <c r="C49" s="169" t="inlineStr">
        <is>
          <t>05.1.05.16-0041</t>
        </is>
      </c>
      <c r="D49" s="170" t="inlineStr">
        <is>
          <t>Сваи железобетонные С35-1-12-2 (бетон B22,5, расход арматуры 181 кг)</t>
        </is>
      </c>
      <c r="E49" s="238" t="inlineStr">
        <is>
          <t>м3</t>
        </is>
      </c>
      <c r="F49" s="238" t="n">
        <v>497.664</v>
      </c>
      <c r="G49" s="172" t="n">
        <v>5373.07</v>
      </c>
      <c r="H49" s="55">
        <f>ROUND(F49*G49,2)</f>
        <v/>
      </c>
    </row>
    <row r="50" ht="51" customHeight="1" s="198">
      <c r="A50" s="56">
        <f>A49+1</f>
        <v/>
      </c>
      <c r="B50" s="107" t="n"/>
      <c r="C50" s="169" t="inlineStr">
        <is>
          <t>07.2.07.12-0006</t>
        </is>
      </c>
      <c r="D50" s="170" t="inlineStr">
        <is>
          <t>Элементы конструктивные вспомогательного назначения, с преобладанием профильного проката, собираемые из двух и более деталей, с отверстиями и без отверстий, соединяемые на сварке</t>
        </is>
      </c>
      <c r="E50" s="238" t="inlineStr">
        <is>
          <t>т</t>
        </is>
      </c>
      <c r="F50" s="238" t="n">
        <v>97.352</v>
      </c>
      <c r="G50" s="172" t="n">
        <v>10045</v>
      </c>
      <c r="H50" s="55">
        <f>ROUND(F50*G50,2)</f>
        <v/>
      </c>
    </row>
    <row r="51">
      <c r="A51" s="56">
        <f>A50+1</f>
        <v/>
      </c>
      <c r="B51" s="107" t="n"/>
      <c r="C51" s="169" t="inlineStr">
        <is>
          <t>05.1.05.16-0143</t>
        </is>
      </c>
      <c r="D51" s="170" t="inlineStr">
        <is>
          <t>Сваи железобетонные электросетевые С35-1-10-1</t>
        </is>
      </c>
      <c r="E51" s="238" t="inlineStr">
        <is>
          <t>м3</t>
        </is>
      </c>
      <c r="F51" s="238" t="n">
        <v>145.92</v>
      </c>
      <c r="G51" s="172" t="n">
        <v>4047.53</v>
      </c>
      <c r="H51" s="55">
        <f>ROUND(F51*G51,2)</f>
        <v/>
      </c>
    </row>
    <row r="52" ht="25.5" customHeight="1" s="198">
      <c r="A52" s="56">
        <f>A51+1</f>
        <v/>
      </c>
      <c r="B52" s="107" t="n"/>
      <c r="C52" s="169" t="inlineStr">
        <is>
          <t>04.1.02.05-0008</t>
        </is>
      </c>
      <c r="D52" s="170" t="inlineStr">
        <is>
          <t>Смеси бетонные тяжелого бетона (БСТ), класс В22,5 (М300)</t>
        </is>
      </c>
      <c r="E52" s="238" t="inlineStr">
        <is>
          <t>м3</t>
        </is>
      </c>
      <c r="F52" s="238" t="n">
        <v>643.5839999999999</v>
      </c>
      <c r="G52" s="172" t="n">
        <v>700</v>
      </c>
      <c r="H52" s="55">
        <f>ROUND(F52*G52,2)</f>
        <v/>
      </c>
    </row>
    <row r="53">
      <c r="A53" s="56">
        <f>A52+1</f>
        <v/>
      </c>
      <c r="B53" s="107" t="n"/>
      <c r="C53" s="105" t="inlineStr">
        <is>
          <t>Прайс из СД ОП</t>
        </is>
      </c>
      <c r="D53" s="170" t="inlineStr">
        <is>
          <t>Горячее цинкование металлоконструкций</t>
        </is>
      </c>
      <c r="E53" s="238" t="inlineStr">
        <is>
          <t>т</t>
        </is>
      </c>
      <c r="F53" s="238" t="n">
        <v>97.352</v>
      </c>
      <c r="G53" s="172" t="n">
        <v>2123.2</v>
      </c>
      <c r="H53" s="55">
        <f>ROUND(F53*G53,2)</f>
        <v/>
      </c>
    </row>
    <row r="54">
      <c r="A54" s="56">
        <f>A53+1</f>
        <v/>
      </c>
      <c r="B54" s="107" t="n"/>
      <c r="C54" s="169" t="inlineStr">
        <is>
          <t>05.1.03.13-0183</t>
        </is>
      </c>
      <c r="D54" s="170" t="inlineStr">
        <is>
          <t>Ригели сборные железобетонные ВЛ и ОРУ</t>
        </is>
      </c>
      <c r="E54" s="238" t="inlineStr">
        <is>
          <t>м3</t>
        </is>
      </c>
      <c r="F54" s="238" t="n">
        <v>37.17</v>
      </c>
      <c r="G54" s="172" t="n">
        <v>1733.42</v>
      </c>
      <c r="H54" s="55">
        <f>ROUND(F54*G54,2)</f>
        <v/>
      </c>
    </row>
    <row r="55" ht="63.75" customHeight="1" s="198">
      <c r="A55" s="56">
        <f>A54+1</f>
        <v/>
      </c>
      <c r="B55" s="107" t="n"/>
      <c r="C55" s="169" t="inlineStr">
        <is>
          <t>07.2.07.12-0003</t>
        </is>
      </c>
      <c r="D55" s="170" t="inlineStr">
        <is>
          <t>Конструктивные элементы вспомогательного назначения: массой не более 50 кг с преобладанием толстолистовой стали собираемые из двух и более деталей, с отверстиями и без отверстий, соединяемые на сварке</t>
        </is>
      </c>
      <c r="E55" s="238" t="inlineStr">
        <is>
          <t>т</t>
        </is>
      </c>
      <c r="F55" s="238" t="n">
        <v>4.83</v>
      </c>
      <c r="G55" s="172" t="n">
        <v>11255</v>
      </c>
      <c r="H55" s="55">
        <f>ROUND(F55*G55,2)</f>
        <v/>
      </c>
    </row>
    <row r="56">
      <c r="A56" s="56">
        <f>A55+1</f>
        <v/>
      </c>
      <c r="B56" s="107" t="n"/>
      <c r="C56" s="169" t="inlineStr">
        <is>
          <t>02.3.01.08-0004</t>
        </is>
      </c>
      <c r="D56" s="170" t="inlineStr">
        <is>
          <t>Песок керамзитовый, марка: 900</t>
        </is>
      </c>
      <c r="E56" s="238" t="inlineStr">
        <is>
          <t>м3</t>
        </is>
      </c>
      <c r="F56" s="238" t="n">
        <v>115.1801</v>
      </c>
      <c r="G56" s="172" t="n">
        <v>443.8</v>
      </c>
      <c r="H56" s="55">
        <f>ROUND(F56*G56,2)</f>
        <v/>
      </c>
    </row>
    <row r="57">
      <c r="A57" s="56">
        <f>A56+1</f>
        <v/>
      </c>
      <c r="B57" s="107" t="n"/>
      <c r="C57" s="169" t="inlineStr">
        <is>
          <t>14.4.04.12-0018</t>
        </is>
      </c>
      <c r="D57" s="170" t="inlineStr">
        <is>
          <t>Эмаль эпоксидная: ЭП-5116 черная</t>
        </is>
      </c>
      <c r="E57" s="238" t="inlineStr">
        <is>
          <t>т</t>
        </is>
      </c>
      <c r="F57" s="238" t="n">
        <v>1.14</v>
      </c>
      <c r="G57" s="172" t="n">
        <v>37216</v>
      </c>
      <c r="H57" s="55">
        <f>F57*G57</f>
        <v/>
      </c>
    </row>
    <row r="58">
      <c r="A58" s="56">
        <f>A57+1</f>
        <v/>
      </c>
      <c r="B58" s="107" t="n"/>
      <c r="C58" s="169" t="inlineStr">
        <is>
          <t>02.3.01.02-0015</t>
        </is>
      </c>
      <c r="D58" s="170" t="inlineStr">
        <is>
          <t>Песок природный для строительных: работ средний</t>
        </is>
      </c>
      <c r="E58" s="238" t="inlineStr">
        <is>
          <t>м3</t>
        </is>
      </c>
      <c r="F58" s="238" t="n">
        <v>607.2</v>
      </c>
      <c r="G58" s="172" t="n">
        <v>55.26</v>
      </c>
      <c r="H58" s="55">
        <f>ROUND(F58*G58,2)</f>
        <v/>
      </c>
    </row>
    <row r="59">
      <c r="A59" s="56">
        <f>A58+1</f>
        <v/>
      </c>
      <c r="B59" s="107" t="n"/>
      <c r="C59" s="169" t="inlineStr">
        <is>
          <t>01.4.01.10-0016</t>
        </is>
      </c>
      <c r="D59" s="170" t="inlineStr">
        <is>
          <t>Шнек: диаметром 135 мм</t>
        </is>
      </c>
      <c r="E59" s="238" t="inlineStr">
        <is>
          <t>шт.</t>
        </is>
      </c>
      <c r="F59" s="238" t="n">
        <v>55.1152</v>
      </c>
      <c r="G59" s="172" t="n">
        <v>597</v>
      </c>
      <c r="H59" s="55">
        <f>ROUND(F59*G59,2)</f>
        <v/>
      </c>
    </row>
    <row r="60">
      <c r="A60" s="56">
        <f>A59+1</f>
        <v/>
      </c>
      <c r="B60" s="107" t="n"/>
      <c r="C60" s="169" t="inlineStr">
        <is>
          <t>14.4.04.04-0003</t>
        </is>
      </c>
      <c r="D60" s="170" t="inlineStr">
        <is>
          <t>Эмаль кремнийорганическая: КО-174 разных цветов</t>
        </is>
      </c>
      <c r="E60" s="238" t="inlineStr">
        <is>
          <t>т</t>
        </is>
      </c>
      <c r="F60" s="238" t="n">
        <v>0.9737</v>
      </c>
      <c r="G60" s="172" t="n">
        <v>33250</v>
      </c>
      <c r="H60" s="55">
        <f>ROUND(F60*G60,2)</f>
        <v/>
      </c>
    </row>
    <row r="61">
      <c r="A61" s="56">
        <f>A60+1</f>
        <v/>
      </c>
      <c r="B61" s="107" t="n"/>
      <c r="C61" s="169" t="inlineStr">
        <is>
          <t>03.1.02.03-0011</t>
        </is>
      </c>
      <c r="D61" s="170" t="inlineStr">
        <is>
          <t>Известь строительная: негашеная комовая, сорт I</t>
        </is>
      </c>
      <c r="E61" s="238" t="inlineStr">
        <is>
          <t>т</t>
        </is>
      </c>
      <c r="F61" s="238" t="n">
        <v>31.55</v>
      </c>
      <c r="G61" s="172" t="n">
        <v>734.5</v>
      </c>
      <c r="H61" s="55">
        <f>ROUND(F61*G61,2)</f>
        <v/>
      </c>
    </row>
    <row r="62" ht="51" customHeight="1" s="198">
      <c r="A62" s="56">
        <f>A61+1</f>
        <v/>
      </c>
      <c r="B62" s="107" t="n"/>
      <c r="C62" s="169" t="inlineStr">
        <is>
          <t>07.2.07.12-0020</t>
        </is>
      </c>
      <c r="D62" s="170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E62" s="238" t="inlineStr">
        <is>
          <t>т</t>
        </is>
      </c>
      <c r="F62" s="238" t="n">
        <v>2.239</v>
      </c>
      <c r="G62" s="172" t="n">
        <v>7712</v>
      </c>
      <c r="H62" s="55">
        <f>ROUND(F62*G62,2)</f>
        <v/>
      </c>
    </row>
    <row r="63">
      <c r="A63" s="56">
        <f>A62+1</f>
        <v/>
      </c>
      <c r="B63" s="107" t="n"/>
      <c r="C63" s="169" t="inlineStr">
        <is>
          <t>14.5.09.11-0101</t>
        </is>
      </c>
      <c r="D63" s="170" t="inlineStr">
        <is>
          <t>Уайт-спирит</t>
        </is>
      </c>
      <c r="E63" s="238" t="inlineStr">
        <is>
          <t>т</t>
        </is>
      </c>
      <c r="F63" s="238" t="n">
        <v>1.351</v>
      </c>
      <c r="G63" s="172" t="n">
        <v>6667</v>
      </c>
      <c r="H63" s="55">
        <f>ROUND(F63*G63,2)</f>
        <v/>
      </c>
    </row>
    <row r="64">
      <c r="A64" s="56">
        <f>A63+1</f>
        <v/>
      </c>
      <c r="B64" s="107" t="n"/>
      <c r="C64" s="169" t="inlineStr">
        <is>
          <t>01.7.15.03-0041</t>
        </is>
      </c>
      <c r="D64" s="170" t="inlineStr">
        <is>
          <t>Болты с гайками и шайбами строительные</t>
        </is>
      </c>
      <c r="E64" s="238" t="inlineStr">
        <is>
          <t>т</t>
        </is>
      </c>
      <c r="F64" s="238" t="n">
        <v>0.7788</v>
      </c>
      <c r="G64" s="172" t="n">
        <v>9040.01</v>
      </c>
      <c r="H64" s="55">
        <f>ROUND(F64*G64,2)</f>
        <v/>
      </c>
    </row>
    <row r="65" ht="27" customHeight="1" s="198">
      <c r="A65" s="56">
        <f>A64+1</f>
        <v/>
      </c>
      <c r="B65" s="107" t="n"/>
      <c r="C65" s="169" t="inlineStr">
        <is>
          <t>02.3.01.02-0021</t>
        </is>
      </c>
      <c r="D65" s="170" t="inlineStr">
        <is>
          <t>Песок природный для строительных: растворов средний, обогащенный</t>
        </is>
      </c>
      <c r="E65" s="238" t="inlineStr">
        <is>
          <t>м3</t>
        </is>
      </c>
      <c r="F65" s="238" t="n">
        <v>107.262</v>
      </c>
      <c r="G65" s="172" t="n">
        <v>54.95</v>
      </c>
      <c r="H65" s="55">
        <f>F65*G65</f>
        <v/>
      </c>
    </row>
    <row r="66">
      <c r="A66" s="56">
        <f>A65+1</f>
        <v/>
      </c>
      <c r="B66" s="107" t="n"/>
      <c r="C66" s="169" t="inlineStr">
        <is>
          <t>01.4.01.06-0014</t>
        </is>
      </c>
      <c r="D66" s="170" t="inlineStr">
        <is>
          <t>Коронки буровые: типа К-100В</t>
        </is>
      </c>
      <c r="E66" s="238" t="inlineStr">
        <is>
          <t>шт.</t>
        </is>
      </c>
      <c r="F66" s="238" t="n">
        <v>24.2942</v>
      </c>
      <c r="G66" s="172" t="n">
        <v>176.51</v>
      </c>
      <c r="H66" s="55">
        <f>ROUND(F66*G66,2)</f>
        <v/>
      </c>
    </row>
    <row r="67">
      <c r="A67" s="56">
        <f>A66+1</f>
        <v/>
      </c>
      <c r="B67" s="107" t="n"/>
      <c r="C67" s="169" t="inlineStr">
        <is>
          <t>11.1.03.06-0002</t>
        </is>
      </c>
      <c r="D67" s="170" t="inlineStr">
        <is>
          <t>Доски дубовые II сорта</t>
        </is>
      </c>
      <c r="E67" s="238" t="inlineStr">
        <is>
          <t>м3</t>
        </is>
      </c>
      <c r="F67" s="238" t="n">
        <v>2.396</v>
      </c>
      <c r="G67" s="172" t="n">
        <v>1410</v>
      </c>
      <c r="H67" s="55">
        <f>ROUND(F67*G67,2)</f>
        <v/>
      </c>
    </row>
    <row r="68">
      <c r="A68" s="56">
        <f>A67+1</f>
        <v/>
      </c>
      <c r="B68" s="107" t="n"/>
      <c r="C68" s="169" t="inlineStr">
        <is>
          <t>14.5.09.02-0002</t>
        </is>
      </c>
      <c r="D68" s="170" t="inlineStr">
        <is>
          <t>Ксилол нефтяной марки А</t>
        </is>
      </c>
      <c r="E68" s="238" t="inlineStr">
        <is>
          <t>т</t>
        </is>
      </c>
      <c r="F68" s="238" t="n">
        <v>0.3419</v>
      </c>
      <c r="G68" s="172" t="n">
        <v>7640</v>
      </c>
      <c r="H68" s="55">
        <f>ROUND(F68*G68,2)</f>
        <v/>
      </c>
    </row>
    <row r="69">
      <c r="A69" s="56">
        <f>A68+1</f>
        <v/>
      </c>
      <c r="B69" s="107" t="n"/>
      <c r="C69" s="169" t="inlineStr">
        <is>
          <t>14.5.09.07-0029</t>
        </is>
      </c>
      <c r="D69" s="170" t="inlineStr">
        <is>
          <t>Растворитель марки: Р-4</t>
        </is>
      </c>
      <c r="E69" s="238" t="inlineStr">
        <is>
          <t>т</t>
        </is>
      </c>
      <c r="F69" s="238" t="n">
        <v>0.2748</v>
      </c>
      <c r="G69" s="172" t="n">
        <v>9420</v>
      </c>
      <c r="H69" s="55">
        <f>ROUND(F69*G69,2)</f>
        <v/>
      </c>
    </row>
    <row r="70">
      <c r="A70" s="56">
        <f>A69+1</f>
        <v/>
      </c>
      <c r="B70" s="107" t="n"/>
      <c r="C70" s="169" t="inlineStr">
        <is>
          <t>14.5.09.04-0111</t>
        </is>
      </c>
      <c r="D70" s="170" t="inlineStr">
        <is>
          <t>Отвердитель: № 1</t>
        </is>
      </c>
      <c r="E70" s="238" t="inlineStr">
        <is>
          <t>т</t>
        </is>
      </c>
      <c r="F70" s="238" t="n">
        <v>0.0325</v>
      </c>
      <c r="G70" s="172" t="n">
        <v>67872</v>
      </c>
      <c r="H70" s="55">
        <f>ROUND(F70*G70,2)</f>
        <v/>
      </c>
    </row>
    <row r="71">
      <c r="A71" s="56">
        <f>A70+1</f>
        <v/>
      </c>
      <c r="B71" s="107" t="n"/>
      <c r="C71" s="169" t="inlineStr">
        <is>
          <t>08.3.11.01-0091</t>
        </is>
      </c>
      <c r="D71" s="170" t="inlineStr">
        <is>
          <t>Швеллеры № 40 из стали марки: Ст0</t>
        </is>
      </c>
      <c r="E71" s="238" t="inlineStr">
        <is>
          <t>т</t>
        </is>
      </c>
      <c r="F71" s="238" t="n">
        <v>0.1889</v>
      </c>
      <c r="G71" s="172" t="n">
        <v>4920</v>
      </c>
      <c r="H71" s="55">
        <f>ROUND(F71*G71,2)</f>
        <v/>
      </c>
    </row>
    <row r="72">
      <c r="A72" s="56">
        <f>A71+1</f>
        <v/>
      </c>
      <c r="B72" s="107" t="n"/>
      <c r="C72" s="169" t="inlineStr">
        <is>
          <t>01.3.02.08-0001</t>
        </is>
      </c>
      <c r="D72" s="170" t="inlineStr">
        <is>
          <t>Кислород технический: газообразный</t>
        </is>
      </c>
      <c r="E72" s="238" t="inlineStr">
        <is>
          <t>м3</t>
        </is>
      </c>
      <c r="F72" s="238" t="n">
        <v>116.8</v>
      </c>
      <c r="G72" s="172" t="n">
        <v>6.22</v>
      </c>
      <c r="H72" s="55">
        <f>ROUND(F72*G72,2)</f>
        <v/>
      </c>
    </row>
    <row r="73" ht="63.75" customHeight="1" s="198">
      <c r="A73" s="56">
        <f>A72+1</f>
        <v/>
      </c>
      <c r="B73" s="107" t="n"/>
      <c r="C73" s="169" t="inlineStr">
        <is>
          <t>07.2.07.12-0003</t>
        </is>
      </c>
      <c r="D73" s="170" t="inlineStr">
        <is>
          <t>Конструктивные элементы вспомогательного назначения: массой не более 50 кг с преобладанием толстолистовой стали собираемые из двух и более деталей, с отверстиями и без отверстий, соединяемые на сварке</t>
        </is>
      </c>
      <c r="E73" s="238" t="inlineStr">
        <is>
          <t>т</t>
        </is>
      </c>
      <c r="F73" s="238" t="n">
        <v>0.0539</v>
      </c>
      <c r="G73" s="172" t="n">
        <v>11255</v>
      </c>
      <c r="H73" s="55">
        <f>ROUND(F73*G73,2)</f>
        <v/>
      </c>
    </row>
    <row r="74">
      <c r="A74" s="56">
        <f>A73+1</f>
        <v/>
      </c>
      <c r="B74" s="107" t="n"/>
      <c r="C74" s="169" t="inlineStr">
        <is>
          <t>01.7.11.07-0032</t>
        </is>
      </c>
      <c r="D74" s="170" t="inlineStr">
        <is>
          <t>Электроды диаметром: 4 мм Э42</t>
        </is>
      </c>
      <c r="E74" s="238" t="inlineStr">
        <is>
          <t>т</t>
        </is>
      </c>
      <c r="F74" s="238" t="n">
        <v>0.0584</v>
      </c>
      <c r="G74" s="172" t="n">
        <v>10315.01</v>
      </c>
      <c r="H74" s="55">
        <f>ROUND(F74*G74,2)</f>
        <v/>
      </c>
    </row>
    <row r="75">
      <c r="A75" s="56">
        <f>A74+1</f>
        <v/>
      </c>
      <c r="B75" s="107" t="n"/>
      <c r="C75" s="169" t="inlineStr">
        <is>
          <t>01.7.15.06-0111</t>
        </is>
      </c>
      <c r="D75" s="170" t="inlineStr">
        <is>
          <t>Гвозди строительные</t>
        </is>
      </c>
      <c r="E75" s="238" t="inlineStr">
        <is>
          <t>т</t>
        </is>
      </c>
      <c r="F75" s="238" t="n">
        <v>0.0489</v>
      </c>
      <c r="G75" s="172" t="n">
        <v>11978</v>
      </c>
      <c r="H75" s="55">
        <f>ROUND(F75*G75,2)</f>
        <v/>
      </c>
    </row>
    <row r="76">
      <c r="A76" s="56">
        <f>A75+1</f>
        <v/>
      </c>
      <c r="B76" s="107" t="n"/>
      <c r="C76" s="169" t="inlineStr">
        <is>
          <t>14.4.01.01-0003</t>
        </is>
      </c>
      <c r="D76" s="170" t="inlineStr">
        <is>
          <t>Грунтовка: ГФ-021 красно-коричневая</t>
        </is>
      </c>
      <c r="E76" s="238" t="inlineStr">
        <is>
          <t>т</t>
        </is>
      </c>
      <c r="F76" s="238" t="n">
        <v>0.0302</v>
      </c>
      <c r="G76" s="172" t="n">
        <v>15620</v>
      </c>
      <c r="H76" s="55">
        <f>ROUND(F76*G76,2)</f>
        <v/>
      </c>
    </row>
    <row r="77">
      <c r="A77" s="56">
        <f>A76+1</f>
        <v/>
      </c>
      <c r="B77" s="107" t="n"/>
      <c r="C77" s="169" t="inlineStr">
        <is>
          <t>01.7.20.08-0051</t>
        </is>
      </c>
      <c r="D77" s="170" t="inlineStr">
        <is>
          <t>Ветошь</t>
        </is>
      </c>
      <c r="E77" s="238" t="inlineStr">
        <is>
          <t>кг</t>
        </is>
      </c>
      <c r="F77" s="238" t="n">
        <v>211.1</v>
      </c>
      <c r="G77" s="172" t="n">
        <v>1.82</v>
      </c>
      <c r="H77" s="55">
        <f>ROUND(F77*G77,2)</f>
        <v/>
      </c>
    </row>
    <row r="78">
      <c r="A78" s="56">
        <f>A77+1</f>
        <v/>
      </c>
      <c r="B78" s="107" t="n"/>
      <c r="C78" s="169" t="inlineStr">
        <is>
          <t>01.7.20.08-0071</t>
        </is>
      </c>
      <c r="D78" s="170" t="inlineStr">
        <is>
          <t>Канаты пеньковые пропитанные</t>
        </is>
      </c>
      <c r="E78" s="238" t="inlineStr">
        <is>
          <t>т</t>
        </is>
      </c>
      <c r="F78" s="238" t="n">
        <v>0.0097</v>
      </c>
      <c r="G78" s="172" t="n">
        <v>37900</v>
      </c>
      <c r="H78" s="55">
        <f>ROUND(F78*G78,2)</f>
        <v/>
      </c>
    </row>
    <row r="79">
      <c r="A79" s="56">
        <f>A78+1</f>
        <v/>
      </c>
      <c r="B79" s="107" t="n"/>
      <c r="C79" s="169" t="inlineStr">
        <is>
          <t>01.7.03.01-0001</t>
        </is>
      </c>
      <c r="D79" s="170" t="inlineStr">
        <is>
          <t>Вода</t>
        </is>
      </c>
      <c r="E79" s="238" t="inlineStr">
        <is>
          <t>м3</t>
        </is>
      </c>
      <c r="F79" s="238" t="n">
        <v>97.76000000000001</v>
      </c>
      <c r="G79" s="172" t="n">
        <v>2.44</v>
      </c>
      <c r="H79" s="55">
        <f>ROUND(F79*G79,2)</f>
        <v/>
      </c>
    </row>
    <row r="80">
      <c r="A80" s="56">
        <f>A79+1</f>
        <v/>
      </c>
      <c r="B80" s="107" t="n"/>
      <c r="C80" s="169" t="inlineStr">
        <is>
          <t>01.3.02.09-0022</t>
        </is>
      </c>
      <c r="D80" s="170" t="inlineStr">
        <is>
          <t>Пропан-бутан, смесь техническая</t>
        </is>
      </c>
      <c r="E80" s="238" t="inlineStr">
        <is>
          <t>кг</t>
        </is>
      </c>
      <c r="F80" s="238" t="n">
        <v>35.05</v>
      </c>
      <c r="G80" s="172" t="n">
        <v>6.09</v>
      </c>
      <c r="H80" s="55">
        <f>ROUND(F80*G80,2)</f>
        <v/>
      </c>
    </row>
    <row r="81" ht="25.5" customHeight="1" s="198">
      <c r="A81" s="56">
        <f>A80+1</f>
        <v/>
      </c>
      <c r="B81" s="107" t="n"/>
      <c r="C81" s="169" t="inlineStr">
        <is>
          <t>14.4.02.04-0141</t>
        </is>
      </c>
      <c r="D81" s="170" t="inlineStr">
        <is>
          <t>Краски масляные земляные марки: МА-0115 мумия, сурик железный</t>
        </is>
      </c>
      <c r="E81" s="238" t="inlineStr">
        <is>
          <t>т</t>
        </is>
      </c>
      <c r="F81" s="238" t="n">
        <v>0.012</v>
      </c>
      <c r="G81" s="172" t="n">
        <v>15119</v>
      </c>
      <c r="H81" s="55">
        <f>ROUND(F81*G81,2)</f>
        <v/>
      </c>
    </row>
    <row r="82" ht="25.5" customHeight="1" s="198">
      <c r="A82" s="56">
        <f>A81+1</f>
        <v/>
      </c>
      <c r="B82" s="107" t="n"/>
      <c r="C82" s="169" t="inlineStr">
        <is>
          <t>11.1.03.01-0077</t>
        </is>
      </c>
      <c r="D82" s="170" t="inlineStr">
        <is>
          <t>Бруски обрезные хвойных пород длиной: 4-6,5 м, шириной 75-150 мм, толщиной 40-75 мм, I сорта</t>
        </is>
      </c>
      <c r="E82" s="238" t="inlineStr">
        <is>
          <t>м3</t>
        </is>
      </c>
      <c r="F82" s="238" t="n">
        <v>0.06809999999999999</v>
      </c>
      <c r="G82" s="172" t="n">
        <v>1700</v>
      </c>
      <c r="H82" s="55">
        <f>ROUND(F82*G82,2)</f>
        <v/>
      </c>
    </row>
    <row r="83" ht="51" customHeight="1" s="198">
      <c r="A83" s="56">
        <f>A82+1</f>
        <v/>
      </c>
      <c r="B83" s="107" t="n"/>
      <c r="C83" s="169" t="inlineStr">
        <is>
          <t>08.2.02.11-0007</t>
        </is>
      </c>
      <c r="D83" s="170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E83" s="238" t="inlineStr">
        <is>
          <t>10 м</t>
        </is>
      </c>
      <c r="F83" s="238" t="n">
        <v>1.82</v>
      </c>
      <c r="G83" s="172" t="n">
        <v>50.24</v>
      </c>
      <c r="H83" s="55">
        <f>ROUND(F83*G83,2)</f>
        <v/>
      </c>
    </row>
    <row r="84" ht="51" customHeight="1" s="198">
      <c r="A84" s="169">
        <f>A83+1</f>
        <v/>
      </c>
      <c r="B84" s="107" t="n"/>
      <c r="C84" s="169" t="inlineStr">
        <is>
          <t>23.5.02.02-0029</t>
        </is>
      </c>
      <c r="D84" s="170" t="inlineStr">
        <is>
          <t>Трубы стальные электросварные прямошовные со снятой фаской из стали марок БСт2кп-БСт4кп и БСт2пс-БСт4пс наружный диаметр: 40 мм, толщина стенки 3 мм</t>
        </is>
      </c>
      <c r="E84" s="238" t="inlineStr">
        <is>
          <t>м</t>
        </is>
      </c>
      <c r="F84" s="238" t="n">
        <v>1.613</v>
      </c>
      <c r="G84" s="172" t="n">
        <v>18.74</v>
      </c>
      <c r="H84" s="55">
        <f>ROUND(F84*G84,2)</f>
        <v/>
      </c>
    </row>
    <row r="85" ht="25.5" customHeight="1" s="198">
      <c r="A85" s="169">
        <f>A84+1</f>
        <v/>
      </c>
      <c r="B85" s="107" t="n"/>
      <c r="C85" s="169" t="inlineStr">
        <is>
          <t>08.3.03.06-0002</t>
        </is>
      </c>
      <c r="D85" s="170" t="inlineStr">
        <is>
          <t>Проволока горячекатаная в мотках, диаметром 6,3-6,5 мм</t>
        </is>
      </c>
      <c r="E85" s="238" t="inlineStr">
        <is>
          <t>т</t>
        </is>
      </c>
      <c r="F85" s="238" t="n">
        <v>0.0029</v>
      </c>
      <c r="G85" s="172" t="n">
        <v>4455.2</v>
      </c>
      <c r="H85" s="55">
        <f>ROUND(F85*G85,2)</f>
        <v/>
      </c>
    </row>
    <row r="86">
      <c r="A86" s="169">
        <f>A85+1</f>
        <v/>
      </c>
      <c r="B86" s="107" t="n"/>
      <c r="C86" s="169" t="inlineStr">
        <is>
          <t>14.4.04.12-0014</t>
        </is>
      </c>
      <c r="D86" s="170" t="inlineStr">
        <is>
          <t>Эмаль эпоксидная: ЭП-1236</t>
        </is>
      </c>
      <c r="E86" s="238" t="inlineStr">
        <is>
          <t>т</t>
        </is>
      </c>
      <c r="F86" s="238" t="n">
        <v>0.00016000000000016</v>
      </c>
      <c r="G86" s="172" t="n">
        <v>36000</v>
      </c>
      <c r="H86" s="55">
        <f>ROUND(F86*G86,2)</f>
        <v/>
      </c>
    </row>
    <row r="87">
      <c r="K87" s="144" t="n"/>
    </row>
    <row r="88" ht="25.5" customHeight="1" s="198">
      <c r="B88" s="146" t="n"/>
      <c r="C88" s="211" t="n"/>
    </row>
    <row r="92">
      <c r="B92" s="185" t="inlineStr">
        <is>
          <t>Составил ______________________       Р.Р. Шагеева</t>
        </is>
      </c>
      <c r="C92" s="195" t="n"/>
    </row>
    <row r="93">
      <c r="B93" s="196" t="inlineStr">
        <is>
          <t xml:space="preserve">                         (подпись, инициалы, фамилия)</t>
        </is>
      </c>
      <c r="C93" s="195" t="n"/>
    </row>
    <row r="94">
      <c r="B94" s="185" t="n"/>
      <c r="C94" s="195" t="n"/>
    </row>
    <row r="95">
      <c r="B95" s="185" t="inlineStr">
        <is>
          <t>Проверил ______________________        А.В. Костянецкая</t>
        </is>
      </c>
      <c r="C95" s="195" t="n"/>
    </row>
    <row r="96">
      <c r="B96" s="196" t="inlineStr">
        <is>
          <t xml:space="preserve">                        (подпись, инициалы, фамилия)</t>
        </is>
      </c>
      <c r="C96" s="195" t="n"/>
    </row>
  </sheetData>
  <mergeCells count="17">
    <mergeCell ref="A21:E21"/>
    <mergeCell ref="C9:C10"/>
    <mergeCell ref="B9:B10"/>
    <mergeCell ref="A3:H3"/>
    <mergeCell ref="E9:E10"/>
    <mergeCell ref="D9:D10"/>
    <mergeCell ref="A12:E12"/>
    <mergeCell ref="F9:F10"/>
    <mergeCell ref="A7:H7"/>
    <mergeCell ref="A9:A10"/>
    <mergeCell ref="A48:E48"/>
    <mergeCell ref="C5:H5"/>
    <mergeCell ref="A2:H2"/>
    <mergeCell ref="A23:E23"/>
    <mergeCell ref="C88:H88"/>
    <mergeCell ref="A46:E46"/>
    <mergeCell ref="G9:H9"/>
  </mergeCells>
  <pageMargins left="0.7086614173228351" right="0.7086614173228351" top="0.748031496062992" bottom="0.748031496062992" header="0.31496062992126" footer="0.31496062992126"/>
  <pageSetup orientation="landscape" paperSize="9" scale="84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6" workbookViewId="0">
      <selection activeCell="D45" sqref="D45"/>
    </sheetView>
  </sheetViews>
  <sheetFormatPr baseColWidth="8" defaultRowHeight="15"/>
  <cols>
    <col width="4.140625" customWidth="1" style="198" min="1" max="1"/>
    <col width="36.28515625" customWidth="1" style="198" min="2" max="2"/>
    <col width="18.85546875" customWidth="1" style="198" min="3" max="3"/>
    <col width="18.28515625" customWidth="1" style="198" min="4" max="4"/>
    <col width="18.85546875" customWidth="1" style="198" min="5" max="5"/>
    <col width="9.140625" customWidth="1" style="198" min="6" max="6"/>
    <col width="12.85546875" customWidth="1" style="198" min="7" max="7"/>
    <col width="9.140625" customWidth="1" style="198" min="8" max="11"/>
    <col width="13.5703125" customWidth="1" style="198" min="12" max="12"/>
    <col width="9.140625" customWidth="1" style="198" min="13" max="13"/>
  </cols>
  <sheetData>
    <row r="1">
      <c r="B1" s="185" t="n"/>
      <c r="C1" s="185" t="n"/>
      <c r="D1" s="185" t="n"/>
      <c r="E1" s="185" t="n"/>
    </row>
    <row r="2">
      <c r="B2" s="185" t="n"/>
      <c r="C2" s="185" t="n"/>
      <c r="D2" s="185" t="n"/>
      <c r="E2" s="237" t="inlineStr">
        <is>
          <t>Приложение № 4</t>
        </is>
      </c>
    </row>
    <row r="3">
      <c r="B3" s="185" t="n"/>
      <c r="C3" s="185" t="n"/>
      <c r="D3" s="185" t="n"/>
      <c r="E3" s="185" t="n"/>
    </row>
    <row r="4">
      <c r="B4" s="185" t="n"/>
      <c r="C4" s="185" t="n"/>
      <c r="D4" s="185" t="n"/>
      <c r="E4" s="185" t="n"/>
    </row>
    <row r="5">
      <c r="B5" s="214" t="inlineStr">
        <is>
          <t>Ресурсная модель</t>
        </is>
      </c>
    </row>
    <row r="6">
      <c r="B6" s="18" t="n"/>
      <c r="C6" s="185" t="n"/>
      <c r="D6" s="185" t="n"/>
      <c r="E6" s="185" t="n"/>
    </row>
    <row r="7" ht="22.5" customHeight="1" s="198">
      <c r="B7" s="215">
        <f>'Прил.1 Сравнит табл'!B7</f>
        <v/>
      </c>
    </row>
    <row r="8">
      <c r="B8" s="216">
        <f>'Прил.1 Сравнит табл'!B9</f>
        <v/>
      </c>
    </row>
    <row r="9">
      <c r="B9" s="18" t="n"/>
      <c r="C9" s="185" t="n"/>
      <c r="D9" s="185" t="n"/>
      <c r="E9" s="185" t="n"/>
    </row>
    <row r="10" ht="51" customHeight="1" s="198">
      <c r="B10" s="218" t="inlineStr">
        <is>
          <t>Наименование</t>
        </is>
      </c>
      <c r="C10" s="218" t="inlineStr">
        <is>
          <t>Сметная стоимость в ценах на 01.01.2023
 (руб.)</t>
        </is>
      </c>
      <c r="D10" s="218" t="inlineStr">
        <is>
          <t>Удельный вес, 
(в СМР)</t>
        </is>
      </c>
      <c r="E10" s="218" t="inlineStr">
        <is>
          <t>Удельный вес, % 
(от всего по РМ)</t>
        </is>
      </c>
    </row>
    <row r="11">
      <c r="B11" s="63" t="inlineStr">
        <is>
          <t>Оплата труда рабочих</t>
        </is>
      </c>
      <c r="C11" s="190">
        <f>'Прил.5 Расчет СМР и ОБ'!J14</f>
        <v/>
      </c>
      <c r="D11" s="65">
        <f>C11/$C$24</f>
        <v/>
      </c>
      <c r="E11" s="65">
        <f>C11/$C$40</f>
        <v/>
      </c>
    </row>
    <row r="12">
      <c r="B12" s="63" t="inlineStr">
        <is>
          <t>Эксплуатация машин основных</t>
        </is>
      </c>
      <c r="C12" s="190">
        <f>'Прил.5 Расчет СМР и ОБ'!J24</f>
        <v/>
      </c>
      <c r="D12" s="65">
        <f>C12/$C$24</f>
        <v/>
      </c>
      <c r="E12" s="65">
        <f>C12/$C$40</f>
        <v/>
      </c>
    </row>
    <row r="13">
      <c r="B13" s="63" t="inlineStr">
        <is>
          <t>Эксплуатация машин прочих</t>
        </is>
      </c>
      <c r="C13" s="190">
        <f>'Прил.5 Расчет СМР и ОБ'!J42</f>
        <v/>
      </c>
      <c r="D13" s="65">
        <f>C13/$C$24</f>
        <v/>
      </c>
      <c r="E13" s="65">
        <f>C13/$C$40</f>
        <v/>
      </c>
    </row>
    <row r="14">
      <c r="B14" s="63" t="inlineStr">
        <is>
          <t>ЭКСПЛУАТАЦИЯ МАШИН, ВСЕГО:</t>
        </is>
      </c>
      <c r="C14" s="190">
        <f>C13+C12</f>
        <v/>
      </c>
      <c r="D14" s="65">
        <f>C14/$C$24</f>
        <v/>
      </c>
      <c r="E14" s="65">
        <f>C14/$C$40</f>
        <v/>
      </c>
    </row>
    <row r="15">
      <c r="B15" s="63" t="inlineStr">
        <is>
          <t>в том числе зарплата машинистов</t>
        </is>
      </c>
      <c r="C15" s="190">
        <f>'Прил.5 Расчет СМР и ОБ'!J16</f>
        <v/>
      </c>
      <c r="D15" s="65">
        <f>C15/$C$24</f>
        <v/>
      </c>
      <c r="E15" s="65">
        <f>C15/$C$40</f>
        <v/>
      </c>
    </row>
    <row r="16">
      <c r="B16" s="63" t="inlineStr">
        <is>
          <t>Материалы основные</t>
        </is>
      </c>
      <c r="C16" s="190">
        <f>'Прил.5 Расчет СМР и ОБ'!J56</f>
        <v/>
      </c>
      <c r="D16" s="65">
        <f>C16/$C$24</f>
        <v/>
      </c>
      <c r="E16" s="65">
        <f>C16/$C$40</f>
        <v/>
      </c>
    </row>
    <row r="17">
      <c r="B17" s="63" t="inlineStr">
        <is>
          <t>Материалы прочие</t>
        </is>
      </c>
      <c r="C17" s="190">
        <f>'Прил.5 Расчет СМР и ОБ'!J91</f>
        <v/>
      </c>
      <c r="D17" s="65">
        <f>C17/$C$24</f>
        <v/>
      </c>
      <c r="E17" s="65">
        <f>C17/$C$40</f>
        <v/>
      </c>
      <c r="G17" s="19" t="n"/>
    </row>
    <row r="18">
      <c r="B18" s="63" t="inlineStr">
        <is>
          <t>МАТЕРИАЛЫ, ВСЕГО:</t>
        </is>
      </c>
      <c r="C18" s="190">
        <f>C17+C16</f>
        <v/>
      </c>
      <c r="D18" s="65">
        <f>C18/$C$24</f>
        <v/>
      </c>
      <c r="E18" s="65">
        <f>C18/$C$40</f>
        <v/>
      </c>
    </row>
    <row r="19">
      <c r="B19" s="63" t="inlineStr">
        <is>
          <t>ИТОГО</t>
        </is>
      </c>
      <c r="C19" s="190">
        <f>C18+C14+C11</f>
        <v/>
      </c>
      <c r="D19" s="65" t="n"/>
      <c r="E19" s="63" t="n"/>
    </row>
    <row r="20">
      <c r="B20" s="63" t="inlineStr">
        <is>
          <t>Сметная прибыль, руб.</t>
        </is>
      </c>
      <c r="C20" s="190">
        <f>ROUND(C21*(C11+C15),2)</f>
        <v/>
      </c>
      <c r="D20" s="65">
        <f>C20/$C$24</f>
        <v/>
      </c>
      <c r="E20" s="65">
        <f>C20/$C$40</f>
        <v/>
      </c>
    </row>
    <row r="21">
      <c r="B21" s="63" t="inlineStr">
        <is>
          <t>Сметная прибыль, %</t>
        </is>
      </c>
      <c r="C21" s="68">
        <f>'Прил.5 Расчет СМР и ОБ'!E95</f>
        <v/>
      </c>
      <c r="D21" s="65" t="n"/>
      <c r="E21" s="63" t="n"/>
    </row>
    <row r="22">
      <c r="B22" s="63" t="inlineStr">
        <is>
          <t>Накладные расходы, руб.</t>
        </is>
      </c>
      <c r="C22" s="190">
        <f>ROUND(C23*(C11+C15),2)</f>
        <v/>
      </c>
      <c r="D22" s="65">
        <f>C22/$C$24</f>
        <v/>
      </c>
      <c r="E22" s="65">
        <f>C22/$C$40</f>
        <v/>
      </c>
    </row>
    <row r="23">
      <c r="B23" s="63" t="inlineStr">
        <is>
          <t>Накладные расходы, %</t>
        </is>
      </c>
      <c r="C23" s="68">
        <f>'Прил.5 Расчет СМР и ОБ'!E94</f>
        <v/>
      </c>
      <c r="D23" s="65" t="n"/>
      <c r="E23" s="63" t="n"/>
    </row>
    <row r="24">
      <c r="B24" s="63" t="inlineStr">
        <is>
          <t>ВСЕГО СМР с НР и СП</t>
        </is>
      </c>
      <c r="C24" s="190">
        <f>C19+C20+C22</f>
        <v/>
      </c>
      <c r="D24" s="65">
        <f>C24/$C$24</f>
        <v/>
      </c>
      <c r="E24" s="65">
        <f>C24/$C$40</f>
        <v/>
      </c>
    </row>
    <row r="25" ht="25.5" customHeight="1" s="198">
      <c r="B25" s="63" t="inlineStr">
        <is>
          <t>ВСЕГО стоимость оборудования, в том числе</t>
        </is>
      </c>
      <c r="C25" s="190">
        <f>'Прил.5 Расчет СМР и ОБ'!J49</f>
        <v/>
      </c>
      <c r="D25" s="65" t="n"/>
      <c r="E25" s="65">
        <f>C25/$C$40</f>
        <v/>
      </c>
    </row>
    <row r="26" ht="25.5" customHeight="1" s="198">
      <c r="B26" s="63" t="inlineStr">
        <is>
          <t>стоимость оборудования технологического</t>
        </is>
      </c>
      <c r="C26" s="190">
        <f>C25</f>
        <v/>
      </c>
      <c r="D26" s="65" t="n"/>
      <c r="E26" s="65">
        <f>C26/$C$40</f>
        <v/>
      </c>
    </row>
    <row r="27">
      <c r="B27" s="63" t="inlineStr">
        <is>
          <t>ИТОГО (СМР + ОБОРУДОВАНИЕ)</t>
        </is>
      </c>
      <c r="C27" s="64">
        <f>C24+C25</f>
        <v/>
      </c>
      <c r="D27" s="65" t="n"/>
      <c r="E27" s="65">
        <f>C27/$C$40</f>
        <v/>
      </c>
    </row>
    <row r="28" ht="33" customHeight="1" s="198">
      <c r="B28" s="63" t="inlineStr">
        <is>
          <t>ПРОЧ. ЗАТР., УЧТЕННЫЕ ПОКАЗАТЕЛЕМ,  в том числе</t>
        </is>
      </c>
      <c r="C28" s="63" t="n"/>
      <c r="D28" s="63" t="n"/>
      <c r="E28" s="63" t="n"/>
    </row>
    <row r="29" ht="25.5" customHeight="1" s="198">
      <c r="B29" s="63" t="inlineStr">
        <is>
          <t>Временные здания и сооружения - 3,3%</t>
        </is>
      </c>
      <c r="C29" s="64">
        <f>ROUND(C24*3.3%,2)</f>
        <v/>
      </c>
      <c r="D29" s="63" t="n"/>
      <c r="E29" s="65">
        <f>C29/$C$40</f>
        <v/>
      </c>
    </row>
    <row r="30" ht="38.25" customHeight="1" s="198">
      <c r="B30" s="63" t="inlineStr">
        <is>
          <t>Дополнительные затраты при производстве строительно-монтажных работ в зимнее время - 1%</t>
        </is>
      </c>
      <c r="C30" s="64">
        <f>ROUND((C24+C29)*1%,2)</f>
        <v/>
      </c>
      <c r="D30" s="63" t="n"/>
      <c r="E30" s="65">
        <f>C30/$C$40</f>
        <v/>
      </c>
    </row>
    <row r="31">
      <c r="B31" s="63" t="inlineStr">
        <is>
          <t>Пусконаладочные работы</t>
        </is>
      </c>
      <c r="C31" s="64">
        <f>ROUND(C25*7%*0.8,2)</f>
        <v/>
      </c>
      <c r="D31" s="63" t="n"/>
      <c r="E31" s="65">
        <f>C31/$C$40</f>
        <v/>
      </c>
    </row>
    <row r="32" ht="25.5" customHeight="1" s="198">
      <c r="B32" s="63" t="inlineStr">
        <is>
          <t>Затраты по перевозке работников к месту работы и обратно</t>
        </is>
      </c>
      <c r="C32" s="64" t="n">
        <v>0</v>
      </c>
      <c r="D32" s="63" t="n"/>
      <c r="E32" s="65">
        <f>C32/$C$40</f>
        <v/>
      </c>
    </row>
    <row r="33" ht="25.5" customHeight="1" s="198">
      <c r="B33" s="63" t="inlineStr">
        <is>
          <t>Затраты, связанные с осуществлением работ вахтовым методом</t>
        </is>
      </c>
      <c r="C33" s="64">
        <f>ROUND(C27*0%,2)</f>
        <v/>
      </c>
      <c r="D33" s="63" t="n"/>
      <c r="E33" s="65">
        <f>C33/$C$40</f>
        <v/>
      </c>
    </row>
    <row r="34" ht="51" customHeight="1" s="198">
      <c r="B34" s="63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64" t="n">
        <v>0</v>
      </c>
      <c r="D34" s="63" t="n"/>
      <c r="E34" s="65">
        <f>C34/$C$40</f>
        <v/>
      </c>
    </row>
    <row r="35" ht="76.5" customHeight="1" s="198">
      <c r="B35" s="63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64" t="n">
        <v>0</v>
      </c>
      <c r="D35" s="63" t="n"/>
      <c r="E35" s="65">
        <f>C35/$C$40</f>
        <v/>
      </c>
    </row>
    <row r="36" ht="25.5" customHeight="1" s="198">
      <c r="B36" s="63" t="inlineStr">
        <is>
          <t>Строительный контроль и содержание службы заказчика - 2,14%</t>
        </is>
      </c>
      <c r="C36" s="64">
        <f>ROUND((C27+C32+C33+C34+C35+C29+C31+C30)*2.14%,2)</f>
        <v/>
      </c>
      <c r="D36" s="63" t="n"/>
      <c r="E36" s="65">
        <f>C36/$C$40</f>
        <v/>
      </c>
      <c r="G36" s="108" t="n"/>
      <c r="L36" s="150" t="n"/>
    </row>
    <row r="37">
      <c r="B37" s="63" t="inlineStr">
        <is>
          <t>Авторский надзор - 0,2%</t>
        </is>
      </c>
      <c r="C37" s="64">
        <f>ROUND((C27+C32+C33+C34+C35+C29+C31+C30)*0.2%,2)</f>
        <v/>
      </c>
      <c r="D37" s="63" t="n"/>
      <c r="E37" s="65">
        <f>C37/$C$40</f>
        <v/>
      </c>
      <c r="G37" s="108" t="n"/>
      <c r="L37" s="150" t="n"/>
    </row>
    <row r="38" ht="38.25" customHeight="1" s="198">
      <c r="B38" s="63" t="inlineStr">
        <is>
          <t>ИТОГО (СМР+ОБОРУДОВАНИЕ+ПРОЧ. ЗАТР., УЧТЕННЫЕ ПОКАЗАТЕЛЕМ)</t>
        </is>
      </c>
      <c r="C38" s="190">
        <f>C27+C32+C33+C34+C35+C29+C31+C30+C36+C37</f>
        <v/>
      </c>
      <c r="D38" s="63" t="n"/>
      <c r="E38" s="65">
        <f>C38/$C$40</f>
        <v/>
      </c>
    </row>
    <row r="39" ht="13.5" customHeight="1" s="198">
      <c r="B39" s="63" t="inlineStr">
        <is>
          <t>Непредвиденные расходы</t>
        </is>
      </c>
      <c r="C39" s="190">
        <f>ROUND(C38*3%,2)</f>
        <v/>
      </c>
      <c r="D39" s="63" t="n"/>
      <c r="E39" s="65">
        <f>C39/$C$38</f>
        <v/>
      </c>
    </row>
    <row r="40">
      <c r="B40" s="63" t="inlineStr">
        <is>
          <t>ВСЕГО:</t>
        </is>
      </c>
      <c r="C40" s="190">
        <f>C39+C38</f>
        <v/>
      </c>
      <c r="D40" s="63" t="n"/>
      <c r="E40" s="65">
        <f>C40/$C$40</f>
        <v/>
      </c>
    </row>
    <row r="41">
      <c r="B41" s="63" t="inlineStr">
        <is>
          <t>ИТОГО ПОКАЗАТЕЛЬ НА ЕД. ИЗМ.</t>
        </is>
      </c>
      <c r="C41" s="190">
        <f>C40/'Прил.5 Расчет СМР и ОБ'!E98</f>
        <v/>
      </c>
      <c r="D41" s="63" t="n"/>
      <c r="E41" s="63" t="n"/>
    </row>
    <row r="42">
      <c r="B42" s="192" t="n"/>
      <c r="C42" s="185" t="n"/>
      <c r="D42" s="185" t="n"/>
      <c r="E42" s="185" t="n"/>
    </row>
    <row r="43">
      <c r="B43" s="185" t="inlineStr">
        <is>
          <t>Составил ______________________       Р.Р. Шагеева</t>
        </is>
      </c>
      <c r="C43" s="195" t="n"/>
      <c r="E43" s="185" t="n"/>
    </row>
    <row r="44">
      <c r="B44" s="196" t="inlineStr">
        <is>
          <t xml:space="preserve">                         (подпись, инициалы, фамилия)</t>
        </is>
      </c>
      <c r="C44" s="195" t="n"/>
      <c r="E44" s="185" t="n"/>
    </row>
    <row r="45">
      <c r="B45" s="185" t="n"/>
      <c r="C45" s="195" t="n"/>
      <c r="D45" s="185" t="n"/>
      <c r="E45" s="185" t="n"/>
    </row>
    <row r="46">
      <c r="B46" s="185" t="inlineStr">
        <is>
          <t>Проверил ______________________        А.В. Костянецкая</t>
        </is>
      </c>
      <c r="C46" s="195" t="n"/>
      <c r="D46" s="185" t="n"/>
      <c r="E46" s="185" t="n"/>
    </row>
    <row r="47">
      <c r="B47" s="196" t="inlineStr">
        <is>
          <t xml:space="preserve">                        (подпись, инициалы, фамилия)</t>
        </is>
      </c>
      <c r="C47" s="195" t="n"/>
      <c r="D47" s="185" t="n"/>
      <c r="E47" s="185" t="n"/>
    </row>
    <row r="49">
      <c r="B49" s="185" t="n"/>
      <c r="C49" s="185" t="n"/>
      <c r="D49" s="185" t="n"/>
      <c r="E49" s="185" t="n"/>
    </row>
    <row r="50">
      <c r="B50" s="185" t="n"/>
      <c r="C50" s="185" t="n"/>
      <c r="D50" s="185" t="n"/>
      <c r="E50" s="185" t="n"/>
    </row>
  </sheetData>
  <mergeCells count="3">
    <mergeCell ref="B7:E7"/>
    <mergeCell ref="B8:E8"/>
    <mergeCell ref="B5:E5"/>
  </mergeCells>
  <pageMargins left="0.7" right="0.7" top="0.75" bottom="0.75" header="0.3" footer="0.3"/>
  <pageSetup orientation="portrait" paperSize="9" scale="78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2:N105"/>
  <sheetViews>
    <sheetView view="pageBreakPreview" topLeftCell="A56" zoomScale="70" workbookViewId="0">
      <selection activeCell="B185" sqref="B185"/>
    </sheetView>
  </sheetViews>
  <sheetFormatPr baseColWidth="8" defaultColWidth="9.140625" defaultRowHeight="15" outlineLevelRow="1"/>
  <cols>
    <col width="5.7109375" customWidth="1" style="195" min="1" max="1"/>
    <col width="22.5703125" customWidth="1" style="195" min="2" max="2"/>
    <col width="39.140625" customWidth="1" style="195" min="3" max="3"/>
    <col width="10.7109375" customWidth="1" style="195" min="4" max="4"/>
    <col width="12.7109375" customWidth="1" style="195" min="5" max="5"/>
    <col width="14.5703125" customWidth="1" style="195" min="6" max="6"/>
    <col width="18" customWidth="1" style="195" min="7" max="7"/>
    <col width="12.7109375" customWidth="1" style="195" min="8" max="8"/>
    <col width="14.5703125" customWidth="1" style="195" min="9" max="9"/>
    <col width="15.140625" customWidth="1" style="195" min="10" max="10"/>
    <col width="3.7109375" customWidth="1" style="195" min="11" max="11"/>
    <col width="9.42578125" customWidth="1" style="195" min="12" max="12"/>
    <col width="10.85546875" customWidth="1" style="195" min="13" max="13"/>
    <col width="9.140625" customWidth="1" style="195" min="14" max="14"/>
    <col width="9.140625" customWidth="1" style="198" min="15" max="15"/>
  </cols>
  <sheetData>
    <row r="2" ht="15.75" customHeight="1" s="198">
      <c r="I2" s="134" t="n"/>
      <c r="J2" s="114" t="inlineStr">
        <is>
          <t>Приложение №5</t>
        </is>
      </c>
    </row>
    <row r="4" ht="12.75" customFormat="1" customHeight="1" s="185">
      <c r="A4" s="214" t="inlineStr">
        <is>
          <t>Расчет стоимости СМР и оборудования</t>
        </is>
      </c>
      <c r="I4" s="214" t="n"/>
      <c r="J4" s="214" t="n"/>
    </row>
    <row r="5" ht="12.75" customFormat="1" customHeight="1" s="185">
      <c r="A5" s="214" t="n"/>
      <c r="B5" s="214" t="n"/>
      <c r="C5" s="214" t="n"/>
      <c r="D5" s="214" t="n"/>
      <c r="E5" s="214" t="n"/>
      <c r="F5" s="214" t="n"/>
      <c r="G5" s="214" t="n"/>
      <c r="H5" s="214" t="n"/>
      <c r="I5" s="214" t="n"/>
      <c r="J5" s="214" t="n"/>
    </row>
    <row r="6" ht="12.75" customFormat="1" customHeight="1" s="185">
      <c r="A6" s="229" t="inlineStr">
        <is>
          <t>Наименование разрабатываемого показателя УНЦ</t>
        </is>
      </c>
      <c r="D6" s="165" t="inlineStr">
        <is>
          <t>Устройство ледозащитных сооружений опор ВЛ</t>
        </is>
      </c>
      <c r="E6" s="164" t="n"/>
      <c r="F6" s="164" t="n"/>
      <c r="G6" s="164" t="n"/>
      <c r="H6" s="164" t="n"/>
      <c r="I6" s="164" t="n"/>
      <c r="J6" s="164" t="n"/>
    </row>
    <row r="7" ht="12.75" customFormat="1" customHeight="1" s="185">
      <c r="A7" s="229">
        <f>'Прил.1 Сравнит табл'!B9</f>
        <v/>
      </c>
      <c r="I7" s="215" t="n"/>
      <c r="J7" s="215" t="n"/>
    </row>
    <row r="8" ht="12.75" customFormat="1" customHeight="1" s="185"/>
    <row r="9" ht="27.75" customHeight="1" s="198">
      <c r="A9" s="218" t="inlineStr">
        <is>
          <t>№ пп.</t>
        </is>
      </c>
      <c r="B9" s="218" t="inlineStr">
        <is>
          <t>Код ресурса</t>
        </is>
      </c>
      <c r="C9" s="218" t="inlineStr">
        <is>
          <t>Наименование</t>
        </is>
      </c>
      <c r="D9" s="218" t="inlineStr">
        <is>
          <t>Ед. изм.</t>
        </is>
      </c>
      <c r="E9" s="218" t="inlineStr">
        <is>
          <t>Кол-во единиц по проектным данным</t>
        </is>
      </c>
      <c r="F9" s="218" t="inlineStr">
        <is>
          <t>Сметная стоимость в ценах на 01.01.2000 (руб.)</t>
        </is>
      </c>
      <c r="G9" s="245" t="n"/>
      <c r="H9" s="218" t="inlineStr">
        <is>
          <t>Удельный вес, %</t>
        </is>
      </c>
      <c r="I9" s="218" t="inlineStr">
        <is>
          <t>Сметная стоимость в ценах на 01.01.2023 (руб.)</t>
        </is>
      </c>
      <c r="J9" s="245" t="n"/>
    </row>
    <row r="10" ht="32.25" customHeight="1" s="198">
      <c r="A10" s="247" t="n"/>
      <c r="B10" s="247" t="n"/>
      <c r="C10" s="247" t="n"/>
      <c r="D10" s="247" t="n"/>
      <c r="E10" s="247" t="n"/>
      <c r="F10" s="218" t="inlineStr">
        <is>
          <t>на ед. изм.</t>
        </is>
      </c>
      <c r="G10" s="218" t="inlineStr">
        <is>
          <t>общая</t>
        </is>
      </c>
      <c r="H10" s="247" t="n"/>
      <c r="I10" s="218" t="inlineStr">
        <is>
          <t>на ед. изм.</t>
        </is>
      </c>
      <c r="J10" s="218" t="inlineStr">
        <is>
          <t>общая</t>
        </is>
      </c>
    </row>
    <row r="11">
      <c r="A11" s="218" t="n">
        <v>1</v>
      </c>
      <c r="B11" s="218" t="n">
        <v>2</v>
      </c>
      <c r="C11" s="218" t="n">
        <v>3</v>
      </c>
      <c r="D11" s="218" t="n">
        <v>4</v>
      </c>
      <c r="E11" s="218" t="n">
        <v>5</v>
      </c>
      <c r="F11" s="218" t="n">
        <v>6</v>
      </c>
      <c r="G11" s="218" t="n">
        <v>7</v>
      </c>
      <c r="H11" s="218" t="n">
        <v>8</v>
      </c>
      <c r="I11" s="218" t="n">
        <v>9</v>
      </c>
      <c r="J11" s="218" t="n">
        <v>10</v>
      </c>
    </row>
    <row r="12">
      <c r="A12" s="218" t="n"/>
      <c r="B12" s="212" t="inlineStr">
        <is>
          <t>Затраты труда рабочих-строителей</t>
        </is>
      </c>
      <c r="C12" s="244" t="n"/>
      <c r="D12" s="244" t="n"/>
      <c r="E12" s="244" t="n"/>
      <c r="F12" s="244" t="n"/>
      <c r="G12" s="244" t="n"/>
      <c r="H12" s="245" t="n"/>
      <c r="I12" s="75" t="n"/>
      <c r="J12" s="75" t="n"/>
    </row>
    <row r="13" ht="25.5" customHeight="1" s="198">
      <c r="A13" s="218" t="n">
        <v>1</v>
      </c>
      <c r="B13" s="105" t="inlineStr">
        <is>
          <t>1-3-3</t>
        </is>
      </c>
      <c r="C13" s="155" t="inlineStr">
        <is>
          <t>Затраты труда рабочих (средний разряд работы 3,3)</t>
        </is>
      </c>
      <c r="D13" s="218" t="inlineStr">
        <is>
          <t>чел.-ч.</t>
        </is>
      </c>
      <c r="E13" s="162" t="n">
        <v>13157.934074492</v>
      </c>
      <c r="F13" s="77">
        <f>G13/E13</f>
        <v/>
      </c>
      <c r="G13" s="163" t="n">
        <v>116579.2959</v>
      </c>
      <c r="H13" s="222">
        <f>G13/G14</f>
        <v/>
      </c>
      <c r="I13" s="77">
        <f>ФОТр.тек.!E13</f>
        <v/>
      </c>
      <c r="J13" s="77">
        <f>ROUND(I13*E13,2)</f>
        <v/>
      </c>
      <c r="M13" s="174" t="n"/>
    </row>
    <row r="14" ht="25.5" customFormat="1" customHeight="1" s="195">
      <c r="A14" s="218" t="n"/>
      <c r="B14" s="218" t="n"/>
      <c r="C14" s="212" t="inlineStr">
        <is>
          <t>Итого по разделу "Затраты труда рабочих-строителей"</t>
        </is>
      </c>
      <c r="D14" s="218" t="inlineStr">
        <is>
          <t>чел.-ч.</t>
        </is>
      </c>
      <c r="E14" s="103">
        <f>SUM(E13:E13)</f>
        <v/>
      </c>
      <c r="F14" s="77" t="n"/>
      <c r="G14" s="77">
        <f>SUM(G13:G13)</f>
        <v/>
      </c>
      <c r="H14" s="222" t="n">
        <v>1</v>
      </c>
      <c r="I14" s="77" t="n"/>
      <c r="J14" s="77">
        <f>SUM(J13:J13)</f>
        <v/>
      </c>
      <c r="K14" s="79" t="n"/>
      <c r="L14" s="149" t="n"/>
    </row>
    <row r="15" ht="14.25" customFormat="1" customHeight="1" s="195">
      <c r="A15" s="218" t="n"/>
      <c r="B15" s="217" t="inlineStr">
        <is>
          <t>Затраты труда машинистов</t>
        </is>
      </c>
      <c r="C15" s="244" t="n"/>
      <c r="D15" s="244" t="n"/>
      <c r="E15" s="244" t="n"/>
      <c r="F15" s="244" t="n"/>
      <c r="G15" s="244" t="n"/>
      <c r="H15" s="245" t="n"/>
      <c r="I15" s="75" t="n"/>
      <c r="J15" s="75" t="n"/>
    </row>
    <row r="16" ht="14.25" customFormat="1" customHeight="1" s="195">
      <c r="A16" s="218" t="n">
        <v>2</v>
      </c>
      <c r="B16" s="218" t="n">
        <v>2</v>
      </c>
      <c r="C16" s="217" t="inlineStr">
        <is>
          <t>Затраты труда машинистов</t>
        </is>
      </c>
      <c r="D16" s="218" t="inlineStr">
        <is>
          <t>чел.-ч.</t>
        </is>
      </c>
      <c r="E16" s="80" t="n">
        <v>3517.95</v>
      </c>
      <c r="F16" s="77">
        <f>G16/E16</f>
        <v/>
      </c>
      <c r="G16" s="77" t="n">
        <v>48786.6</v>
      </c>
      <c r="H16" s="222" t="n">
        <v>1</v>
      </c>
      <c r="I16" s="77">
        <f>ROUND(F16*Прил.10!D10,2)</f>
        <v/>
      </c>
      <c r="J16" s="77">
        <f>ROUND(I16*E16,2)</f>
        <v/>
      </c>
      <c r="L16" s="149" t="n"/>
    </row>
    <row r="17" ht="14.25" customFormat="1" customHeight="1" s="195">
      <c r="A17" s="218" t="n"/>
      <c r="B17" s="212" t="inlineStr">
        <is>
          <t>Машины и механизмы</t>
        </is>
      </c>
      <c r="C17" s="244" t="n"/>
      <c r="D17" s="244" t="n"/>
      <c r="E17" s="244" t="n"/>
      <c r="F17" s="244" t="n"/>
      <c r="G17" s="244" t="n"/>
      <c r="H17" s="245" t="n"/>
      <c r="I17" s="222" t="n"/>
      <c r="J17" s="222" t="n"/>
    </row>
    <row r="18" ht="14.25" customFormat="1" customHeight="1" s="195">
      <c r="A18" s="218" t="n"/>
      <c r="B18" s="217" t="inlineStr">
        <is>
          <t>Основные машины и механизмы</t>
        </is>
      </c>
      <c r="C18" s="244" t="n"/>
      <c r="D18" s="244" t="n"/>
      <c r="E18" s="244" t="n"/>
      <c r="F18" s="244" t="n"/>
      <c r="G18" s="244" t="n"/>
      <c r="H18" s="245" t="n"/>
      <c r="I18" s="75" t="n"/>
      <c r="J18" s="75" t="n"/>
    </row>
    <row r="19" ht="25.5" customFormat="1" customHeight="1" s="195">
      <c r="A19" s="218" t="n">
        <v>3</v>
      </c>
      <c r="B19" s="105" t="inlineStr">
        <is>
          <t>91.02.02-003</t>
        </is>
      </c>
      <c r="C19" s="155" t="inlineStr">
        <is>
          <t>Агрегаты копровые без дизель-молота на базе экскаватора: 1 м3</t>
        </is>
      </c>
      <c r="D19" s="105" t="inlineStr">
        <is>
          <t>маш.час</t>
        </is>
      </c>
      <c r="E19" s="162" t="n">
        <v>982.4299999999999</v>
      </c>
      <c r="F19" s="163" t="n">
        <v>200.67</v>
      </c>
      <c r="G19" s="163">
        <f>E19*F19</f>
        <v/>
      </c>
      <c r="H19" s="222">
        <f>G19/$G$43</f>
        <v/>
      </c>
      <c r="I19" s="77">
        <f>ROUND(F19*Прил.10!$D$11,2)</f>
        <v/>
      </c>
      <c r="J19" s="77">
        <f>ROUND(I19*E19,2)</f>
        <v/>
      </c>
      <c r="L19" s="149" t="n"/>
    </row>
    <row r="20" ht="51" customFormat="1" customHeight="1" s="195">
      <c r="A20" s="218" t="n">
        <v>4</v>
      </c>
      <c r="B20" s="105" t="inlineStr">
        <is>
          <t>91.04.01-021</t>
        </is>
      </c>
      <c r="C20" s="155" t="inlineStr">
        <is>
          <t>Комплекты оборудования шнекового бурения на базе автомобиля глубина бурения до 50 м, грузоподъемность мачты 3,7 т</t>
        </is>
      </c>
      <c r="D20" s="105" t="inlineStr">
        <is>
          <t>маш.час</t>
        </is>
      </c>
      <c r="E20" s="162" t="n">
        <v>1198.76</v>
      </c>
      <c r="F20" s="163" t="n">
        <v>87.59999999999999</v>
      </c>
      <c r="G20" s="163">
        <f>E20*F20</f>
        <v/>
      </c>
      <c r="H20" s="222">
        <f>G20/$G$43</f>
        <v/>
      </c>
      <c r="I20" s="77">
        <f>ROUND(F20*Прил.10!$D$11,2)</f>
        <v/>
      </c>
      <c r="J20" s="77">
        <f>ROUND(I20*E20,2)</f>
        <v/>
      </c>
    </row>
    <row r="21" ht="14.25" customFormat="1" customHeight="1" s="195">
      <c r="A21" s="218" t="n">
        <v>5</v>
      </c>
      <c r="B21" s="105" t="inlineStr">
        <is>
          <t>91.02.03-024</t>
        </is>
      </c>
      <c r="C21" s="155" t="inlineStr">
        <is>
          <t>Дизель-молоты: 2,5 т</t>
        </is>
      </c>
      <c r="D21" s="105" t="inlineStr">
        <is>
          <t>маш.час</t>
        </is>
      </c>
      <c r="E21" s="162" t="n">
        <v>982.4299999999999</v>
      </c>
      <c r="F21" s="163" t="n">
        <v>70.67</v>
      </c>
      <c r="G21" s="163">
        <f>E21*F21</f>
        <v/>
      </c>
      <c r="H21" s="222">
        <f>G21/$G$43</f>
        <v/>
      </c>
      <c r="I21" s="77">
        <f>ROUND(F21*Прил.10!$D$11,2)</f>
        <v/>
      </c>
      <c r="J21" s="77">
        <f>ROUND(I21*E21,2)</f>
        <v/>
      </c>
    </row>
    <row r="22" ht="25.5" customFormat="1" customHeight="1" s="195">
      <c r="A22" s="218" t="n">
        <v>6</v>
      </c>
      <c r="B22" s="105" t="inlineStr">
        <is>
          <t>91.05.06-007</t>
        </is>
      </c>
      <c r="C22" s="155" t="inlineStr">
        <is>
          <t>Краны на гусеничном ходу, грузоподъемность 25 т</t>
        </is>
      </c>
      <c r="D22" s="105" t="inlineStr">
        <is>
          <t>маш.час</t>
        </is>
      </c>
      <c r="E22" s="162" t="n">
        <v>311.53</v>
      </c>
      <c r="F22" s="163" t="n">
        <v>120.04</v>
      </c>
      <c r="G22" s="163">
        <f>E22*F22</f>
        <v/>
      </c>
      <c r="H22" s="222">
        <f>G22/$G$43</f>
        <v/>
      </c>
      <c r="I22" s="77">
        <f>ROUND(F22*Прил.10!$D$11,2)</f>
        <v/>
      </c>
      <c r="J22" s="77">
        <f>ROUND(I22*E22,2)</f>
        <v/>
      </c>
    </row>
    <row r="23" ht="25.5" customFormat="1" customHeight="1" s="195">
      <c r="A23" s="218" t="n">
        <v>7</v>
      </c>
      <c r="B23" s="105" t="inlineStr">
        <is>
          <t>91.10.05-001</t>
        </is>
      </c>
      <c r="C23" s="155" t="inlineStr">
        <is>
          <t>Трубоукладчики для труб диаметром: 800-1000 мм, грузоподъемность 35 т</t>
        </is>
      </c>
      <c r="D23" s="105" t="inlineStr">
        <is>
          <t>маш.час</t>
        </is>
      </c>
      <c r="E23" s="162" t="n">
        <v>203.21</v>
      </c>
      <c r="F23" s="163" t="n">
        <v>175.35</v>
      </c>
      <c r="G23" s="163">
        <f>E23*F23</f>
        <v/>
      </c>
      <c r="H23" s="222">
        <f>G23/$G$43</f>
        <v/>
      </c>
      <c r="I23" s="77">
        <f>ROUND(F23*Прил.10!$D$11,2)</f>
        <v/>
      </c>
      <c r="J23" s="77">
        <f>ROUND(I23*E23,2)</f>
        <v/>
      </c>
    </row>
    <row r="24" ht="14.25" customFormat="1" customHeight="1" s="195">
      <c r="A24" s="218" t="n"/>
      <c r="B24" s="218" t="n"/>
      <c r="C24" s="217" t="inlineStr">
        <is>
          <t>Итого основные машины и механизмы</t>
        </is>
      </c>
      <c r="D24" s="218" t="n"/>
      <c r="E24" s="84" t="n"/>
      <c r="F24" s="77" t="n"/>
      <c r="G24" s="77">
        <f>SUM(G19:G23)</f>
        <v/>
      </c>
      <c r="H24" s="222">
        <f>G24/G43</f>
        <v/>
      </c>
      <c r="I24" s="77" t="n"/>
      <c r="J24" s="77">
        <f>SUM(J19:J23)</f>
        <v/>
      </c>
      <c r="L24" s="79" t="n"/>
    </row>
    <row r="25" hidden="1" outlineLevel="1" ht="25.5" customFormat="1" customHeight="1" s="195">
      <c r="A25" s="218" t="n">
        <v>8</v>
      </c>
      <c r="B25" s="105" t="inlineStr">
        <is>
          <t>91.05.05-014</t>
        </is>
      </c>
      <c r="C25" s="155" t="inlineStr">
        <is>
          <t>Краны на автомобильном ходу, грузоподъемность 10 т</t>
        </is>
      </c>
      <c r="D25" s="105" t="inlineStr">
        <is>
          <t>маш.час</t>
        </is>
      </c>
      <c r="E25" s="162" t="n">
        <v>242</v>
      </c>
      <c r="F25" s="163" t="n">
        <v>111.99</v>
      </c>
      <c r="G25" s="163">
        <f>E25*F25</f>
        <v/>
      </c>
      <c r="H25" s="222">
        <f>G25/$G$43</f>
        <v/>
      </c>
      <c r="I25" s="77">
        <f>ROUND(F25*Прил.10!$D$11,2)</f>
        <v/>
      </c>
      <c r="J25" s="77">
        <f>ROUND(I25*E25,2)</f>
        <v/>
      </c>
      <c r="L25" s="79" t="n"/>
    </row>
    <row r="26" hidden="1" outlineLevel="1" ht="51" customFormat="1" customHeight="1" s="195">
      <c r="A26" s="218" t="n">
        <v>9</v>
      </c>
      <c r="B26" s="105" t="inlineStr">
        <is>
          <t>91.18.01-007</t>
        </is>
      </c>
      <c r="C26" s="155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D26" s="105" t="inlineStr">
        <is>
          <t>маш.час</t>
        </is>
      </c>
      <c r="E26" s="162" t="n">
        <v>125.58</v>
      </c>
      <c r="F26" s="163" t="n">
        <v>90</v>
      </c>
      <c r="G26" s="163">
        <f>E26*F26</f>
        <v/>
      </c>
      <c r="H26" s="222">
        <f>G26/$G$43</f>
        <v/>
      </c>
      <c r="I26" s="77">
        <f>ROUND(F26*Прил.10!$D$11,2)</f>
        <v/>
      </c>
      <c r="J26" s="77">
        <f>ROUND(I26*E26,2)</f>
        <v/>
      </c>
      <c r="L26" s="79" t="n"/>
    </row>
    <row r="27" hidden="1" outlineLevel="1" ht="25.5" customFormat="1" customHeight="1" s="195">
      <c r="A27" s="218" t="n">
        <v>10</v>
      </c>
      <c r="B27" s="105" t="inlineStr">
        <is>
          <t>91.06.09-061</t>
        </is>
      </c>
      <c r="C27" s="155" t="inlineStr">
        <is>
          <t>Подмости самоходные высотой подъема: 12 м</t>
        </is>
      </c>
      <c r="D27" s="105" t="inlineStr">
        <is>
          <t>маш.час</t>
        </is>
      </c>
      <c r="E27" s="162" t="n">
        <v>285.24</v>
      </c>
      <c r="F27" s="163" t="n">
        <v>35.3</v>
      </c>
      <c r="G27" s="163">
        <f>E27*F27</f>
        <v/>
      </c>
      <c r="H27" s="222">
        <f>G27/$G$43</f>
        <v/>
      </c>
      <c r="I27" s="77">
        <f>ROUND(F27*Прил.10!$D$11,2)</f>
        <v/>
      </c>
      <c r="J27" s="77">
        <f>ROUND(I27*E27,2)</f>
        <v/>
      </c>
      <c r="L27" s="79" t="n"/>
    </row>
    <row r="28" hidden="1" outlineLevel="1" ht="51" customFormat="1" customHeight="1" s="195">
      <c r="A28" s="218" t="n">
        <v>11</v>
      </c>
      <c r="B28" s="105" t="inlineStr">
        <is>
          <t>03-21-01-002</t>
        </is>
      </c>
      <c r="C28" s="155" t="inlineStr">
        <is>
          <t>Перевозка грузов автомобилями-самосвалами грузоподъемностью 10 т работающих вне карьера на расстояние: I класс груза до 2 км</t>
        </is>
      </c>
      <c r="D28" s="105" t="inlineStr">
        <is>
          <t>1 т груза</t>
        </is>
      </c>
      <c r="E28" s="162" t="n">
        <v>1632.078</v>
      </c>
      <c r="F28" s="163" t="n">
        <v>3.86</v>
      </c>
      <c r="G28" s="163">
        <f>E28*F28</f>
        <v/>
      </c>
      <c r="H28" s="222">
        <f>G28/$G$43</f>
        <v/>
      </c>
      <c r="I28" s="77">
        <f>ROUND(F28*Прил.10!$D$11,2)</f>
        <v/>
      </c>
      <c r="J28" s="77">
        <f>ROUND(I28*E28,2)</f>
        <v/>
      </c>
      <c r="L28" s="79" t="n"/>
    </row>
    <row r="29" hidden="1" outlineLevel="1" ht="25.5" customFormat="1" customHeight="1" s="195">
      <c r="A29" s="218" t="n">
        <v>12</v>
      </c>
      <c r="B29" s="105" t="inlineStr">
        <is>
          <t>91.14.02-001</t>
        </is>
      </c>
      <c r="C29" s="155" t="inlineStr">
        <is>
          <t>Автомобили бортовые, грузоподъемность: до 5 т</t>
        </is>
      </c>
      <c r="D29" s="105" t="inlineStr">
        <is>
          <t>маш.час</t>
        </is>
      </c>
      <c r="E29" s="162" t="n">
        <v>48.71</v>
      </c>
      <c r="F29" s="163" t="n">
        <v>65.70999999999999</v>
      </c>
      <c r="G29" s="163">
        <f>E29*F29</f>
        <v/>
      </c>
      <c r="H29" s="222">
        <f>G29/$G$43</f>
        <v/>
      </c>
      <c r="I29" s="77">
        <f>ROUND(F29*Прил.10!$D$11,2)</f>
        <v/>
      </c>
      <c r="J29" s="77">
        <f>ROUND(I29*E29,2)</f>
        <v/>
      </c>
      <c r="L29" s="79" t="n"/>
    </row>
    <row r="30" hidden="1" outlineLevel="1" ht="25.5" customFormat="1" customHeight="1" s="195">
      <c r="A30" s="218" t="n">
        <v>13</v>
      </c>
      <c r="B30" s="105" t="inlineStr">
        <is>
          <t>91.14.04-001</t>
        </is>
      </c>
      <c r="C30" s="155" t="inlineStr">
        <is>
          <t>Тягачи седельные, грузоподъемность: 12 т</t>
        </is>
      </c>
      <c r="D30" s="105" t="inlineStr">
        <is>
          <t>маш.час</t>
        </is>
      </c>
      <c r="E30" s="162" t="n">
        <v>22.81</v>
      </c>
      <c r="F30" s="163" t="n">
        <v>102.84</v>
      </c>
      <c r="G30" s="163">
        <f>E30*F30</f>
        <v/>
      </c>
      <c r="H30" s="222">
        <f>G30/$G$43</f>
        <v/>
      </c>
      <c r="I30" s="77">
        <f>ROUND(F30*Прил.10!$D$11,2)</f>
        <v/>
      </c>
      <c r="J30" s="77">
        <f>ROUND(I30*E30,2)</f>
        <v/>
      </c>
      <c r="L30" s="79" t="n"/>
    </row>
    <row r="31" hidden="1" outlineLevel="1" ht="14.25" customFormat="1" customHeight="1" s="195">
      <c r="A31" s="218" t="n">
        <v>14</v>
      </c>
      <c r="B31" s="105" t="inlineStr">
        <is>
          <t>91.06.05-011</t>
        </is>
      </c>
      <c r="C31" s="155" t="inlineStr">
        <is>
          <t>Погрузчик, грузоподъемность 5 т</t>
        </is>
      </c>
      <c r="D31" s="105" t="inlineStr">
        <is>
          <t>маш.час</t>
        </is>
      </c>
      <c r="E31" s="162" t="n">
        <v>20.06</v>
      </c>
      <c r="F31" s="163" t="n">
        <v>89.98999999999999</v>
      </c>
      <c r="G31" s="163">
        <f>E31*F31</f>
        <v/>
      </c>
      <c r="H31" s="222">
        <f>G31/$G$43</f>
        <v/>
      </c>
      <c r="I31" s="77">
        <f>ROUND(F31*Прил.10!$D$11,2)</f>
        <v/>
      </c>
      <c r="J31" s="77">
        <f>ROUND(I31*E31,2)</f>
        <v/>
      </c>
      <c r="L31" s="79" t="n"/>
    </row>
    <row r="32" hidden="1" outlineLevel="1" ht="38.25" customFormat="1" customHeight="1" s="195">
      <c r="A32" s="218" t="n">
        <v>15</v>
      </c>
      <c r="B32" s="105" t="inlineStr">
        <is>
          <t>91.21.01-012</t>
        </is>
      </c>
      <c r="C32" s="155" t="inlineStr">
        <is>
          <t>Агрегаты окрасочные высокого давления для окраски поверхностей конструкций, мощность 1 кВт</t>
        </is>
      </c>
      <c r="D32" s="105" t="inlineStr">
        <is>
          <t>маш.час</t>
        </is>
      </c>
      <c r="E32" s="162" t="n">
        <v>176.99</v>
      </c>
      <c r="F32" s="163" t="n">
        <v>6.82</v>
      </c>
      <c r="G32" s="163">
        <f>E32*F32</f>
        <v/>
      </c>
      <c r="H32" s="222">
        <f>G32/$G$43</f>
        <v/>
      </c>
      <c r="I32" s="77">
        <f>ROUND(F32*Прил.10!$D$11,2)</f>
        <v/>
      </c>
      <c r="J32" s="77">
        <f>ROUND(I32*E32,2)</f>
        <v/>
      </c>
      <c r="L32" s="79" t="n"/>
    </row>
    <row r="33" hidden="1" outlineLevel="1" ht="25.5" customFormat="1" customHeight="1" s="195">
      <c r="A33" s="218" t="n">
        <v>16</v>
      </c>
      <c r="B33" s="105" t="inlineStr">
        <is>
          <t>91.05.06-012</t>
        </is>
      </c>
      <c r="C33" s="155" t="inlineStr">
        <is>
          <t>Краны на гусеничном ходу, грузоподъемность до 16 т</t>
        </is>
      </c>
      <c r="D33" s="105" t="inlineStr">
        <is>
          <t>маш.час</t>
        </is>
      </c>
      <c r="E33" s="162" t="n">
        <v>11.98</v>
      </c>
      <c r="F33" s="163" t="n">
        <v>96.89</v>
      </c>
      <c r="G33" s="163">
        <f>E33*F33</f>
        <v/>
      </c>
      <c r="H33" s="222">
        <f>G33/$G$43</f>
        <v/>
      </c>
      <c r="I33" s="77">
        <f>ROUND(F33*Прил.10!$D$11,2)</f>
        <v/>
      </c>
      <c r="J33" s="77">
        <f>ROUND(I33*E33,2)</f>
        <v/>
      </c>
      <c r="L33" s="79" t="n"/>
    </row>
    <row r="34" hidden="1" outlineLevel="1" ht="14.25" customFormat="1" customHeight="1" s="195">
      <c r="A34" s="218" t="n">
        <v>17</v>
      </c>
      <c r="B34" s="105" t="inlineStr">
        <is>
          <t>91.07.08-025</t>
        </is>
      </c>
      <c r="C34" s="155" t="inlineStr">
        <is>
          <t>Растворосмесители передвижные: 250 л</t>
        </is>
      </c>
      <c r="D34" s="105" t="inlineStr">
        <is>
          <t>маш.час</t>
        </is>
      </c>
      <c r="E34" s="162" t="n">
        <v>59.95</v>
      </c>
      <c r="F34" s="163" t="n">
        <v>16.31</v>
      </c>
      <c r="G34" s="163">
        <f>E34*F34</f>
        <v/>
      </c>
      <c r="H34" s="222">
        <f>G34/$G$43</f>
        <v/>
      </c>
      <c r="I34" s="77">
        <f>ROUND(F34*Прил.10!$D$11,2)</f>
        <v/>
      </c>
      <c r="J34" s="77">
        <f>ROUND(I34*E34,2)</f>
        <v/>
      </c>
      <c r="L34" s="79" t="n"/>
    </row>
    <row r="35" hidden="1" outlineLevel="1" ht="14.25" customFormat="1" customHeight="1" s="195">
      <c r="A35" s="218" t="n">
        <v>18</v>
      </c>
      <c r="B35" s="105" t="inlineStr">
        <is>
          <t>91.05.02-005</t>
        </is>
      </c>
      <c r="C35" s="155" t="inlineStr">
        <is>
          <t>Краны козловые, грузоподъемность 32 т</t>
        </is>
      </c>
      <c r="D35" s="105" t="inlineStr">
        <is>
          <t>маш.час</t>
        </is>
      </c>
      <c r="E35" s="162" t="n">
        <v>3.89</v>
      </c>
      <c r="F35" s="163" t="n">
        <v>120.24</v>
      </c>
      <c r="G35" s="163">
        <f>E35*F35</f>
        <v/>
      </c>
      <c r="H35" s="222">
        <f>G35/$G$43</f>
        <v/>
      </c>
      <c r="I35" s="77">
        <f>ROUND(F35*Прил.10!$D$11,2)</f>
        <v/>
      </c>
      <c r="J35" s="77">
        <f>ROUND(I35*E35,2)</f>
        <v/>
      </c>
      <c r="L35" s="79" t="n"/>
    </row>
    <row r="36" hidden="1" outlineLevel="1" ht="25.5" customFormat="1" customHeight="1" s="195">
      <c r="A36" s="218" t="n">
        <v>19</v>
      </c>
      <c r="B36" s="105" t="inlineStr">
        <is>
          <t>91.14.05-011</t>
        </is>
      </c>
      <c r="C36" s="155" t="inlineStr">
        <is>
          <t>Полуприцепы общего назначения, грузоподъемность: 12 т</t>
        </is>
      </c>
      <c r="D36" s="105" t="inlineStr">
        <is>
          <t>маш.час</t>
        </is>
      </c>
      <c r="E36" s="162" t="n">
        <v>22.81</v>
      </c>
      <c r="F36" s="163" t="n">
        <v>12</v>
      </c>
      <c r="G36" s="163">
        <f>E36*F36</f>
        <v/>
      </c>
      <c r="H36" s="222">
        <f>G36/$G$43</f>
        <v/>
      </c>
      <c r="I36" s="77">
        <f>ROUND(F36*Прил.10!$D$11,2)</f>
        <v/>
      </c>
      <c r="J36" s="77">
        <f>ROUND(I36*E36,2)</f>
        <v/>
      </c>
      <c r="L36" s="79" t="n"/>
    </row>
    <row r="37" hidden="1" outlineLevel="1" ht="25.5" customFormat="1" customHeight="1" s="195">
      <c r="A37" s="218" t="n">
        <v>20</v>
      </c>
      <c r="B37" s="105" t="inlineStr">
        <is>
          <t>91.03.19-092</t>
        </is>
      </c>
      <c r="C37" s="155" t="inlineStr">
        <is>
          <t>Сболчиватели пневматические (без сжатого воздуха)</t>
        </is>
      </c>
      <c r="D37" s="105" t="inlineStr">
        <is>
          <t>маш.час</t>
        </is>
      </c>
      <c r="E37" s="162" t="n">
        <v>110.01</v>
      </c>
      <c r="F37" s="163" t="n">
        <v>2.19</v>
      </c>
      <c r="G37" s="163">
        <f>E37*F37</f>
        <v/>
      </c>
      <c r="H37" s="222">
        <f>G37/$G$43</f>
        <v/>
      </c>
      <c r="I37" s="77">
        <f>ROUND(F37*Прил.10!$D$11,2)</f>
        <v/>
      </c>
      <c r="J37" s="77">
        <f>ROUND(I37*E37,2)</f>
        <v/>
      </c>
      <c r="L37" s="79" t="n"/>
    </row>
    <row r="38" hidden="1" outlineLevel="1" ht="14.25" customFormat="1" customHeight="1" s="195">
      <c r="A38" s="218" t="n">
        <v>21</v>
      </c>
      <c r="B38" s="105" t="inlineStr">
        <is>
          <t>91.17.04-042</t>
        </is>
      </c>
      <c r="C38" s="155" t="inlineStr">
        <is>
          <t>Аппарат для газовой сварки и резки</t>
        </is>
      </c>
      <c r="D38" s="105" t="inlineStr">
        <is>
          <t>маш.час</t>
        </is>
      </c>
      <c r="E38" s="162" t="n">
        <v>163.55</v>
      </c>
      <c r="F38" s="163" t="n">
        <v>1.2</v>
      </c>
      <c r="G38" s="163">
        <f>E38*F38</f>
        <v/>
      </c>
      <c r="H38" s="222">
        <f>G38/$G$43</f>
        <v/>
      </c>
      <c r="I38" s="77">
        <f>ROUND(F38*Прил.10!$D$11,2)</f>
        <v/>
      </c>
      <c r="J38" s="77">
        <f>ROUND(I38*E38,2)</f>
        <v/>
      </c>
      <c r="L38" s="79" t="n"/>
    </row>
    <row r="39" hidden="1" outlineLevel="1" ht="25.5" customFormat="1" customHeight="1" s="195">
      <c r="A39" s="218" t="n">
        <v>22</v>
      </c>
      <c r="B39" s="105" t="inlineStr">
        <is>
          <t>91.14.02-002</t>
        </is>
      </c>
      <c r="C39" s="155" t="inlineStr">
        <is>
          <t>Автомобили бортовые, грузоподъемность: до 8 т</t>
        </is>
      </c>
      <c r="D39" s="105" t="inlineStr">
        <is>
          <t>маш.час</t>
        </is>
      </c>
      <c r="E39" s="162" t="n">
        <v>1.8</v>
      </c>
      <c r="F39" s="163" t="n">
        <v>85.84</v>
      </c>
      <c r="G39" s="163">
        <f>E39*F39</f>
        <v/>
      </c>
      <c r="H39" s="222">
        <f>G39/$G$43</f>
        <v/>
      </c>
      <c r="I39" s="77">
        <f>ROUND(F39*Прил.10!$D$11,2)</f>
        <v/>
      </c>
      <c r="J39" s="77">
        <f>ROUND(I39*E39,2)</f>
        <v/>
      </c>
      <c r="L39" s="79" t="n"/>
    </row>
    <row r="40" hidden="1" outlineLevel="1" ht="25.5" customFormat="1" customHeight="1" s="195">
      <c r="A40" s="218" t="n">
        <v>23</v>
      </c>
      <c r="B40" s="105" t="inlineStr">
        <is>
          <t>91.06.01-003</t>
        </is>
      </c>
      <c r="C40" s="155" t="inlineStr">
        <is>
          <t>Домкраты гидравлические, грузоподъемность 63-100 т</t>
        </is>
      </c>
      <c r="D40" s="105" t="inlineStr">
        <is>
          <t>маш.час</t>
        </is>
      </c>
      <c r="E40" s="162" t="n">
        <v>11.68</v>
      </c>
      <c r="F40" s="163" t="n">
        <v>0.9</v>
      </c>
      <c r="G40" s="163">
        <f>E40*F40</f>
        <v/>
      </c>
      <c r="H40" s="222">
        <f>G40/$G$43</f>
        <v/>
      </c>
      <c r="I40" s="77">
        <f>ROUND(F40*Прил.10!$D$11,2)</f>
        <v/>
      </c>
      <c r="J40" s="77">
        <f>ROUND(I40*E40,2)</f>
        <v/>
      </c>
      <c r="L40" s="79" t="n"/>
    </row>
    <row r="41" hidden="1" outlineLevel="1" ht="25.5" customFormat="1" customHeight="1" s="195">
      <c r="A41" s="218" t="n">
        <v>24</v>
      </c>
      <c r="B41" s="105" t="inlineStr">
        <is>
          <t>91.06.03-060</t>
        </is>
      </c>
      <c r="C41" s="155" t="inlineStr">
        <is>
          <t>Лебедки электрические тяговым усилием: до 5,79 кН (0,59 т)</t>
        </is>
      </c>
      <c r="D41" s="105" t="inlineStr">
        <is>
          <t>маш.час</t>
        </is>
      </c>
      <c r="E41" s="162" t="n">
        <v>2.23</v>
      </c>
      <c r="F41" s="163" t="n">
        <v>1.7</v>
      </c>
      <c r="G41" s="163">
        <f>E41*F41</f>
        <v/>
      </c>
      <c r="H41" s="222">
        <f>G41/$G$43</f>
        <v/>
      </c>
      <c r="I41" s="77">
        <f>ROUND(F41*Прил.10!$D$11,2)</f>
        <v/>
      </c>
      <c r="J41" s="77">
        <f>ROUND(I41*E41,2)</f>
        <v/>
      </c>
      <c r="L41" s="79" t="n"/>
    </row>
    <row r="42" collapsed="1" ht="14.25" customFormat="1" customHeight="1" s="195">
      <c r="A42" s="218" t="n"/>
      <c r="B42" s="218" t="n"/>
      <c r="C42" s="217" t="inlineStr">
        <is>
          <t>Итого прочие машины и механизмы</t>
        </is>
      </c>
      <c r="D42" s="218" t="n"/>
      <c r="E42" s="219" t="n"/>
      <c r="F42" s="77" t="n"/>
      <c r="G42" s="77">
        <f>SUM(G25:G41)</f>
        <v/>
      </c>
      <c r="H42" s="222">
        <f>G42/G43</f>
        <v/>
      </c>
      <c r="I42" s="77" t="n"/>
      <c r="J42" s="77">
        <f>SUM(J25:J41)</f>
        <v/>
      </c>
      <c r="K42" s="79" t="n"/>
      <c r="L42" s="79" t="n"/>
    </row>
    <row r="43" ht="25.5" customFormat="1" customHeight="1" s="195">
      <c r="A43" s="218" t="n"/>
      <c r="B43" s="230" t="n"/>
      <c r="C43" s="87" t="inlineStr">
        <is>
          <t>Итого по разделу «Машины и механизмы»</t>
        </is>
      </c>
      <c r="D43" s="230" t="n"/>
      <c r="E43" s="88" t="n"/>
      <c r="F43" s="89" t="n"/>
      <c r="G43" s="89">
        <f>G24+G42</f>
        <v/>
      </c>
      <c r="H43" s="90" t="n">
        <v>1</v>
      </c>
      <c r="I43" s="89" t="n"/>
      <c r="J43" s="89">
        <f>J24+J42</f>
        <v/>
      </c>
      <c r="L43" s="149" t="n"/>
    </row>
    <row r="44" s="198">
      <c r="A44" s="227" t="n"/>
      <c r="B44" s="212" t="inlineStr">
        <is>
          <t xml:space="preserve">Оборудование </t>
        </is>
      </c>
      <c r="C44" s="244" t="n"/>
      <c r="D44" s="244" t="n"/>
      <c r="E44" s="244" t="n"/>
      <c r="F44" s="244" t="n"/>
      <c r="G44" s="244" t="n"/>
      <c r="H44" s="244" t="n"/>
      <c r="I44" s="244" t="n"/>
      <c r="J44" s="245" t="n"/>
      <c r="K44" s="195" t="n"/>
      <c r="L44" s="195" t="n"/>
      <c r="M44" s="195" t="n"/>
      <c r="N44" s="195" t="n"/>
    </row>
    <row r="45" s="198">
      <c r="A45" s="218" t="n"/>
      <c r="B45" s="223" t="inlineStr">
        <is>
          <t>Основное оборудование</t>
        </is>
      </c>
      <c r="K45" s="195" t="n"/>
      <c r="L45" s="195" t="n"/>
      <c r="M45" s="195" t="n"/>
      <c r="N45" s="195" t="n"/>
    </row>
    <row r="46" s="198">
      <c r="A46" s="218" t="n"/>
      <c r="B46" s="218" t="n"/>
      <c r="C46" s="217" t="inlineStr">
        <is>
          <t>Итого основное оборудование</t>
        </is>
      </c>
      <c r="D46" s="218" t="n"/>
      <c r="E46" s="80" t="n"/>
      <c r="F46" s="220" t="n"/>
      <c r="G46" s="77" t="n">
        <v>0</v>
      </c>
      <c r="H46" s="222" t="n">
        <v>0</v>
      </c>
      <c r="I46" s="77" t="n"/>
      <c r="J46" s="77" t="n">
        <v>0</v>
      </c>
      <c r="K46" s="79" t="n"/>
      <c r="L46" s="195" t="n"/>
      <c r="M46" s="195" t="n"/>
      <c r="N46" s="195" t="n"/>
    </row>
    <row r="47" s="198">
      <c r="A47" s="218" t="n"/>
      <c r="B47" s="218" t="n"/>
      <c r="C47" s="217" t="inlineStr">
        <is>
          <t>Итого прочее оборудование</t>
        </is>
      </c>
      <c r="D47" s="218" t="n"/>
      <c r="E47" s="219" t="n"/>
      <c r="F47" s="220" t="n"/>
      <c r="G47" s="77" t="n">
        <v>0</v>
      </c>
      <c r="H47" s="222" t="n">
        <v>0</v>
      </c>
      <c r="I47" s="77" t="n"/>
      <c r="J47" s="77" t="n">
        <v>0</v>
      </c>
      <c r="K47" s="79" t="n"/>
      <c r="L47" s="195" t="n"/>
      <c r="M47" s="195" t="n"/>
      <c r="N47" s="195" t="n"/>
    </row>
    <row r="48" s="198">
      <c r="A48" s="218" t="n"/>
      <c r="B48" s="218" t="n"/>
      <c r="C48" s="212" t="inlineStr">
        <is>
          <t>Итого по разделу «Оборудование»</t>
        </is>
      </c>
      <c r="D48" s="218" t="n"/>
      <c r="E48" s="219" t="n"/>
      <c r="F48" s="220" t="n"/>
      <c r="G48" s="77">
        <f>Прил.3!H46</f>
        <v/>
      </c>
      <c r="H48" s="222" t="n">
        <v>0</v>
      </c>
      <c r="I48" s="77" t="n"/>
      <c r="J48" s="77" t="n">
        <v>0</v>
      </c>
      <c r="K48" s="79" t="n"/>
      <c r="L48" s="195" t="n"/>
      <c r="M48" s="195" t="n"/>
      <c r="N48" s="195" t="n"/>
    </row>
    <row r="49" ht="25.5" customHeight="1" s="198">
      <c r="A49" s="218" t="n"/>
      <c r="B49" s="218" t="n"/>
      <c r="C49" s="217" t="inlineStr">
        <is>
          <t>в том числе технологическое оборудование</t>
        </is>
      </c>
      <c r="D49" s="218" t="n"/>
      <c r="E49" s="219" t="n"/>
      <c r="F49" s="220" t="n"/>
      <c r="G49" s="77" t="n">
        <v>0</v>
      </c>
      <c r="H49" s="222" t="n">
        <v>0</v>
      </c>
      <c r="I49" s="77" t="n"/>
      <c r="J49" s="77">
        <f>ROUND(G49*Прил.10!$D$13,2)</f>
        <v/>
      </c>
      <c r="K49" s="79" t="n"/>
      <c r="L49" s="195" t="n"/>
      <c r="M49" s="195" t="n"/>
      <c r="N49" s="195" t="n"/>
    </row>
    <row r="50" ht="14.25" customFormat="1" customHeight="1" s="195">
      <c r="A50" s="218" t="n"/>
      <c r="B50" s="248" t="inlineStr">
        <is>
          <t>Материалы</t>
        </is>
      </c>
      <c r="J50" s="249" t="n"/>
      <c r="K50" s="79" t="n"/>
    </row>
    <row r="51" ht="14.25" customFormat="1" customHeight="1" s="195">
      <c r="A51" s="218" t="n"/>
      <c r="B51" s="217" t="inlineStr">
        <is>
          <t>Основные материалы</t>
        </is>
      </c>
      <c r="C51" s="244" t="n"/>
      <c r="D51" s="244" t="n"/>
      <c r="E51" s="244" t="n"/>
      <c r="F51" s="244" t="n"/>
      <c r="G51" s="244" t="n"/>
      <c r="H51" s="245" t="n"/>
      <c r="I51" s="222" t="n"/>
      <c r="J51" s="222" t="n"/>
    </row>
    <row r="52" ht="25.5" customFormat="1" customHeight="1" s="195">
      <c r="A52" s="218" t="n">
        <v>25</v>
      </c>
      <c r="B52" s="105" t="inlineStr">
        <is>
          <t>05.1.05.16-0041</t>
        </is>
      </c>
      <c r="C52" s="155" t="inlineStr">
        <is>
          <t>Сваи железобетонные С35-1-12-2 (бетон B22,5, расход арматуры 181 кг)</t>
        </is>
      </c>
      <c r="D52" s="105" t="inlineStr">
        <is>
          <t>м3</t>
        </is>
      </c>
      <c r="E52" s="105" t="n">
        <v>497.664</v>
      </c>
      <c r="F52" s="156" t="n">
        <v>5373.07</v>
      </c>
      <c r="G52" s="163">
        <f>E52*F52</f>
        <v/>
      </c>
      <c r="H52" s="222">
        <f>G52/$G$92</f>
        <v/>
      </c>
      <c r="I52" s="77">
        <f>ROUND(F52*Прил.10!$D$12,2)</f>
        <v/>
      </c>
      <c r="J52" s="77">
        <f>ROUND(I52*E52,2)</f>
        <v/>
      </c>
    </row>
    <row r="53" ht="76.5" customFormat="1" customHeight="1" s="195">
      <c r="A53" s="218" t="n">
        <v>26</v>
      </c>
      <c r="B53" s="105" t="inlineStr">
        <is>
          <t>07.2.07.12-0006</t>
        </is>
      </c>
      <c r="C53" s="155" t="inlineStr">
        <is>
          <t>Элементы конструктивные вспомогательного назначения, с преобладанием профильного проката, собираемые из двух и более деталей, с отверстиями и без отверстий, соединяемые на сварке</t>
        </is>
      </c>
      <c r="D53" s="105" t="inlineStr">
        <is>
          <t>т</t>
        </is>
      </c>
      <c r="E53" s="105" t="n">
        <v>97.352</v>
      </c>
      <c r="F53" s="156" t="n">
        <v>10045</v>
      </c>
      <c r="G53" s="163">
        <f>E53*F53</f>
        <v/>
      </c>
      <c r="H53" s="222">
        <f>G53/$G$92</f>
        <v/>
      </c>
      <c r="I53" s="77">
        <f>ROUND(F53*Прил.10!$D$12,2)</f>
        <v/>
      </c>
      <c r="J53" s="77">
        <f>ROUND(I53*E53,2)</f>
        <v/>
      </c>
    </row>
    <row r="54" ht="25.5" customFormat="1" customHeight="1" s="195">
      <c r="A54" s="218" t="n">
        <v>27</v>
      </c>
      <c r="B54" s="105" t="inlineStr">
        <is>
          <t>05.1.05.16-0143</t>
        </is>
      </c>
      <c r="C54" s="155" t="inlineStr">
        <is>
          <t>Сваи железобетонные электросетевые С35-1-10-1</t>
        </is>
      </c>
      <c r="D54" s="105" t="inlineStr">
        <is>
          <t>м3</t>
        </is>
      </c>
      <c r="E54" s="105" t="n">
        <v>145.92</v>
      </c>
      <c r="F54" s="156" t="n">
        <v>4047.53</v>
      </c>
      <c r="G54" s="163">
        <f>E54*F54</f>
        <v/>
      </c>
      <c r="H54" s="222">
        <f>G54/$G$92</f>
        <v/>
      </c>
      <c r="I54" s="77">
        <f>ROUND(F54*Прил.10!$D$12,2)</f>
        <v/>
      </c>
      <c r="J54" s="77">
        <f>ROUND(I54*E54,2)</f>
        <v/>
      </c>
    </row>
    <row r="55" ht="25.5" customFormat="1" customHeight="1" s="195">
      <c r="A55" s="218" t="n">
        <v>28</v>
      </c>
      <c r="B55" s="105" t="inlineStr">
        <is>
          <t>04.1.02.05-0008</t>
        </is>
      </c>
      <c r="C55" s="155" t="inlineStr">
        <is>
          <t>Смеси бетонные тяжелого бетона (БСТ), класс В22,5 (М300)</t>
        </is>
      </c>
      <c r="D55" s="105" t="inlineStr">
        <is>
          <t>м3</t>
        </is>
      </c>
      <c r="E55" s="105" t="n">
        <v>643.5839999999999</v>
      </c>
      <c r="F55" s="156" t="n">
        <v>700</v>
      </c>
      <c r="G55" s="163">
        <f>E55*F55</f>
        <v/>
      </c>
      <c r="H55" s="222">
        <f>G55/$G$92</f>
        <v/>
      </c>
      <c r="I55" s="77">
        <f>ROUND(F55*Прил.10!$D$12,2)</f>
        <v/>
      </c>
      <c r="J55" s="77">
        <f>ROUND(I55*E55,2)</f>
        <v/>
      </c>
    </row>
    <row r="56" ht="14.25" customFormat="1" customHeight="1" s="195">
      <c r="A56" s="218" t="n"/>
      <c r="B56" s="218" t="n"/>
      <c r="C56" s="217" t="inlineStr">
        <is>
          <t>Итого основные материалы</t>
        </is>
      </c>
      <c r="D56" s="218" t="n"/>
      <c r="E56" s="80" t="n"/>
      <c r="F56" s="220" t="n"/>
      <c r="G56" s="77">
        <f>SUM(G52:G55)</f>
        <v/>
      </c>
      <c r="H56" s="222">
        <f>G56/$G$92</f>
        <v/>
      </c>
      <c r="I56" s="77" t="n"/>
      <c r="J56" s="77">
        <f>SUM(J52:J55)</f>
        <v/>
      </c>
      <c r="K56" s="79" t="n"/>
    </row>
    <row r="57" hidden="1" outlineLevel="1" ht="14.25" customFormat="1" customHeight="1" s="195">
      <c r="A57" s="218" t="n">
        <v>29</v>
      </c>
      <c r="B57" s="105" t="inlineStr">
        <is>
          <t>Прайс из СД ОП</t>
        </is>
      </c>
      <c r="C57" s="155" t="inlineStr">
        <is>
          <t>Горячее цинкование металлоконструкций</t>
        </is>
      </c>
      <c r="D57" s="105" t="inlineStr">
        <is>
          <t>т</t>
        </is>
      </c>
      <c r="E57" s="105" t="n">
        <v>97.352</v>
      </c>
      <c r="F57" s="156" t="n">
        <v>2123.2</v>
      </c>
      <c r="G57" s="163">
        <f>E57*F57</f>
        <v/>
      </c>
      <c r="H57" s="222">
        <f>G57/$G$92</f>
        <v/>
      </c>
      <c r="I57" s="77">
        <f>ROUND(F57*Прил.10!$D$12,2)</f>
        <v/>
      </c>
      <c r="J57" s="77">
        <f>ROUND(I57*E57,2)</f>
        <v/>
      </c>
    </row>
    <row r="58" hidden="1" outlineLevel="1" ht="25.5" customFormat="1" customHeight="1" s="195">
      <c r="A58" s="218" t="n">
        <v>30</v>
      </c>
      <c r="B58" s="105" t="inlineStr">
        <is>
          <t>05.1.03.13-0183</t>
        </is>
      </c>
      <c r="C58" s="155" t="inlineStr">
        <is>
          <t>Ригели сборные железобетонные ВЛ и ОРУ</t>
        </is>
      </c>
      <c r="D58" s="105" t="inlineStr">
        <is>
          <t>м3</t>
        </is>
      </c>
      <c r="E58" s="105" t="n">
        <v>37.17</v>
      </c>
      <c r="F58" s="156" t="n">
        <v>1733.42</v>
      </c>
      <c r="G58" s="163">
        <f>E58*F58</f>
        <v/>
      </c>
      <c r="H58" s="222">
        <f>G58/$G$92</f>
        <v/>
      </c>
      <c r="I58" s="77">
        <f>ROUND(F58*Прил.10!$D$12,2)</f>
        <v/>
      </c>
      <c r="J58" s="77">
        <f>ROUND(I58*E58,2)</f>
        <v/>
      </c>
    </row>
    <row r="59" hidden="1" outlineLevel="1" ht="76.5" customFormat="1" customHeight="1" s="195">
      <c r="A59" s="218" t="n">
        <v>30</v>
      </c>
      <c r="B59" s="105" t="inlineStr">
        <is>
          <t>07.2.07.12-0003</t>
        </is>
      </c>
      <c r="C59" s="155" t="inlineStr">
        <is>
          <t>Конструктивные элементы вспомогательного назначения: массой не более 50 кг с преобладанием толстолистовой стали собираемые из двух и более деталей, с отверстиями и без отверстий, соединяемые на сварке</t>
        </is>
      </c>
      <c r="D59" s="105" t="inlineStr">
        <is>
          <t>т</t>
        </is>
      </c>
      <c r="E59" s="105" t="n">
        <v>4.83</v>
      </c>
      <c r="F59" s="156" t="n">
        <v>11255</v>
      </c>
      <c r="G59" s="163">
        <f>E59*F59</f>
        <v/>
      </c>
      <c r="H59" s="222">
        <f>G59/$G$92</f>
        <v/>
      </c>
      <c r="I59" s="77">
        <f>ROUND(F59*Прил.10!$D$12,2)</f>
        <v/>
      </c>
      <c r="J59" s="77">
        <f>ROUND(I59*E59,2)</f>
        <v/>
      </c>
    </row>
    <row r="60" hidden="1" outlineLevel="1" ht="14.25" customFormat="1" customHeight="1" s="195">
      <c r="A60" s="218" t="n">
        <v>31</v>
      </c>
      <c r="B60" s="105" t="inlineStr">
        <is>
          <t>02.3.01.08-0004</t>
        </is>
      </c>
      <c r="C60" s="155" t="inlineStr">
        <is>
          <t>Песок керамзитовый, марка: 900</t>
        </is>
      </c>
      <c r="D60" s="105" t="inlineStr">
        <is>
          <t>м3</t>
        </is>
      </c>
      <c r="E60" s="105" t="n">
        <v>115.1801</v>
      </c>
      <c r="F60" s="156" t="n">
        <v>443.8</v>
      </c>
      <c r="G60" s="163">
        <f>E60*F60</f>
        <v/>
      </c>
      <c r="H60" s="222">
        <f>G60/$G$92</f>
        <v/>
      </c>
      <c r="I60" s="77">
        <f>ROUND(F60*Прил.10!$D$12,2)</f>
        <v/>
      </c>
      <c r="J60" s="77">
        <f>ROUND(I60*E60,2)</f>
        <v/>
      </c>
    </row>
    <row r="61" hidden="1" outlineLevel="1" ht="14.25" customFormat="1" customHeight="1" s="195">
      <c r="A61" s="218" t="n">
        <v>31</v>
      </c>
      <c r="B61" s="105" t="inlineStr">
        <is>
          <t>14.4.04.12-0018</t>
        </is>
      </c>
      <c r="C61" s="155" t="inlineStr">
        <is>
          <t>Эмаль эпоксидная: ЭП-5116 черная</t>
        </is>
      </c>
      <c r="D61" s="105" t="inlineStr">
        <is>
          <t>т</t>
        </is>
      </c>
      <c r="E61" s="105" t="n">
        <v>1.14</v>
      </c>
      <c r="F61" s="156" t="n">
        <v>37216</v>
      </c>
      <c r="G61" s="163">
        <f>E61*F61</f>
        <v/>
      </c>
      <c r="H61" s="222">
        <f>G61/$G$92</f>
        <v/>
      </c>
      <c r="I61" s="77">
        <f>ROUND(F61*Прил.10!$D$12,2)</f>
        <v/>
      </c>
      <c r="J61" s="77">
        <f>ROUND(I61*E61,2)</f>
        <v/>
      </c>
    </row>
    <row r="62" hidden="1" outlineLevel="1" ht="25.5" customFormat="1" customHeight="1" s="195">
      <c r="A62" s="218" t="n">
        <v>32</v>
      </c>
      <c r="B62" s="105" t="inlineStr">
        <is>
          <t>02.3.01.02-0015</t>
        </is>
      </c>
      <c r="C62" s="155" t="inlineStr">
        <is>
          <t>Песок природный для строительных: работ средний</t>
        </is>
      </c>
      <c r="D62" s="105" t="inlineStr">
        <is>
          <t>м3</t>
        </is>
      </c>
      <c r="E62" s="105" t="n">
        <v>607.2</v>
      </c>
      <c r="F62" s="156" t="n">
        <v>55.26</v>
      </c>
      <c r="G62" s="163">
        <f>E62*F62</f>
        <v/>
      </c>
      <c r="H62" s="222">
        <f>G62/$G$92</f>
        <v/>
      </c>
      <c r="I62" s="77">
        <f>ROUND(F62*Прил.10!$D$12,2)</f>
        <v/>
      </c>
      <c r="J62" s="77">
        <f>ROUND(I62*E62,2)</f>
        <v/>
      </c>
    </row>
    <row r="63" hidden="1" outlineLevel="1" ht="14.25" customFormat="1" customHeight="1" s="195">
      <c r="A63" s="218" t="n">
        <v>32</v>
      </c>
      <c r="B63" s="105" t="inlineStr">
        <is>
          <t>01.4.01.10-0016</t>
        </is>
      </c>
      <c r="C63" s="155" t="inlineStr">
        <is>
          <t>Шнек: диаметром 135 мм</t>
        </is>
      </c>
      <c r="D63" s="105" t="inlineStr">
        <is>
          <t>шт.</t>
        </is>
      </c>
      <c r="E63" s="105" t="n">
        <v>55.1152</v>
      </c>
      <c r="F63" s="156" t="n">
        <v>597</v>
      </c>
      <c r="G63" s="163">
        <f>E63*F63</f>
        <v/>
      </c>
      <c r="H63" s="222">
        <f>G63/$G$92</f>
        <v/>
      </c>
      <c r="I63" s="77">
        <f>ROUND(F63*Прил.10!$D$12,2)</f>
        <v/>
      </c>
      <c r="J63" s="77">
        <f>ROUND(I63*E63,2)</f>
        <v/>
      </c>
    </row>
    <row r="64" hidden="1" outlineLevel="1" ht="25.5" customFormat="1" customHeight="1" s="195">
      <c r="A64" s="218" t="n">
        <v>33</v>
      </c>
      <c r="B64" s="105" t="inlineStr">
        <is>
          <t>14.4.04.04-0003</t>
        </is>
      </c>
      <c r="C64" s="155" t="inlineStr">
        <is>
          <t>Эмаль кремнийорганическая: КО-174 разных цветов</t>
        </is>
      </c>
      <c r="D64" s="105" t="inlineStr">
        <is>
          <t>т</t>
        </is>
      </c>
      <c r="E64" s="105" t="n">
        <v>0.9737</v>
      </c>
      <c r="F64" s="156" t="n">
        <v>33250</v>
      </c>
      <c r="G64" s="163">
        <f>E64*F64</f>
        <v/>
      </c>
      <c r="H64" s="222">
        <f>G64/$G$92</f>
        <v/>
      </c>
      <c r="I64" s="77">
        <f>ROUND(F64*Прил.10!$D$12,2)</f>
        <v/>
      </c>
      <c r="J64" s="77">
        <f>ROUND(I64*E64,2)</f>
        <v/>
      </c>
    </row>
    <row r="65" hidden="1" outlineLevel="1" ht="25.5" customFormat="1" customHeight="1" s="195">
      <c r="A65" s="218" t="n">
        <v>34</v>
      </c>
      <c r="B65" s="105" t="inlineStr">
        <is>
          <t>03.1.02.03-0011</t>
        </is>
      </c>
      <c r="C65" s="155" t="inlineStr">
        <is>
          <t>Известь строительная: негашеная комовая, сорт I</t>
        </is>
      </c>
      <c r="D65" s="105" t="inlineStr">
        <is>
          <t>т</t>
        </is>
      </c>
      <c r="E65" s="105" t="n">
        <v>31.55</v>
      </c>
      <c r="F65" s="156" t="n">
        <v>734.5</v>
      </c>
      <c r="G65" s="163">
        <f>E65*F65</f>
        <v/>
      </c>
      <c r="H65" s="222">
        <f>G65/$G$92</f>
        <v/>
      </c>
      <c r="I65" s="77">
        <f>ROUND(F65*Прил.10!$D$12,2)</f>
        <v/>
      </c>
      <c r="J65" s="77">
        <f>ROUND(I65*E65,2)</f>
        <v/>
      </c>
    </row>
    <row r="66" hidden="1" outlineLevel="1" ht="51" customFormat="1" customHeight="1" s="195">
      <c r="A66" s="218" t="n">
        <v>35</v>
      </c>
      <c r="B66" s="105" t="inlineStr">
        <is>
          <t>07.2.07.12-0020</t>
        </is>
      </c>
      <c r="C66" s="155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D66" s="105" t="inlineStr">
        <is>
          <t>т</t>
        </is>
      </c>
      <c r="E66" s="105" t="n">
        <v>2.239</v>
      </c>
      <c r="F66" s="156" t="n">
        <v>7712</v>
      </c>
      <c r="G66" s="163">
        <f>E66*F66</f>
        <v/>
      </c>
      <c r="H66" s="222">
        <f>G66/$G$92</f>
        <v/>
      </c>
      <c r="I66" s="77">
        <f>ROUND(F66*Прил.10!$D$12,2)</f>
        <v/>
      </c>
      <c r="J66" s="77">
        <f>ROUND(I66*E66,2)</f>
        <v/>
      </c>
    </row>
    <row r="67" hidden="1" outlineLevel="1" ht="14.25" customFormat="1" customHeight="1" s="195">
      <c r="A67" s="218" t="n">
        <v>36</v>
      </c>
      <c r="B67" s="105" t="inlineStr">
        <is>
          <t>14.5.09.11-0101</t>
        </is>
      </c>
      <c r="C67" s="155" t="inlineStr">
        <is>
          <t>Уайт-спирит</t>
        </is>
      </c>
      <c r="D67" s="105" t="inlineStr">
        <is>
          <t>т</t>
        </is>
      </c>
      <c r="E67" s="105" t="n">
        <v>1.351</v>
      </c>
      <c r="F67" s="156" t="n">
        <v>6667</v>
      </c>
      <c r="G67" s="163">
        <f>E67*F67</f>
        <v/>
      </c>
      <c r="H67" s="222">
        <f>G67/$G$92</f>
        <v/>
      </c>
      <c r="I67" s="77">
        <f>ROUND(F67*Прил.10!$D$12,2)</f>
        <v/>
      </c>
      <c r="J67" s="77">
        <f>ROUND(I67*E67,2)</f>
        <v/>
      </c>
    </row>
    <row r="68" hidden="1" outlineLevel="1" ht="14.25" customFormat="1" customHeight="1" s="195">
      <c r="A68" s="218" t="n">
        <v>37</v>
      </c>
      <c r="B68" s="105" t="inlineStr">
        <is>
          <t>01.7.15.03-0041</t>
        </is>
      </c>
      <c r="C68" s="155" t="inlineStr">
        <is>
          <t>Болты с гайками и шайбами строительные</t>
        </is>
      </c>
      <c r="D68" s="105" t="inlineStr">
        <is>
          <t>т</t>
        </is>
      </c>
      <c r="E68" s="105" t="n">
        <v>0.7788</v>
      </c>
      <c r="F68" s="156" t="n">
        <v>9040.01</v>
      </c>
      <c r="G68" s="163">
        <f>E68*F68</f>
        <v/>
      </c>
      <c r="H68" s="222">
        <f>G68/$G$92</f>
        <v/>
      </c>
      <c r="I68" s="77">
        <f>ROUND(F68*Прил.10!$D$12,2)</f>
        <v/>
      </c>
      <c r="J68" s="77">
        <f>ROUND(I68*E68,2)</f>
        <v/>
      </c>
    </row>
    <row r="69" hidden="1" outlineLevel="1" ht="25.5" customFormat="1" customHeight="1" s="195">
      <c r="A69" s="218" t="n">
        <v>38</v>
      </c>
      <c r="B69" s="105" t="inlineStr">
        <is>
          <t>02.3.01.02-0021</t>
        </is>
      </c>
      <c r="C69" s="155" t="inlineStr">
        <is>
          <t>Песок природный для строительных: растворов средний, обогащенный</t>
        </is>
      </c>
      <c r="D69" s="105" t="inlineStr">
        <is>
          <t>м3</t>
        </is>
      </c>
      <c r="E69" s="105" t="n">
        <v>107.262</v>
      </c>
      <c r="F69" s="156" t="n">
        <v>54.95</v>
      </c>
      <c r="G69" s="163">
        <f>E69*F69</f>
        <v/>
      </c>
      <c r="H69" s="222">
        <f>G69/$G$92</f>
        <v/>
      </c>
      <c r="I69" s="77">
        <f>ROUND(F69*Прил.10!$D$12,2)</f>
        <v/>
      </c>
      <c r="J69" s="77">
        <f>ROUND(I69*E69,2)</f>
        <v/>
      </c>
    </row>
    <row r="70" hidden="1" outlineLevel="1" ht="14.25" customFormat="1" customHeight="1" s="195">
      <c r="A70" s="218" t="n">
        <v>39</v>
      </c>
      <c r="B70" s="105" t="inlineStr">
        <is>
          <t>01.4.01.06-0014</t>
        </is>
      </c>
      <c r="C70" s="155" t="inlineStr">
        <is>
          <t>Коронки буровые: типа К-100В</t>
        </is>
      </c>
      <c r="D70" s="105" t="inlineStr">
        <is>
          <t>шт.</t>
        </is>
      </c>
      <c r="E70" s="105" t="n">
        <v>24.2942</v>
      </c>
      <c r="F70" s="156" t="n">
        <v>176.51</v>
      </c>
      <c r="G70" s="163">
        <f>E70*F70</f>
        <v/>
      </c>
      <c r="H70" s="222">
        <f>G70/$G$92</f>
        <v/>
      </c>
      <c r="I70" s="77">
        <f>ROUND(F70*Прил.10!$D$12,2)</f>
        <v/>
      </c>
      <c r="J70" s="77">
        <f>ROUND(I70*E70,2)</f>
        <v/>
      </c>
    </row>
    <row r="71" hidden="1" outlineLevel="1" ht="14.25" customFormat="1" customHeight="1" s="195">
      <c r="A71" s="218" t="n">
        <v>40</v>
      </c>
      <c r="B71" s="105" t="inlineStr">
        <is>
          <t>11.1.03.06-0002</t>
        </is>
      </c>
      <c r="C71" s="155" t="inlineStr">
        <is>
          <t>Доски дубовые II сорта</t>
        </is>
      </c>
      <c r="D71" s="105" t="inlineStr">
        <is>
          <t>м3</t>
        </is>
      </c>
      <c r="E71" s="105" t="n">
        <v>2.396</v>
      </c>
      <c r="F71" s="156" t="n">
        <v>1410</v>
      </c>
      <c r="G71" s="163">
        <f>E71*F71</f>
        <v/>
      </c>
      <c r="H71" s="222">
        <f>G71/$G$92</f>
        <v/>
      </c>
      <c r="I71" s="77">
        <f>ROUND(F71*Прил.10!$D$12,2)</f>
        <v/>
      </c>
      <c r="J71" s="77">
        <f>ROUND(I71*E71,2)</f>
        <v/>
      </c>
    </row>
    <row r="72" hidden="1" outlineLevel="1" ht="14.25" customFormat="1" customHeight="1" s="195">
      <c r="A72" s="218" t="n">
        <v>41</v>
      </c>
      <c r="B72" s="105" t="inlineStr">
        <is>
          <t>14.5.09.02-0002</t>
        </is>
      </c>
      <c r="C72" s="155" t="inlineStr">
        <is>
          <t>Ксилол нефтяной марки А</t>
        </is>
      </c>
      <c r="D72" s="105" t="inlineStr">
        <is>
          <t>т</t>
        </is>
      </c>
      <c r="E72" s="105" t="n">
        <v>0.3419</v>
      </c>
      <c r="F72" s="156" t="n">
        <v>7640</v>
      </c>
      <c r="G72" s="163">
        <f>E72*F72</f>
        <v/>
      </c>
      <c r="H72" s="222">
        <f>G72/$G$92</f>
        <v/>
      </c>
      <c r="I72" s="77">
        <f>ROUND(F72*Прил.10!$D$12,2)</f>
        <v/>
      </c>
      <c r="J72" s="77">
        <f>ROUND(I72*E72,2)</f>
        <v/>
      </c>
    </row>
    <row r="73" hidden="1" outlineLevel="1" ht="14.25" customFormat="1" customHeight="1" s="195">
      <c r="A73" s="218" t="n">
        <v>42</v>
      </c>
      <c r="B73" s="105" t="inlineStr">
        <is>
          <t>14.5.09.07-0029</t>
        </is>
      </c>
      <c r="C73" s="155" t="inlineStr">
        <is>
          <t>Растворитель марки: Р-4</t>
        </is>
      </c>
      <c r="D73" s="105" t="inlineStr">
        <is>
          <t>т</t>
        </is>
      </c>
      <c r="E73" s="105" t="n">
        <v>0.2748</v>
      </c>
      <c r="F73" s="156" t="n">
        <v>9420</v>
      </c>
      <c r="G73" s="163">
        <f>E73*F73</f>
        <v/>
      </c>
      <c r="H73" s="222">
        <f>G73/$G$92</f>
        <v/>
      </c>
      <c r="I73" s="77">
        <f>ROUND(F73*Прил.10!$D$12,2)</f>
        <v/>
      </c>
      <c r="J73" s="77">
        <f>ROUND(I73*E73,2)</f>
        <v/>
      </c>
    </row>
    <row r="74" hidden="1" outlineLevel="1" ht="14.25" customFormat="1" customHeight="1" s="195">
      <c r="A74" s="218" t="n">
        <v>43</v>
      </c>
      <c r="B74" s="105" t="inlineStr">
        <is>
          <t>14.5.09.04-0111</t>
        </is>
      </c>
      <c r="C74" s="155" t="inlineStr">
        <is>
          <t>Отвердитель: № 1</t>
        </is>
      </c>
      <c r="D74" s="105" t="inlineStr">
        <is>
          <t>т</t>
        </is>
      </c>
      <c r="E74" s="105" t="n">
        <v>0.0325</v>
      </c>
      <c r="F74" s="156" t="n">
        <v>67872</v>
      </c>
      <c r="G74" s="163">
        <f>E74*F74</f>
        <v/>
      </c>
      <c r="H74" s="222">
        <f>G74/$G$92</f>
        <v/>
      </c>
      <c r="I74" s="77">
        <f>ROUND(F74*Прил.10!$D$12,2)</f>
        <v/>
      </c>
      <c r="J74" s="77">
        <f>ROUND(I74*E74,2)</f>
        <v/>
      </c>
    </row>
    <row r="75" hidden="1" outlineLevel="1" ht="14.25" customFormat="1" customHeight="1" s="195">
      <c r="A75" s="218" t="n">
        <v>44</v>
      </c>
      <c r="B75" s="105" t="inlineStr">
        <is>
          <t>08.3.11.01-0091</t>
        </is>
      </c>
      <c r="C75" s="155" t="inlineStr">
        <is>
          <t>Швеллеры № 40 из стали марки: Ст0</t>
        </is>
      </c>
      <c r="D75" s="105" t="inlineStr">
        <is>
          <t>т</t>
        </is>
      </c>
      <c r="E75" s="105" t="n">
        <v>0.1889</v>
      </c>
      <c r="F75" s="156" t="n">
        <v>4920</v>
      </c>
      <c r="G75" s="163">
        <f>E75*F75</f>
        <v/>
      </c>
      <c r="H75" s="222">
        <f>G75/$G$92</f>
        <v/>
      </c>
      <c r="I75" s="77">
        <f>ROUND(F75*Прил.10!$D$12,2)</f>
        <v/>
      </c>
      <c r="J75" s="77">
        <f>ROUND(I75*E75,2)</f>
        <v/>
      </c>
    </row>
    <row r="76" hidden="1" outlineLevel="1" ht="14.25" customFormat="1" customHeight="1" s="195">
      <c r="A76" s="218" t="n">
        <v>45</v>
      </c>
      <c r="B76" s="105" t="inlineStr">
        <is>
          <t>01.3.02.08-0001</t>
        </is>
      </c>
      <c r="C76" s="155" t="inlineStr">
        <is>
          <t>Кислород технический: газообразный</t>
        </is>
      </c>
      <c r="D76" s="105" t="inlineStr">
        <is>
          <t>м3</t>
        </is>
      </c>
      <c r="E76" s="105" t="n">
        <v>116.8</v>
      </c>
      <c r="F76" s="156" t="n">
        <v>6.22</v>
      </c>
      <c r="G76" s="163">
        <f>E76*F76</f>
        <v/>
      </c>
      <c r="H76" s="222">
        <f>G76/$G$92</f>
        <v/>
      </c>
      <c r="I76" s="77">
        <f>ROUND(F76*Прил.10!$D$12,2)</f>
        <v/>
      </c>
      <c r="J76" s="77">
        <f>ROUND(I76*E76,2)</f>
        <v/>
      </c>
    </row>
    <row r="77" hidden="1" outlineLevel="1" ht="76.5" customFormat="1" customHeight="1" s="195">
      <c r="A77" s="218" t="n">
        <v>46</v>
      </c>
      <c r="B77" s="105" t="inlineStr">
        <is>
          <t>07.2.07.12-0003</t>
        </is>
      </c>
      <c r="C77" s="155" t="inlineStr">
        <is>
          <t>Конструктивные элементы вспомогательного назначения: массой не более 50 кг с преобладанием толстолистовой стали собираемые из двух и более деталей, с отверстиями и без отверстий, соединяемые на сварке</t>
        </is>
      </c>
      <c r="D77" s="105" t="inlineStr">
        <is>
          <t>т</t>
        </is>
      </c>
      <c r="E77" s="105" t="n">
        <v>0.0539</v>
      </c>
      <c r="F77" s="156" t="n">
        <v>11255</v>
      </c>
      <c r="G77" s="163">
        <f>E77*F77</f>
        <v/>
      </c>
      <c r="H77" s="222">
        <f>G77/$G$92</f>
        <v/>
      </c>
      <c r="I77" s="77">
        <f>ROUND(F77*Прил.10!$D$12,2)</f>
        <v/>
      </c>
      <c r="J77" s="77">
        <f>ROUND(I77*E77,2)</f>
        <v/>
      </c>
    </row>
    <row r="78" hidden="1" outlineLevel="1" ht="14.25" customFormat="1" customHeight="1" s="195">
      <c r="A78" s="218" t="n">
        <v>47</v>
      </c>
      <c r="B78" s="105" t="inlineStr">
        <is>
          <t>01.7.11.07-0032</t>
        </is>
      </c>
      <c r="C78" s="155" t="inlineStr">
        <is>
          <t>Электроды диаметром: 4 мм Э42</t>
        </is>
      </c>
      <c r="D78" s="105" t="inlineStr">
        <is>
          <t>т</t>
        </is>
      </c>
      <c r="E78" s="105" t="n">
        <v>0.0584</v>
      </c>
      <c r="F78" s="156" t="n">
        <v>10315.01</v>
      </c>
      <c r="G78" s="163">
        <f>E78*F78</f>
        <v/>
      </c>
      <c r="H78" s="222">
        <f>G78/$G$92</f>
        <v/>
      </c>
      <c r="I78" s="77">
        <f>ROUND(F78*Прил.10!$D$12,2)</f>
        <v/>
      </c>
      <c r="J78" s="77">
        <f>ROUND(I78*E78,2)</f>
        <v/>
      </c>
    </row>
    <row r="79" hidden="1" outlineLevel="1" ht="14.25" customFormat="1" customHeight="1" s="195">
      <c r="A79" s="218" t="n">
        <v>48</v>
      </c>
      <c r="B79" s="105" t="inlineStr">
        <is>
          <t>01.7.15.06-0111</t>
        </is>
      </c>
      <c r="C79" s="155" t="inlineStr">
        <is>
          <t>Гвозди строительные</t>
        </is>
      </c>
      <c r="D79" s="105" t="inlineStr">
        <is>
          <t>т</t>
        </is>
      </c>
      <c r="E79" s="105" t="n">
        <v>0.0489</v>
      </c>
      <c r="F79" s="156" t="n">
        <v>11978</v>
      </c>
      <c r="G79" s="163">
        <f>E79*F79</f>
        <v/>
      </c>
      <c r="H79" s="222">
        <f>G79/$G$92</f>
        <v/>
      </c>
      <c r="I79" s="77">
        <f>ROUND(F79*Прил.10!$D$12,2)</f>
        <v/>
      </c>
      <c r="J79" s="77">
        <f>ROUND(I79*E79,2)</f>
        <v/>
      </c>
    </row>
    <row r="80" hidden="1" outlineLevel="1" ht="14.25" customFormat="1" customHeight="1" s="195">
      <c r="A80" s="218" t="n">
        <v>49</v>
      </c>
      <c r="B80" s="105" t="inlineStr">
        <is>
          <t>14.4.01.01-0003</t>
        </is>
      </c>
      <c r="C80" s="155" t="inlineStr">
        <is>
          <t>Грунтовка: ГФ-021 красно-коричневая</t>
        </is>
      </c>
      <c r="D80" s="105" t="inlineStr">
        <is>
          <t>т</t>
        </is>
      </c>
      <c r="E80" s="105" t="n">
        <v>0.0302</v>
      </c>
      <c r="F80" s="156" t="n">
        <v>15620</v>
      </c>
      <c r="G80" s="163">
        <f>E80*F80</f>
        <v/>
      </c>
      <c r="H80" s="222">
        <f>G80/$G$92</f>
        <v/>
      </c>
      <c r="I80" s="77">
        <f>ROUND(F80*Прил.10!$D$12,2)</f>
        <v/>
      </c>
      <c r="J80" s="77">
        <f>ROUND(I80*E80,2)</f>
        <v/>
      </c>
    </row>
    <row r="81" hidden="1" outlineLevel="1" ht="14.25" customFormat="1" customHeight="1" s="195">
      <c r="A81" s="218" t="n">
        <v>50</v>
      </c>
      <c r="B81" s="105" t="inlineStr">
        <is>
          <t>01.7.20.08-0051</t>
        </is>
      </c>
      <c r="C81" s="155" t="inlineStr">
        <is>
          <t>Ветошь</t>
        </is>
      </c>
      <c r="D81" s="105" t="inlineStr">
        <is>
          <t>кг</t>
        </is>
      </c>
      <c r="E81" s="105" t="n">
        <v>211.1</v>
      </c>
      <c r="F81" s="156" t="n">
        <v>1.82</v>
      </c>
      <c r="G81" s="163">
        <f>E81*F81</f>
        <v/>
      </c>
      <c r="H81" s="222">
        <f>G81/$G$92</f>
        <v/>
      </c>
      <c r="I81" s="77">
        <f>ROUND(F81*Прил.10!$D$12,2)</f>
        <v/>
      </c>
      <c r="J81" s="77">
        <f>ROUND(I81*E81,2)</f>
        <v/>
      </c>
    </row>
    <row r="82" hidden="1" outlineLevel="1" ht="14.25" customFormat="1" customHeight="1" s="195">
      <c r="A82" s="218" t="n">
        <v>51</v>
      </c>
      <c r="B82" s="105" t="inlineStr">
        <is>
          <t>01.7.20.08-0071</t>
        </is>
      </c>
      <c r="C82" s="155" t="inlineStr">
        <is>
          <t>Канаты пеньковые пропитанные</t>
        </is>
      </c>
      <c r="D82" s="105" t="inlineStr">
        <is>
          <t>т</t>
        </is>
      </c>
      <c r="E82" s="105" t="n">
        <v>0.0097</v>
      </c>
      <c r="F82" s="156" t="n">
        <v>37900</v>
      </c>
      <c r="G82" s="163">
        <f>E82*F82</f>
        <v/>
      </c>
      <c r="H82" s="222">
        <f>G82/$G$92</f>
        <v/>
      </c>
      <c r="I82" s="77">
        <f>ROUND(F82*Прил.10!$D$12,2)</f>
        <v/>
      </c>
      <c r="J82" s="77">
        <f>ROUND(I82*E82,2)</f>
        <v/>
      </c>
    </row>
    <row r="83" hidden="1" outlineLevel="1" ht="14.25" customFormat="1" customHeight="1" s="195">
      <c r="A83" s="218" t="n">
        <v>52</v>
      </c>
      <c r="B83" s="105" t="inlineStr">
        <is>
          <t>01.7.03.01-0001</t>
        </is>
      </c>
      <c r="C83" s="155" t="inlineStr">
        <is>
          <t>Вода</t>
        </is>
      </c>
      <c r="D83" s="105" t="inlineStr">
        <is>
          <t>м3</t>
        </is>
      </c>
      <c r="E83" s="105" t="n">
        <v>97.76000000000001</v>
      </c>
      <c r="F83" s="156" t="n">
        <v>2.44</v>
      </c>
      <c r="G83" s="163">
        <f>E83*F83</f>
        <v/>
      </c>
      <c r="H83" s="222">
        <f>G83/$G$92</f>
        <v/>
      </c>
      <c r="I83" s="77">
        <f>ROUND(F83*Прил.10!$D$12,2)</f>
        <v/>
      </c>
      <c r="J83" s="77">
        <f>ROUND(I83*E83,2)</f>
        <v/>
      </c>
    </row>
    <row r="84" hidden="1" outlineLevel="1" ht="14.25" customFormat="1" customHeight="1" s="195">
      <c r="A84" s="218" t="n">
        <v>53</v>
      </c>
      <c r="B84" s="105" t="inlineStr">
        <is>
          <t>01.3.02.09-0022</t>
        </is>
      </c>
      <c r="C84" s="155" t="inlineStr">
        <is>
          <t>Пропан-бутан, смесь техническая</t>
        </is>
      </c>
      <c r="D84" s="105" t="inlineStr">
        <is>
          <t>кг</t>
        </is>
      </c>
      <c r="E84" s="105" t="n">
        <v>35.05</v>
      </c>
      <c r="F84" s="156" t="n">
        <v>6.09</v>
      </c>
      <c r="G84" s="163">
        <f>E84*F84</f>
        <v/>
      </c>
      <c r="H84" s="222">
        <f>G84/$G$92</f>
        <v/>
      </c>
      <c r="I84" s="77">
        <f>ROUND(F84*Прил.10!$D$12,2)</f>
        <v/>
      </c>
      <c r="J84" s="77">
        <f>ROUND(I84*E84,2)</f>
        <v/>
      </c>
    </row>
    <row r="85" hidden="1" outlineLevel="1" ht="25.5" customFormat="1" customHeight="1" s="195">
      <c r="A85" s="218" t="n">
        <v>54</v>
      </c>
      <c r="B85" s="105" t="inlineStr">
        <is>
          <t>14.4.02.04-0141</t>
        </is>
      </c>
      <c r="C85" s="155" t="inlineStr">
        <is>
          <t>Краски масляные земляные марки: МА-0115 мумия, сурик железный</t>
        </is>
      </c>
      <c r="D85" s="105" t="inlineStr">
        <is>
          <t>т</t>
        </is>
      </c>
      <c r="E85" s="105" t="n">
        <v>0.012</v>
      </c>
      <c r="F85" s="156" t="n">
        <v>15119</v>
      </c>
      <c r="G85" s="163">
        <f>E85*F85</f>
        <v/>
      </c>
      <c r="H85" s="222">
        <f>G85/$G$92</f>
        <v/>
      </c>
      <c r="I85" s="77">
        <f>ROUND(F85*Прил.10!$D$12,2)</f>
        <v/>
      </c>
      <c r="J85" s="77">
        <f>ROUND(I85*E85,2)</f>
        <v/>
      </c>
    </row>
    <row r="86" hidden="1" outlineLevel="1" ht="38.25" customFormat="1" customHeight="1" s="195">
      <c r="A86" s="218" t="n">
        <v>55</v>
      </c>
      <c r="B86" s="105" t="inlineStr">
        <is>
          <t>11.1.03.01-0077</t>
        </is>
      </c>
      <c r="C86" s="155" t="inlineStr">
        <is>
          <t>Бруски обрезные хвойных пород длиной: 4-6,5 м, шириной 75-150 мм, толщиной 40-75 мм, I сорта</t>
        </is>
      </c>
      <c r="D86" s="105" t="inlineStr">
        <is>
          <t>м3</t>
        </is>
      </c>
      <c r="E86" s="105" t="n">
        <v>0.06809999999999999</v>
      </c>
      <c r="F86" s="156" t="n">
        <v>1700</v>
      </c>
      <c r="G86" s="163">
        <f>E86*F86</f>
        <v/>
      </c>
      <c r="H86" s="222">
        <f>G86/$G$92</f>
        <v/>
      </c>
      <c r="I86" s="77">
        <f>ROUND(F86*Прил.10!$D$12,2)</f>
        <v/>
      </c>
      <c r="J86" s="77">
        <f>ROUND(I86*E86,2)</f>
        <v/>
      </c>
    </row>
    <row r="87" hidden="1" outlineLevel="1" ht="63.75" customFormat="1" customHeight="1" s="195">
      <c r="A87" s="218" t="n">
        <v>56</v>
      </c>
      <c r="B87" s="105" t="inlineStr">
        <is>
          <t>08.2.02.11-0007</t>
        </is>
      </c>
      <c r="C87" s="155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D87" s="105" t="inlineStr">
        <is>
          <t>10 м</t>
        </is>
      </c>
      <c r="E87" s="105" t="n">
        <v>1.82</v>
      </c>
      <c r="F87" s="156" t="n">
        <v>50.24</v>
      </c>
      <c r="G87" s="163">
        <f>E87*F87</f>
        <v/>
      </c>
      <c r="H87" s="222">
        <f>G87/$G$92</f>
        <v/>
      </c>
      <c r="I87" s="77">
        <f>ROUND(F87*Прил.10!$D$12,2)</f>
        <v/>
      </c>
      <c r="J87" s="77">
        <f>ROUND(I87*E87,2)</f>
        <v/>
      </c>
    </row>
    <row r="88" hidden="1" outlineLevel="1" ht="63.75" customFormat="1" customHeight="1" s="195">
      <c r="A88" s="218" t="n">
        <v>57</v>
      </c>
      <c r="B88" s="105" t="inlineStr">
        <is>
          <t>23.5.02.02-0029</t>
        </is>
      </c>
      <c r="C88" s="155" t="inlineStr">
        <is>
          <t>Трубы стальные электросварные прямошовные со снятой фаской из стали марок БСт2кп-БСт4кп и БСт2пс-БСт4пс наружный диаметр: 40 мм, толщина стенки 3 мм</t>
        </is>
      </c>
      <c r="D88" s="105" t="inlineStr">
        <is>
          <t>м</t>
        </is>
      </c>
      <c r="E88" s="105" t="n">
        <v>1.613</v>
      </c>
      <c r="F88" s="156" t="n">
        <v>18.74</v>
      </c>
      <c r="G88" s="163">
        <f>E88*F88</f>
        <v/>
      </c>
      <c r="H88" s="222">
        <f>G88/$G$92</f>
        <v/>
      </c>
      <c r="I88" s="77">
        <f>ROUND(F88*Прил.10!$D$12,2)</f>
        <v/>
      </c>
      <c r="J88" s="77">
        <f>ROUND(I88*E88,2)</f>
        <v/>
      </c>
    </row>
    <row r="89" hidden="1" outlineLevel="1" ht="25.5" customFormat="1" customHeight="1" s="195">
      <c r="A89" s="218" t="n">
        <v>58</v>
      </c>
      <c r="B89" s="105" t="inlineStr">
        <is>
          <t>08.3.03.06-0002</t>
        </is>
      </c>
      <c r="C89" s="155" t="inlineStr">
        <is>
          <t>Проволока горячекатаная в мотках, диаметром 6,3-6,5 мм</t>
        </is>
      </c>
      <c r="D89" s="105" t="inlineStr">
        <is>
          <t>т</t>
        </is>
      </c>
      <c r="E89" s="105" t="n">
        <v>0.0029</v>
      </c>
      <c r="F89" s="156" t="n">
        <v>4455.2</v>
      </c>
      <c r="G89" s="163">
        <f>E89*F89</f>
        <v/>
      </c>
      <c r="H89" s="222">
        <f>G89/$G$92</f>
        <v/>
      </c>
      <c r="I89" s="77">
        <f>ROUND(F89*Прил.10!$D$12,2)</f>
        <v/>
      </c>
      <c r="J89" s="77">
        <f>ROUND(I89*E89,2)</f>
        <v/>
      </c>
    </row>
    <row r="90" hidden="1" outlineLevel="1" ht="14.25" customFormat="1" customHeight="1" s="195">
      <c r="A90" s="218" t="n">
        <v>59</v>
      </c>
      <c r="B90" s="105" t="inlineStr">
        <is>
          <t>14.4.04.12-0014</t>
        </is>
      </c>
      <c r="C90" s="155" t="inlineStr">
        <is>
          <t>Эмаль эпоксидная: ЭП-1236</t>
        </is>
      </c>
      <c r="D90" s="105" t="inlineStr">
        <is>
          <t>т</t>
        </is>
      </c>
      <c r="E90" s="105" t="n">
        <v>0.00016000000000016</v>
      </c>
      <c r="F90" s="156" t="n">
        <v>36000</v>
      </c>
      <c r="G90" s="163">
        <f>E90*F90</f>
        <v/>
      </c>
      <c r="H90" s="222">
        <f>G90/$G$92</f>
        <v/>
      </c>
      <c r="I90" s="77">
        <f>ROUND(F90*Прил.10!$D$12,2)</f>
        <v/>
      </c>
      <c r="J90" s="77">
        <f>ROUND(I90*E90,2)</f>
        <v/>
      </c>
    </row>
    <row r="91" collapsed="1" ht="14.25" customFormat="1" customHeight="1" s="195">
      <c r="A91" s="218" t="n"/>
      <c r="B91" s="218" t="n"/>
      <c r="C91" s="217" t="inlineStr">
        <is>
          <t>Итого прочие материалы</t>
        </is>
      </c>
      <c r="D91" s="218" t="n"/>
      <c r="E91" s="219" t="n"/>
      <c r="F91" s="220" t="n"/>
      <c r="G91" s="77">
        <f>SUM(G57:G90)</f>
        <v/>
      </c>
      <c r="H91" s="222">
        <f>G91/G92</f>
        <v/>
      </c>
      <c r="I91" s="77" t="n"/>
      <c r="J91" s="77">
        <f>SUM(J57:J90)</f>
        <v/>
      </c>
    </row>
    <row r="92" ht="14.25" customFormat="1" customHeight="1" s="195">
      <c r="A92" s="218" t="n"/>
      <c r="B92" s="218" t="n"/>
      <c r="C92" s="212" t="inlineStr">
        <is>
          <t>Итого по разделу «Материалы»</t>
        </is>
      </c>
      <c r="D92" s="218" t="n"/>
      <c r="E92" s="219" t="n"/>
      <c r="F92" s="220" t="n"/>
      <c r="G92" s="77">
        <f>G56+G91</f>
        <v/>
      </c>
      <c r="H92" s="222" t="n">
        <v>1</v>
      </c>
      <c r="I92" s="220" t="n"/>
      <c r="J92" s="77">
        <f>J56+J91</f>
        <v/>
      </c>
      <c r="K92" s="79" t="n"/>
      <c r="L92" s="149" t="n"/>
    </row>
    <row r="93" ht="14.25" customFormat="1" customHeight="1" s="195">
      <c r="A93" s="218" t="n"/>
      <c r="B93" s="218" t="n"/>
      <c r="C93" s="217" t="inlineStr">
        <is>
          <t>ИТОГО ПО РМ</t>
        </is>
      </c>
      <c r="D93" s="218" t="n"/>
      <c r="E93" s="219" t="n"/>
      <c r="F93" s="220" t="n"/>
      <c r="G93" s="77">
        <f>G14+G43+G92</f>
        <v/>
      </c>
      <c r="H93" s="222" t="n"/>
      <c r="I93" s="220" t="n"/>
      <c r="J93" s="77">
        <f>J14+J43+J92</f>
        <v/>
      </c>
    </row>
    <row r="94" ht="14.25" customFormat="1" customHeight="1" s="195">
      <c r="A94" s="218" t="n"/>
      <c r="B94" s="218" t="n"/>
      <c r="C94" s="217" t="inlineStr">
        <is>
          <t>Накладные расходы</t>
        </is>
      </c>
      <c r="D94" s="218" t="inlineStr">
        <is>
          <t>%</t>
        </is>
      </c>
      <c r="E94" s="100">
        <f>ROUND(G94/(G14+G16),2)</f>
        <v/>
      </c>
      <c r="F94" s="220" t="n"/>
      <c r="G94" s="77" t="n">
        <v>176047</v>
      </c>
      <c r="H94" s="222" t="n"/>
      <c r="I94" s="220" t="n"/>
      <c r="J94" s="77">
        <f>ROUND(E94*(J14+J16),2)</f>
        <v/>
      </c>
      <c r="K94" s="101" t="n"/>
    </row>
    <row r="95" ht="14.25" customFormat="1" customHeight="1" s="195">
      <c r="A95" s="218" t="n"/>
      <c r="B95" s="218" t="n"/>
      <c r="C95" s="217" t="inlineStr">
        <is>
          <t>Сметная прибыль</t>
        </is>
      </c>
      <c r="D95" s="218" t="inlineStr">
        <is>
          <t>%</t>
        </is>
      </c>
      <c r="E95" s="100">
        <f>ROUND(G95/(G14+G16),2)</f>
        <v/>
      </c>
      <c r="F95" s="220" t="n"/>
      <c r="G95" s="77" t="n">
        <v>106517</v>
      </c>
      <c r="H95" s="222" t="n"/>
      <c r="I95" s="220" t="n"/>
      <c r="J95" s="77">
        <f>ROUND(E95*(J14+J16),2)</f>
        <v/>
      </c>
      <c r="K95" s="101" t="n"/>
    </row>
    <row r="96" ht="14.25" customFormat="1" customHeight="1" s="195">
      <c r="A96" s="218" t="n"/>
      <c r="B96" s="218" t="n"/>
      <c r="C96" s="217" t="inlineStr">
        <is>
          <t>Итого СМР (с НР и СП)</t>
        </is>
      </c>
      <c r="D96" s="218" t="n"/>
      <c r="E96" s="219" t="n"/>
      <c r="F96" s="220" t="n"/>
      <c r="G96" s="77">
        <f>G14+G43+G92+G94+G95</f>
        <v/>
      </c>
      <c r="H96" s="222" t="n"/>
      <c r="I96" s="220" t="n"/>
      <c r="J96" s="77">
        <f>J14+J43+J92+J94+J95</f>
        <v/>
      </c>
      <c r="L96" s="102" t="n"/>
    </row>
    <row r="97" ht="14.25" customFormat="1" customHeight="1" s="195">
      <c r="A97" s="218" t="n"/>
      <c r="B97" s="218" t="n"/>
      <c r="C97" s="217" t="inlineStr">
        <is>
          <t>ВСЕГО СМР + ОБОРУДОВАНИЕ</t>
        </is>
      </c>
      <c r="D97" s="218" t="n"/>
      <c r="E97" s="219" t="n"/>
      <c r="F97" s="220" t="n"/>
      <c r="G97" s="77">
        <f>G96+G48</f>
        <v/>
      </c>
      <c r="H97" s="222" t="n"/>
      <c r="I97" s="220" t="n"/>
      <c r="J97" s="77">
        <f>J96+J48</f>
        <v/>
      </c>
      <c r="L97" s="101" t="n"/>
    </row>
    <row r="98" ht="14.25" customFormat="1" customHeight="1" s="195">
      <c r="A98" s="218" t="n"/>
      <c r="B98" s="218" t="n"/>
      <c r="C98" s="217" t="inlineStr">
        <is>
          <t>ИТОГО ПОКАЗАТЕЛЬ НА ЕД. ИЗМ.</t>
        </is>
      </c>
      <c r="D98" s="218" t="inlineStr">
        <is>
          <t>1 опора</t>
        </is>
      </c>
      <c r="E98" s="103" t="n">
        <v>17</v>
      </c>
      <c r="F98" s="220" t="n"/>
      <c r="G98" s="77">
        <f>G97/E98</f>
        <v/>
      </c>
      <c r="H98" s="222" t="n"/>
      <c r="I98" s="220" t="n"/>
      <c r="J98" s="77">
        <f>J97/E98</f>
        <v/>
      </c>
      <c r="L98" s="149" t="n"/>
    </row>
    <row r="100" ht="14.25" customFormat="1" customHeight="1" s="195">
      <c r="A100" s="193" t="n"/>
    </row>
    <row r="101" ht="14.25" customFormat="1" customHeight="1" s="195">
      <c r="A101" s="185" t="inlineStr">
        <is>
          <t>Составил ______________________       Р.Р. Шагеева</t>
        </is>
      </c>
      <c r="B101" s="195" t="n"/>
    </row>
    <row r="102" ht="14.25" customFormat="1" customHeight="1" s="195">
      <c r="A102" s="196" t="inlineStr">
        <is>
          <t xml:space="preserve">                         (подпись, инициалы, фамилия)</t>
        </is>
      </c>
      <c r="B102" s="195" t="n"/>
    </row>
    <row r="103" ht="14.25" customFormat="1" customHeight="1" s="195">
      <c r="A103" s="185" t="n"/>
      <c r="B103" s="195" t="n"/>
    </row>
    <row r="104" ht="14.25" customFormat="1" customHeight="1" s="195">
      <c r="A104" s="185" t="inlineStr">
        <is>
          <t>Проверил ______________________        А.В. Костянецкая</t>
        </is>
      </c>
      <c r="B104" s="195" t="n"/>
    </row>
    <row r="105" ht="14.25" customFormat="1" customHeight="1" s="195">
      <c r="A105" s="196" t="inlineStr">
        <is>
          <t xml:space="preserve">                        (подпись, инициалы, фамилия)</t>
        </is>
      </c>
      <c r="B105" s="195" t="n"/>
    </row>
  </sheetData>
  <mergeCells count="19">
    <mergeCell ref="H9:H10"/>
    <mergeCell ref="B15:H15"/>
    <mergeCell ref="B51:H51"/>
    <mergeCell ref="B44:J44"/>
    <mergeCell ref="C9:C10"/>
    <mergeCell ref="E9:E10"/>
    <mergeCell ref="A7:H7"/>
    <mergeCell ref="B9:B10"/>
    <mergeCell ref="D9:D10"/>
    <mergeCell ref="B18:H18"/>
    <mergeCell ref="B45:J45"/>
    <mergeCell ref="B12:H12"/>
    <mergeCell ref="B50:J50"/>
    <mergeCell ref="F9:G9"/>
    <mergeCell ref="A4:H4"/>
    <mergeCell ref="B17:H17"/>
    <mergeCell ref="A9:A10"/>
    <mergeCell ref="A6:C6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0"/>
  <sheetViews>
    <sheetView view="pageBreakPreview" topLeftCell="A11" workbookViewId="0">
      <selection activeCell="E18" sqref="E18"/>
    </sheetView>
  </sheetViews>
  <sheetFormatPr baseColWidth="8" defaultRowHeight="15"/>
  <cols>
    <col width="5.7109375" customWidth="1" style="198" min="1" max="1"/>
    <col width="14.85546875" customWidth="1" style="198" min="2" max="2"/>
    <col width="39.140625" customWidth="1" style="198" min="3" max="3"/>
    <col width="8.28515625" customWidth="1" style="198" min="4" max="4"/>
    <col width="13.5703125" customWidth="1" style="198" min="5" max="5"/>
    <col width="12.42578125" customWidth="1" style="198" min="6" max="6"/>
    <col width="14.140625" customWidth="1" style="198" min="7" max="7"/>
  </cols>
  <sheetData>
    <row r="1">
      <c r="A1" s="237" t="inlineStr">
        <is>
          <t>Приложение №6</t>
        </is>
      </c>
    </row>
    <row r="2" ht="21.75" customHeight="1" s="198">
      <c r="A2" s="237" t="n"/>
      <c r="B2" s="237" t="n"/>
      <c r="C2" s="237" t="n"/>
      <c r="D2" s="237" t="n"/>
      <c r="E2" s="237" t="n"/>
      <c r="F2" s="237" t="n"/>
      <c r="G2" s="237" t="n"/>
    </row>
    <row r="3">
      <c r="A3" s="214" t="inlineStr">
        <is>
          <t>Расчет стоимости оборудования</t>
        </is>
      </c>
    </row>
    <row r="4" ht="25.5" customHeight="1" s="198">
      <c r="A4" s="236">
        <f>'Прил.1 Сравнит табл'!B7</f>
        <v/>
      </c>
    </row>
    <row r="5">
      <c r="A5" s="185" t="n"/>
      <c r="B5" s="185" t="n"/>
      <c r="C5" s="185" t="n"/>
      <c r="D5" s="185" t="n"/>
      <c r="E5" s="185" t="n"/>
      <c r="F5" s="185" t="n"/>
      <c r="G5" s="185" t="n"/>
    </row>
    <row r="6" ht="30" customHeight="1" s="198">
      <c r="A6" s="238" t="inlineStr">
        <is>
          <t>№ пп.</t>
        </is>
      </c>
      <c r="B6" s="238" t="inlineStr">
        <is>
          <t>Код ресурса</t>
        </is>
      </c>
      <c r="C6" s="238" t="inlineStr">
        <is>
          <t>Наименование</t>
        </is>
      </c>
      <c r="D6" s="238" t="inlineStr">
        <is>
          <t>Ед. изм.</t>
        </is>
      </c>
      <c r="E6" s="218" t="inlineStr">
        <is>
          <t>Кол-во единиц по проектным данным</t>
        </is>
      </c>
      <c r="F6" s="238" t="inlineStr">
        <is>
          <t>Сметная стоимость в ценах на 01.01.2000 (руб.)</t>
        </is>
      </c>
      <c r="G6" s="245" t="n"/>
    </row>
    <row r="7">
      <c r="A7" s="247" t="n"/>
      <c r="B7" s="247" t="n"/>
      <c r="C7" s="247" t="n"/>
      <c r="D7" s="247" t="n"/>
      <c r="E7" s="247" t="n"/>
      <c r="F7" s="218" t="inlineStr">
        <is>
          <t>на ед. изм.</t>
        </is>
      </c>
      <c r="G7" s="218" t="inlineStr">
        <is>
          <t>общая</t>
        </is>
      </c>
    </row>
    <row r="8">
      <c r="A8" s="218" t="n">
        <v>1</v>
      </c>
      <c r="B8" s="218" t="n">
        <v>2</v>
      </c>
      <c r="C8" s="218" t="n">
        <v>3</v>
      </c>
      <c r="D8" s="218" t="n">
        <v>4</v>
      </c>
      <c r="E8" s="218" t="n">
        <v>5</v>
      </c>
      <c r="F8" s="218" t="n">
        <v>6</v>
      </c>
      <c r="G8" s="218" t="n">
        <v>7</v>
      </c>
    </row>
    <row r="9" ht="15" customHeight="1" s="198">
      <c r="A9" s="63" t="n"/>
      <c r="B9" s="217" t="inlineStr">
        <is>
          <t>ИНЖЕНЕРНОЕ ОБОРУДОВАНИЕ</t>
        </is>
      </c>
      <c r="C9" s="244" t="n"/>
      <c r="D9" s="244" t="n"/>
      <c r="E9" s="244" t="n"/>
      <c r="F9" s="244" t="n"/>
      <c r="G9" s="245" t="n"/>
    </row>
    <row r="10" ht="27" customHeight="1" s="198">
      <c r="A10" s="218" t="n"/>
      <c r="B10" s="212" t="n"/>
      <c r="C10" s="217" t="inlineStr">
        <is>
          <t>ИТОГО ИНЖЕНЕРНОЕ ОБОРУДОВАНИЕ</t>
        </is>
      </c>
      <c r="D10" s="212" t="n"/>
      <c r="E10" s="9" t="n"/>
      <c r="F10" s="220" t="n"/>
      <c r="G10" s="220" t="n">
        <v>0</v>
      </c>
    </row>
    <row r="11">
      <c r="A11" s="218" t="n"/>
      <c r="B11" s="217" t="inlineStr">
        <is>
          <t>ТЕХНОЛОГИЧЕСКОЕ ОБОРУДОВАНИЕ</t>
        </is>
      </c>
      <c r="C11" s="244" t="n"/>
      <c r="D11" s="244" t="n"/>
      <c r="E11" s="244" t="n"/>
      <c r="F11" s="244" t="n"/>
      <c r="G11" s="245" t="n"/>
    </row>
    <row r="12">
      <c r="A12" s="218" t="n">
        <v>1</v>
      </c>
      <c r="B12" s="13" t="n"/>
      <c r="C12" s="13" t="n"/>
      <c r="D12" s="13" t="n"/>
      <c r="E12" s="14" t="n"/>
      <c r="F12" s="220" t="n"/>
      <c r="G12" s="220" t="n"/>
    </row>
    <row r="13" ht="25.5" customHeight="1" s="198">
      <c r="A13" s="218" t="n"/>
      <c r="B13" s="13" t="n"/>
      <c r="C13" s="13" t="inlineStr">
        <is>
          <t>ИТОГО ТЕХНОЛОГИЧЕСКОЕ ОБОРУДОВАНИЕ</t>
        </is>
      </c>
      <c r="D13" s="13" t="n"/>
      <c r="E13" s="14" t="n"/>
      <c r="F13" s="220" t="n"/>
      <c r="G13" s="77" t="n">
        <v>0</v>
      </c>
    </row>
    <row r="14" ht="19.5" customHeight="1" s="198">
      <c r="A14" s="218" t="n"/>
      <c r="B14" s="217" t="n"/>
      <c r="C14" s="217" t="inlineStr">
        <is>
          <t>Всего по разделу «Оборудование»</t>
        </is>
      </c>
      <c r="D14" s="217" t="n"/>
      <c r="E14" s="235" t="n"/>
      <c r="F14" s="220" t="n"/>
      <c r="G14" s="77">
        <f>G10+G13</f>
        <v/>
      </c>
    </row>
    <row r="15">
      <c r="A15" s="193" t="n"/>
      <c r="B15" s="194" t="n"/>
      <c r="C15" s="193" t="n"/>
      <c r="D15" s="193" t="n"/>
      <c r="E15" s="193" t="n"/>
      <c r="F15" s="193" t="n"/>
      <c r="G15" s="193" t="n"/>
    </row>
    <row r="16" s="198">
      <c r="A16" s="185" t="inlineStr">
        <is>
          <t>Составил ______________________       Р.Р. Шагеева</t>
        </is>
      </c>
      <c r="B16" s="195" t="n"/>
      <c r="D16" s="193" t="n"/>
      <c r="E16" s="193" t="n"/>
      <c r="F16" s="193" t="n"/>
      <c r="G16" s="193" t="n"/>
    </row>
    <row r="17" s="198">
      <c r="A17" s="196" t="inlineStr">
        <is>
          <t xml:space="preserve">                         (подпись, инициалы, фамилия)</t>
        </is>
      </c>
      <c r="B17" s="195" t="n"/>
      <c r="D17" s="193" t="n"/>
      <c r="E17" s="193" t="n"/>
      <c r="F17" s="193" t="n"/>
      <c r="G17" s="193" t="n"/>
    </row>
    <row r="18" s="198">
      <c r="A18" s="185" t="n"/>
      <c r="B18" s="195" t="n"/>
      <c r="C18" s="195" t="n"/>
      <c r="D18" s="193" t="n"/>
      <c r="E18" s="193" t="n"/>
      <c r="F18" s="193" t="n"/>
      <c r="G18" s="193" t="n"/>
    </row>
    <row r="19" s="198">
      <c r="A19" s="185" t="inlineStr">
        <is>
          <t>Проверил ______________________        А.В. Костянецкая</t>
        </is>
      </c>
      <c r="B19" s="195" t="n"/>
      <c r="C19" s="195" t="n"/>
      <c r="D19" s="193" t="n"/>
      <c r="E19" s="193" t="n"/>
      <c r="F19" s="193" t="n"/>
      <c r="G19" s="193" t="n"/>
    </row>
    <row r="20" s="198">
      <c r="A20" s="196" t="inlineStr">
        <is>
          <t xml:space="preserve">                        (подпись, инициалы, фамилия)</t>
        </is>
      </c>
      <c r="B20" s="195" t="n"/>
      <c r="C20" s="195" t="n"/>
      <c r="D20" s="193" t="n"/>
      <c r="E20" s="193" t="n"/>
      <c r="F20" s="193" t="n"/>
      <c r="G20" s="193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82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C14" sqref="C14"/>
    </sheetView>
  </sheetViews>
  <sheetFormatPr baseColWidth="8" defaultColWidth="8.85546875" defaultRowHeight="15"/>
  <cols>
    <col width="11.85546875" customWidth="1" style="198" min="1" max="1"/>
    <col width="29.7109375" customWidth="1" style="198" min="2" max="2"/>
    <col width="35" customWidth="1" style="198" min="3" max="3"/>
    <col width="27.5703125" customWidth="1" style="198" min="4" max="4"/>
    <col width="24.85546875" customWidth="1" style="198" min="5" max="5"/>
    <col width="8.85546875" customWidth="1" style="198" min="6" max="6"/>
  </cols>
  <sheetData>
    <row r="1">
      <c r="B1" s="185" t="n"/>
      <c r="C1" s="185" t="n"/>
      <c r="D1" s="237" t="inlineStr">
        <is>
          <t>Приложение №7</t>
        </is>
      </c>
    </row>
    <row r="2">
      <c r="A2" s="237" t="n"/>
      <c r="B2" s="237" t="n"/>
      <c r="C2" s="237" t="n"/>
      <c r="D2" s="237" t="n"/>
    </row>
    <row r="3" ht="24.75" customHeight="1" s="198">
      <c r="A3" s="214" t="inlineStr">
        <is>
          <t>Расчет показателя УНЦ</t>
        </is>
      </c>
    </row>
    <row r="4" ht="24.75" customHeight="1" s="198">
      <c r="A4" s="214" t="n"/>
      <c r="B4" s="214" t="n"/>
      <c r="C4" s="214" t="n"/>
      <c r="D4" s="214" t="n"/>
    </row>
    <row r="5" ht="36" customHeight="1" s="198">
      <c r="A5" s="229" t="inlineStr">
        <is>
          <t xml:space="preserve">Наименование разрабатываемого показателя УНЦ - </t>
        </is>
      </c>
      <c r="D5" s="229">
        <f>'Прил.5 Расчет СМР и ОБ'!D6</f>
        <v/>
      </c>
    </row>
    <row r="6" ht="19.9" customHeight="1" s="198">
      <c r="A6" s="229">
        <f>'Прил.1 Сравнит табл'!B9</f>
        <v/>
      </c>
      <c r="D6" s="229" t="n"/>
    </row>
    <row r="7">
      <c r="A7" s="185" t="n"/>
      <c r="B7" s="185" t="n"/>
      <c r="C7" s="185" t="n"/>
      <c r="D7" s="185" t="n"/>
    </row>
    <row r="8" ht="14.45" customHeight="1" s="198">
      <c r="A8" s="207" t="inlineStr">
        <is>
          <t>Код показателя</t>
        </is>
      </c>
      <c r="B8" s="207" t="inlineStr">
        <is>
          <t>Наименование показателя</t>
        </is>
      </c>
      <c r="C8" s="207" t="inlineStr">
        <is>
          <t>Наименование РМ, входящих в состав показателя</t>
        </is>
      </c>
      <c r="D8" s="207" t="inlineStr">
        <is>
          <t>Норматив цены на 01.01.2023, тыс.руб.</t>
        </is>
      </c>
    </row>
    <row r="9" ht="15" customHeight="1" s="198">
      <c r="A9" s="247" t="n"/>
      <c r="B9" s="247" t="n"/>
      <c r="C9" s="247" t="n"/>
      <c r="D9" s="247" t="n"/>
    </row>
    <row r="10">
      <c r="A10" s="218" t="n">
        <v>1</v>
      </c>
      <c r="B10" s="218" t="n">
        <v>2</v>
      </c>
      <c r="C10" s="218" t="n">
        <v>3</v>
      </c>
      <c r="D10" s="218" t="n">
        <v>4</v>
      </c>
    </row>
    <row r="11" ht="41.45" customHeight="1" s="198">
      <c r="A11" s="218" t="inlineStr">
        <is>
          <t>М1-01</t>
        </is>
      </c>
      <c r="B11" s="218" t="inlineStr">
        <is>
          <t xml:space="preserve">УНЦ на устройство защиты опор ВЛ </t>
        </is>
      </c>
      <c r="C11" s="190">
        <f>D5</f>
        <v/>
      </c>
      <c r="D11" s="191">
        <f>'Прил.4 РМ'!C41/1000</f>
        <v/>
      </c>
      <c r="E11" s="192" t="n"/>
    </row>
    <row r="12">
      <c r="A12" s="193" t="n"/>
      <c r="B12" s="194" t="n"/>
      <c r="C12" s="193" t="n"/>
      <c r="D12" s="193" t="n"/>
    </row>
    <row r="13">
      <c r="A13" s="185">
        <f>'Прил.1 Сравнит табл'!B30</f>
        <v/>
      </c>
      <c r="B13" s="195" t="n"/>
      <c r="C13" s="195" t="n"/>
      <c r="D13" s="193" t="n"/>
    </row>
    <row r="14">
      <c r="A14" s="196" t="inlineStr">
        <is>
          <t xml:space="preserve">                         (подпись, инициалы, фамилия)</t>
        </is>
      </c>
      <c r="B14" s="195" t="n"/>
      <c r="C14" s="195" t="n"/>
      <c r="D14" s="193" t="n"/>
    </row>
    <row r="15">
      <c r="A15" s="185" t="n"/>
      <c r="B15" s="195" t="n"/>
      <c r="C15" s="195" t="n"/>
      <c r="D15" s="193" t="n"/>
    </row>
    <row r="16">
      <c r="A16" s="185" t="inlineStr">
        <is>
          <t>Проверил ______________________        А.В. Костянецкая</t>
        </is>
      </c>
      <c r="B16" s="195" t="n"/>
      <c r="C16" s="195" t="n"/>
      <c r="D16" s="193" t="n"/>
    </row>
    <row r="17">
      <c r="A17" s="196" t="inlineStr">
        <is>
          <t xml:space="preserve">                        (подпись, инициалы, фамилия)</t>
        </is>
      </c>
      <c r="B17" s="195" t="n"/>
      <c r="C17" s="195" t="n"/>
      <c r="D17" s="193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5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D30"/>
  <sheetViews>
    <sheetView view="pageBreakPreview" topLeftCell="A7" zoomScale="60" zoomScaleNormal="85" workbookViewId="0">
      <selection activeCell="C24" sqref="C24"/>
    </sheetView>
  </sheetViews>
  <sheetFormatPr baseColWidth="8" defaultRowHeight="15"/>
  <cols>
    <col width="40.7109375" customWidth="1" style="198" min="2" max="2"/>
    <col width="37" customWidth="1" style="198" min="3" max="3"/>
    <col width="32" customWidth="1" style="198" min="4" max="4"/>
  </cols>
  <sheetData>
    <row r="4" ht="15.75" customHeight="1" s="198">
      <c r="B4" s="202" t="inlineStr">
        <is>
          <t>Приложение № 10</t>
        </is>
      </c>
    </row>
    <row r="5" ht="18.75" customHeight="1" s="198">
      <c r="B5" s="40" t="n"/>
    </row>
    <row r="6" ht="15.75" customHeight="1" s="198">
      <c r="B6" s="206" t="inlineStr">
        <is>
          <t>Используемые индексы изменений сметной стоимости и нормы сопутствующих затрат</t>
        </is>
      </c>
    </row>
    <row r="7" ht="18.75" customHeight="1" s="198">
      <c r="B7" s="109" t="n"/>
    </row>
    <row r="8" ht="47.25" customHeight="1" s="198">
      <c r="B8" s="207" t="inlineStr">
        <is>
          <t>Наименование индекса / норм сопутствующих затрат</t>
        </is>
      </c>
      <c r="C8" s="207" t="inlineStr">
        <is>
          <t>Дата применения и обоснование индекса / норм сопутствующих затрат</t>
        </is>
      </c>
      <c r="D8" s="207" t="inlineStr">
        <is>
          <t>Размер индекса / норма сопутствующих затрат</t>
        </is>
      </c>
    </row>
    <row r="9" ht="15.75" customHeight="1" s="198">
      <c r="B9" s="207" t="n">
        <v>1</v>
      </c>
      <c r="C9" s="207" t="n">
        <v>2</v>
      </c>
      <c r="D9" s="207" t="n">
        <v>3</v>
      </c>
    </row>
    <row r="10" ht="31.5" customHeight="1" s="198">
      <c r="B10" s="207" t="inlineStr">
        <is>
          <t xml:space="preserve">Индекс изменения сметной стоимости на 1 квартал 2023 года. ОЗП </t>
        </is>
      </c>
      <c r="C10" s="207" t="inlineStr">
        <is>
          <t>Письмо Минстроя России от 01.04.2023г. №17772-ИФ/09 прил.9</t>
        </is>
      </c>
      <c r="D10" s="207" t="n">
        <v>46.83</v>
      </c>
    </row>
    <row r="11" ht="31.5" customHeight="1" s="198">
      <c r="B11" s="207" t="inlineStr">
        <is>
          <t>Индекс изменения сметной стоимости на 1 квартал 2023 года. ЭМ</t>
        </is>
      </c>
      <c r="C11" s="207" t="inlineStr">
        <is>
          <t>Письмо Минстроя России от 01.04.2023г. №17772-ИФ/09 прил.9</t>
        </is>
      </c>
      <c r="D11" s="207" t="n">
        <v>11.96</v>
      </c>
    </row>
    <row r="12" ht="31.5" customHeight="1" s="198">
      <c r="B12" s="207" t="inlineStr">
        <is>
          <t>Индекс изменения сметной стоимости на 1 квартал 2023 года. МАТ</t>
        </is>
      </c>
      <c r="C12" s="207" t="inlineStr">
        <is>
          <t>Письмо Минстроя России от 01.04.2023г. №17772-ИФ/09 прил.9</t>
        </is>
      </c>
      <c r="D12" s="207" t="n">
        <v>9.84</v>
      </c>
    </row>
    <row r="13" ht="31.5" customHeight="1" s="198">
      <c r="B13" s="207" t="inlineStr">
        <is>
          <t>Индекс изменения сметной стоимости на 1 квартал 2023 года. ОБ</t>
        </is>
      </c>
      <c r="C13" s="112" t="inlineStr">
        <is>
          <t>Письмо Минстроя России от 23.02.2023г. №9791-ИФ/09 прил.6</t>
        </is>
      </c>
      <c r="D13" s="207" t="n">
        <v>6.26</v>
      </c>
    </row>
    <row r="14" ht="78.75" customHeight="1" s="198">
      <c r="B14" s="207" t="inlineStr">
        <is>
          <t>Временные здания и сооружения</t>
        </is>
      </c>
      <c r="C14" s="207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4" s="53" t="n">
        <v>0.033</v>
      </c>
    </row>
    <row r="15" ht="78.75" customHeight="1" s="198">
      <c r="B15" s="207" t="inlineStr">
        <is>
          <t>Дополнительные затраты при производстве строительно-монтажных работ в зимнее время</t>
        </is>
      </c>
      <c r="C15" s="207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5" s="53" t="n">
        <v>0.01</v>
      </c>
    </row>
    <row r="16" ht="15.75" customHeight="1" s="198">
      <c r="B16" s="207" t="inlineStr">
        <is>
          <t>Пусконаладочные работы</t>
        </is>
      </c>
      <c r="C16" s="207" t="n"/>
      <c r="D16" s="207" t="inlineStr">
        <is>
          <t>Расчет</t>
        </is>
      </c>
    </row>
    <row r="17" ht="31.5" customHeight="1" s="198">
      <c r="B17" s="207" t="inlineStr">
        <is>
          <t>Строительный контроль</t>
        </is>
      </c>
      <c r="C17" s="207" t="inlineStr">
        <is>
          <t>Постановление Правительства РФ от 21.06.10 г. № 468</t>
        </is>
      </c>
      <c r="D17" s="53" t="n">
        <v>0.0214</v>
      </c>
    </row>
    <row r="18" ht="31.5" customHeight="1" s="198">
      <c r="B18" s="207" t="inlineStr">
        <is>
          <t>Авторский надзор - 0,2%</t>
        </is>
      </c>
      <c r="C18" s="207" t="inlineStr">
        <is>
          <t>Приказ от 4.08.2020 № 421/пр п.173</t>
        </is>
      </c>
      <c r="D18" s="53" t="n">
        <v>0.002</v>
      </c>
    </row>
    <row r="19" ht="24" customHeight="1" s="198">
      <c r="B19" s="207" t="inlineStr">
        <is>
          <t>Непредвиденные расходы</t>
        </is>
      </c>
      <c r="C19" s="207" t="inlineStr">
        <is>
          <t>Приказ от 4.08.2020 № 421/пр п.179</t>
        </is>
      </c>
      <c r="D19" s="53" t="n">
        <v>0.03</v>
      </c>
    </row>
    <row r="20" ht="18.75" customHeight="1" s="198">
      <c r="B20" s="109" t="n"/>
    </row>
    <row r="21" ht="18.75" customHeight="1" s="198">
      <c r="B21" s="109" t="n"/>
    </row>
    <row r="22" ht="18.75" customHeight="1" s="198">
      <c r="B22" s="109" t="n"/>
    </row>
    <row r="23" ht="18.75" customHeight="1" s="198">
      <c r="B23" s="109" t="n"/>
    </row>
    <row r="26">
      <c r="B26" s="185" t="inlineStr">
        <is>
          <t>Составил ______________________       Р.Р. Шагеева</t>
        </is>
      </c>
      <c r="C26" s="195" t="n"/>
    </row>
    <row r="27">
      <c r="B27" s="196" t="inlineStr">
        <is>
          <t xml:space="preserve">                         (подпись, инициалы, фамилия)</t>
        </is>
      </c>
      <c r="C27" s="195" t="n"/>
    </row>
    <row r="28">
      <c r="B28" s="185" t="n"/>
      <c r="C28" s="195" t="n"/>
    </row>
    <row r="29">
      <c r="B29" s="185" t="inlineStr">
        <is>
          <t>Проверил ______________________        А.В. Костянецкая</t>
        </is>
      </c>
      <c r="C29" s="195" t="n"/>
    </row>
    <row r="30">
      <c r="B30" s="196" t="inlineStr">
        <is>
          <t xml:space="preserve">                        (подпись, инициалы, фамилия)</t>
        </is>
      </c>
      <c r="C30" s="195" t="n"/>
    </row>
  </sheetData>
  <mergeCells count="2">
    <mergeCell ref="B6:D6"/>
    <mergeCell ref="B4:D4"/>
  </mergeCells>
  <pageMargins left="0.7" right="0.7" top="0.75" bottom="0.75" header="0.3" footer="0.3"/>
  <pageSetup orientation="portrait" paperSize="9" scale="75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topLeftCell="A25" workbookViewId="0">
      <selection activeCell="D17" sqref="D17"/>
    </sheetView>
  </sheetViews>
  <sheetFormatPr baseColWidth="8" defaultRowHeight="15"/>
  <cols>
    <col width="9.140625" customWidth="1" style="198" min="1" max="1"/>
    <col width="44.85546875" customWidth="1" style="198" min="2" max="2"/>
    <col width="13" customWidth="1" style="198" min="3" max="3"/>
    <col width="22.85546875" customWidth="1" style="198" min="4" max="4"/>
    <col width="21.5703125" customWidth="1" style="198" min="5" max="5"/>
    <col width="43.85546875" customWidth="1" style="198" min="6" max="6"/>
    <col width="9.140625" customWidth="1" style="198" min="7" max="7"/>
  </cols>
  <sheetData>
    <row r="2" ht="18" customHeight="1" s="198">
      <c r="A2" s="239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198">
      <c r="A4" s="23" t="inlineStr">
        <is>
          <t>Составлен в уровне цен на 01.01.2023 г.</t>
        </is>
      </c>
    </row>
    <row r="5">
      <c r="A5" s="24" t="inlineStr">
        <is>
          <t>№ пп.</t>
        </is>
      </c>
      <c r="B5" s="24" t="inlineStr">
        <is>
          <t>Наименование элемента</t>
        </is>
      </c>
      <c r="C5" s="24" t="inlineStr">
        <is>
          <t>Обозначение</t>
        </is>
      </c>
      <c r="D5" s="24" t="inlineStr">
        <is>
          <t>Формула</t>
        </is>
      </c>
      <c r="E5" s="24" t="inlineStr">
        <is>
          <t>Величина элемента</t>
        </is>
      </c>
      <c r="F5" s="24" t="inlineStr">
        <is>
          <t>Наименования обосновывающих документов</t>
        </is>
      </c>
    </row>
    <row r="6">
      <c r="A6" s="24" t="n">
        <v>1</v>
      </c>
      <c r="B6" s="24" t="n">
        <v>2</v>
      </c>
      <c r="C6" s="24" t="n">
        <v>3</v>
      </c>
      <c r="D6" s="24" t="n">
        <v>4</v>
      </c>
      <c r="E6" s="24" t="n">
        <v>5</v>
      </c>
      <c r="F6" s="24" t="n">
        <v>6</v>
      </c>
    </row>
    <row r="7" ht="105" customHeight="1" s="198">
      <c r="A7" s="25" t="inlineStr">
        <is>
          <t>1.1</t>
        </is>
      </c>
      <c r="B7" s="51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8" t="inlineStr">
        <is>
          <t>С1ср</t>
        </is>
      </c>
      <c r="D7" s="28" t="inlineStr">
        <is>
          <t>-</t>
        </is>
      </c>
      <c r="E7" s="50" t="n">
        <v>47872.94</v>
      </c>
      <c r="F7" s="51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г.(Приказ ПАО "Россети" 
от 03.10.2022 № 473)</t>
        </is>
      </c>
    </row>
    <row r="8" ht="30" customHeight="1" s="198">
      <c r="A8" s="25" t="inlineStr">
        <is>
          <t>1.2</t>
        </is>
      </c>
      <c r="B8" s="51" t="inlineStr">
        <is>
          <t>Среднегодовое нормативное число часов работы одного рабочего в месяц, часы (ч.)</t>
        </is>
      </c>
      <c r="C8" s="28" t="inlineStr">
        <is>
          <t>tср</t>
        </is>
      </c>
      <c r="D8" s="28" t="inlineStr">
        <is>
          <t>1973ч/12мес.</t>
        </is>
      </c>
      <c r="E8" s="50">
        <f>1973/12</f>
        <v/>
      </c>
      <c r="F8" s="51" t="inlineStr">
        <is>
          <t>Производственный календарь 2023 год
(40-часов.неделя)</t>
        </is>
      </c>
      <c r="G8" s="31" t="n"/>
    </row>
    <row r="9">
      <c r="A9" s="25" t="inlineStr">
        <is>
          <t>1.3</t>
        </is>
      </c>
      <c r="B9" s="51" t="inlineStr">
        <is>
          <t>Коэффициент увеличения</t>
        </is>
      </c>
      <c r="C9" s="28" t="inlineStr">
        <is>
          <t>Кув</t>
        </is>
      </c>
      <c r="D9" s="28" t="inlineStr">
        <is>
          <t>-</t>
        </is>
      </c>
      <c r="E9" s="50" t="n">
        <v>1</v>
      </c>
      <c r="F9" s="51" t="n"/>
      <c r="G9" s="32" t="n"/>
    </row>
    <row r="10">
      <c r="A10" s="25" t="inlineStr">
        <is>
          <t>1.4</t>
        </is>
      </c>
      <c r="B10" s="51" t="inlineStr">
        <is>
          <t>Средний разряд работ</t>
        </is>
      </c>
      <c r="C10" s="28" t="n"/>
      <c r="D10" s="28" t="n"/>
      <c r="E10" s="33" t="n">
        <v>3.3</v>
      </c>
      <c r="F10" s="51" t="inlineStr">
        <is>
          <t>РТМ</t>
        </is>
      </c>
      <c r="G10" s="32" t="n"/>
    </row>
    <row r="11" ht="75" customHeight="1" s="198">
      <c r="A11" s="25" t="inlineStr">
        <is>
          <t>1.5</t>
        </is>
      </c>
      <c r="B11" s="51" t="inlineStr">
        <is>
          <t>Тарифный коэффициент среднего разряда работ</t>
        </is>
      </c>
      <c r="C11" s="28" t="inlineStr">
        <is>
          <t>КТ</t>
        </is>
      </c>
      <c r="D11" s="28" t="inlineStr">
        <is>
          <t>-</t>
        </is>
      </c>
      <c r="E11" s="34" t="n">
        <v>1.232</v>
      </c>
      <c r="F11" s="51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</row>
    <row r="12" ht="75" customHeight="1" s="198">
      <c r="A12" s="25" t="inlineStr">
        <is>
          <t>1.6</t>
        </is>
      </c>
      <c r="B12" s="35" t="inlineStr">
        <is>
          <t>Коэффициент инфляции, определяемый поквартально</t>
        </is>
      </c>
      <c r="C12" s="28" t="inlineStr">
        <is>
          <t>Кинф</t>
        </is>
      </c>
      <c r="D12" s="28" t="inlineStr">
        <is>
          <t>-</t>
        </is>
      </c>
      <c r="E12" s="36" t="n">
        <v>1.139</v>
      </c>
      <c r="F12" s="3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2" t="n"/>
    </row>
    <row r="13" ht="60" customHeight="1" s="198">
      <c r="A13" s="25" t="inlineStr">
        <is>
          <t>1.7</t>
        </is>
      </c>
      <c r="B13" s="38" t="inlineStr">
        <is>
          <t>Размер средств на оплату труда рабочих-строителей в текущем уровне цен (ФОТр.тек.), руб/чел.-ч</t>
        </is>
      </c>
      <c r="C13" s="28" t="inlineStr">
        <is>
          <t>ФОТр.тек.</t>
        </is>
      </c>
      <c r="D13" s="28" t="inlineStr">
        <is>
          <t>(С1ср/tср*КТ*Т*Кув)*Кинф</t>
        </is>
      </c>
      <c r="E13" s="39">
        <f>((E7*E9/E8)*E11)*E12</f>
        <v/>
      </c>
      <c r="F13" s="51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</row>
  </sheetData>
  <mergeCells count="1">
    <mergeCell ref="A2:F2"/>
  </mergeCells>
  <pageMargins left="0.7" right="0.7" top="0.75" bottom="0.75" header="0.3" footer="0.3"/>
  <pageSetup orientation="portrait" paperSize="9" scale="57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2025-01-24T12:10:48Z</dcterms:modified>
  <cp:lastModifiedBy>Danil</cp:lastModifiedBy>
  <cp:lastPrinted>2023-11-27T07:35:27Z</cp:lastPrinted>
</cp:coreProperties>
</file>