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4000" windowHeight="9735" tabRatio="891" firstSheet="0" activeTab="7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й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йцйу3йк">#REF!</definedName>
    <definedName name="йцйц">NA()</definedName>
    <definedName name="Ицпп">#REF!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йки">#REF!</definedName>
    <definedName name="Наименование_строительства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Toc132270798" localSheetId="0">'Прил.1 Сравнит табл'!$B$4</definedName>
    <definedName name="_Hlk133322969" localSheetId="1">'Прил.2 Расч стоим'!$B$4</definedName>
    <definedName name="_Toc132270799" localSheetId="2">Прил.3!$A$3</definedName>
    <definedName name="_xlnm.Print_Titles" localSheetId="2">'Прил.3'!$9:$11</definedName>
    <definedName name="_xlnm.Print_Area" localSheetId="2">'Прил.3'!$A$1:$H$66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РМ'!$A$1:$E$47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й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йки" localSheetId="4">#REF!</definedName>
    <definedName name="Наименование_строительства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ОБ'!$A$1:$J$74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й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йцйу3йк" localSheetId="6">#REF!</definedName>
    <definedName name="Ицпп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йки" localSheetId="6">#REF!</definedName>
    <definedName name="Наименование_строительства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10">
    <numFmt numFmtId="164" formatCode="_-* #,##0.00_-;\-* #,##0.00_-;_-* &quot;-&quot;??_-;_-@_-"/>
    <numFmt numFmtId="165" formatCode="#,##0.0"/>
    <numFmt numFmtId="166" formatCode="#,##0.000"/>
    <numFmt numFmtId="167" formatCode="0.0000"/>
    <numFmt numFmtId="168" formatCode="#,##0.0000"/>
    <numFmt numFmtId="169" formatCode="#,##0.00000"/>
    <numFmt numFmtId="170" formatCode="_-* #,##0.0\ _₽_-;\-* #,##0.0\ _₽_-;_-* &quot;-&quot;??\ _₽_-;_-@_-"/>
    <numFmt numFmtId="171" formatCode="0.0_ ;\-0.0\ "/>
    <numFmt numFmtId="172" formatCode="#,##0.00_ ;\-#,##0.00\ "/>
    <numFmt numFmtId="173" formatCode="_-* #,##0.00\ _₽_-;\-* #,##0.00\ _₽_-;_-* &quot;-&quot;??\ _₽_-;_-@_-"/>
  </numFmts>
  <fonts count="23">
    <font>
      <name val="Calibri"/>
      <color rgb="FF000000"/>
      <sz val="11"/>
    </font>
    <font>
      <name val="Arial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9"/>
    </font>
    <font>
      <name val="Arial Cyr"/>
      <color rgb="FF0563C1"/>
      <sz val="10"/>
      <u val="single"/>
    </font>
    <font>
      <name val="Calibri"/>
      <color rgb="FF0563C1"/>
      <sz val="11"/>
      <u val="single"/>
    </font>
    <font>
      <name val="Calibri"/>
      <b val="1"/>
      <color rgb="FF000000"/>
      <sz val="11"/>
    </font>
    <font>
      <name val="Times New Roman"/>
      <color rgb="FF000000"/>
      <sz val="14"/>
    </font>
    <font>
      <name val="Times New Roman"/>
      <color rgb="FF000000"/>
      <sz val="12"/>
    </font>
    <font>
      <name val="Calibri"/>
      <color rgb="FF000000"/>
      <sz val="12"/>
    </font>
    <font>
      <name val="Calibri"/>
      <color rgb="FFE7E6E6"/>
      <sz val="11"/>
    </font>
    <font>
      <name val="Times New Roman"/>
      <color rgb="FF000000"/>
      <sz val="11"/>
    </font>
    <font>
      <name val="Calibri"/>
      <color rgb="FFFF0000"/>
      <sz val="11"/>
    </font>
    <font>
      <name val="Arial"/>
      <color rgb="FF000000"/>
      <sz val="8"/>
    </font>
    <font>
      <name val="Calibri"/>
      <color rgb="FFBFBFBF"/>
      <sz val="11"/>
    </font>
    <font>
      <name val="Arial"/>
      <i val="1"/>
      <color rgb="FF000000"/>
      <sz val="10"/>
    </font>
    <font>
      <name val="Times New Roman"/>
      <b val="1"/>
      <color rgb="FF000000"/>
      <sz val="14"/>
    </font>
    <font>
      <name val="Calibri"/>
      <color rgb="FFA5A5A5"/>
      <sz val="11"/>
    </font>
    <font>
      <name val="Times New Roman"/>
      <color rgb="FF000000"/>
      <sz val="10"/>
    </font>
    <font>
      <name val="Times New Roman"/>
      <b val="1"/>
      <color rgb="FF000000"/>
      <sz val="12"/>
    </font>
    <font>
      <name val="Calibri"/>
      <b val="1"/>
      <color rgb="FF000000"/>
      <sz val="11"/>
      <vertAlign val="subscript"/>
    </font>
    <font>
      <name val="Calibri"/>
      <color rgb="FF000000"/>
      <sz val="11"/>
      <vertAlign val="subscript"/>
    </font>
  </fonts>
  <fills count="6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4BAC3"/>
        <bgColor rgb="FFFFFFFF"/>
      </patternFill>
    </fill>
    <fill>
      <patternFill patternType="solid">
        <fgColor rgb="FFD9E2F3"/>
        <bgColor rgb="FFFFFFFF"/>
      </patternFill>
    </fill>
    <fill>
      <patternFill patternType="solid">
        <fgColor rgb="FFFFFF00"/>
        <bgColor rgb="FFFFFFFF"/>
      </patternFill>
    </fill>
  </fills>
  <borders count="2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50">
    <xf numFmtId="0" fontId="0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2" fillId="0" borderId="2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2" fillId="0" borderId="0" pivotButton="0" quotePrefix="0" xfId="0"/>
    <xf numFmtId="0" fontId="2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justify" vertical="center"/>
    </xf>
    <xf numFmtId="164" fontId="0" fillId="0" borderId="0" pivotButton="0" quotePrefix="0" xfId="0"/>
    <xf numFmtId="4" fontId="0" fillId="0" borderId="0" pivotButton="0" quotePrefix="0" xfId="0"/>
    <xf numFmtId="0" fontId="2" fillId="0" borderId="0" applyAlignment="1" pivotButton="0" quotePrefix="0" xfId="0">
      <alignment vertical="center"/>
    </xf>
    <xf numFmtId="0" fontId="0" fillId="0" borderId="0" pivotButton="0" quotePrefix="0" xfId="0"/>
    <xf numFmtId="49" fontId="2" fillId="0" borderId="0" applyAlignment="1" pivotButton="0" quotePrefix="0" xfId="0">
      <alignment horizontal="left" vertical="center"/>
    </xf>
    <xf numFmtId="0" fontId="0" fillId="0" borderId="1" applyAlignment="1" pivotButton="0" quotePrefix="0" xfId="0">
      <alignment horizontal="center" vertical="center"/>
    </xf>
    <xf numFmtId="49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5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165" fontId="0" fillId="0" borderId="1" applyAlignment="1" pivotButton="0" quotePrefix="0" xfId="0">
      <alignment horizontal="center" vertical="center"/>
    </xf>
    <xf numFmtId="166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vertical="center" wrapText="1"/>
    </xf>
    <xf numFmtId="167" fontId="0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wrapText="1"/>
    </xf>
    <xf numFmtId="0" fontId="7" fillId="0" borderId="1" applyAlignment="1" pivotButton="0" quotePrefix="0" xfId="0">
      <alignment vertical="center" wrapText="1"/>
    </xf>
    <xf numFmtId="4" fontId="7" fillId="0" borderId="1" applyAlignment="1" pivotButton="0" quotePrefix="0" xfId="0">
      <alignment horizontal="center" vertical="center"/>
    </xf>
    <xf numFmtId="0" fontId="8" fillId="0" borderId="0" applyAlignment="1" pivotButton="0" quotePrefix="0" xfId="0">
      <alignment horizontal="right" vertical="center"/>
    </xf>
    <xf numFmtId="0" fontId="8" fillId="0" borderId="0" applyAlignment="1" pivotButton="0" quotePrefix="0" xfId="0">
      <alignment horizontal="justify" vertical="center"/>
    </xf>
    <xf numFmtId="0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justify" vertic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right"/>
    </xf>
    <xf numFmtId="164" fontId="2" fillId="0" borderId="1" applyAlignment="1" pivotButton="0" quotePrefix="0" xfId="0">
      <alignment horizontal="right" vertical="top" wrapText="1"/>
    </xf>
    <xf numFmtId="10" fontId="9" fillId="0" borderId="1" applyAlignment="1" pivotButton="0" quotePrefix="0" xfId="0">
      <alignment horizontal="center" vertical="center" wrapText="1"/>
    </xf>
    <xf numFmtId="49" fontId="0" fillId="0" borderId="0" pivotButton="0" quotePrefix="0" xfId="0"/>
    <xf numFmtId="4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9" fillId="0" borderId="1" applyAlignment="1" pivotButton="0" quotePrefix="0" xfId="0">
      <alignment horizontal="center" vertical="center" wrapText="1"/>
    </xf>
    <xf numFmtId="10" fontId="9" fillId="0" borderId="1" applyAlignment="1" pivotButton="0" quotePrefix="0" xfId="0">
      <alignment horizontal="center" vertical="center" wrapText="1"/>
    </xf>
    <xf numFmtId="49" fontId="2" fillId="0" borderId="1" applyAlignment="1" pivotButton="0" quotePrefix="0" xfId="0">
      <alignment horizontal="center" vertical="top" wrapText="1"/>
    </xf>
    <xf numFmtId="4" fontId="2" fillId="0" borderId="1" applyAlignment="1" pivotButton="0" quotePrefix="0" xfId="0">
      <alignment horizontal="right" vertical="top" wrapText="1"/>
    </xf>
    <xf numFmtId="1" fontId="2" fillId="0" borderId="1" applyAlignment="1" pivotButton="0" quotePrefix="0" xfId="0">
      <alignment horizontal="center" vertical="top" wrapText="1"/>
    </xf>
    <xf numFmtId="0" fontId="9" fillId="0" borderId="1" applyAlignment="1" pivotButton="0" quotePrefix="0" xfId="0">
      <alignment horizontal="center" vertical="center" wrapText="1"/>
    </xf>
    <xf numFmtId="0" fontId="10" fillId="0" borderId="1" applyAlignment="1" pivotButton="0" quotePrefix="0" xfId="0">
      <alignment horizontal="center" vertical="center" wrapText="1"/>
    </xf>
    <xf numFmtId="164" fontId="3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vertical="center" wrapText="1"/>
    </xf>
    <xf numFmtId="0" fontId="0" fillId="0" borderId="0" pivotButton="0" quotePrefix="0" xfId="0"/>
    <xf numFmtId="0" fontId="2" fillId="0" borderId="1" applyAlignment="1" pivotButton="0" quotePrefix="0" xfId="0">
      <alignment vertical="center" wrapText="1"/>
    </xf>
    <xf numFmtId="4" fontId="2" fillId="0" borderId="1" applyAlignment="1" pivotButton="0" quotePrefix="0" xfId="0">
      <alignment horizontal="right" vertical="center"/>
    </xf>
    <xf numFmtId="10" fontId="2" fillId="0" borderId="1" applyAlignment="1" pivotButton="0" quotePrefix="0" xfId="0">
      <alignment vertical="center"/>
    </xf>
    <xf numFmtId="0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vertical="center" wrapText="1"/>
    </xf>
    <xf numFmtId="10" fontId="2" fillId="0" borderId="1" applyAlignment="1" pivotButton="0" quotePrefix="0" xfId="0">
      <alignment horizontal="right" vertical="center"/>
    </xf>
    <xf numFmtId="0" fontId="1" fillId="0" borderId="0" pivotButton="0" quotePrefix="0" xfId="0"/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pivotButton="0" quotePrefix="0" xfId="0"/>
    <xf numFmtId="0" fontId="2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10" fontId="2" fillId="0" borderId="0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right" vertical="center" wrapText="1"/>
    </xf>
    <xf numFmtId="164" fontId="1" fillId="0" borderId="0" pivotButton="0" quotePrefix="0" xfId="0"/>
    <xf numFmtId="168" fontId="2" fillId="0" borderId="1" applyAlignment="1" pivotButton="0" quotePrefix="0" xfId="0">
      <alignment horizontal="center" vertical="center" wrapText="1"/>
    </xf>
    <xf numFmtId="10" fontId="2" fillId="0" borderId="1" applyAlignment="1" pivotButton="0" quotePrefix="0" xfId="0">
      <alignment horizontal="right" vertical="center" wrapText="1"/>
    </xf>
    <xf numFmtId="49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169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3" fillId="0" borderId="3" applyAlignment="1" pivotButton="0" quotePrefix="0" xfId="0">
      <alignment horizontal="left" vertical="center" wrapText="1"/>
    </xf>
    <xf numFmtId="2" fontId="2" fillId="0" borderId="3" applyAlignment="1" pivotButton="0" quotePrefix="0" xfId="0">
      <alignment horizontal="center" vertical="center" wrapText="1"/>
    </xf>
    <xf numFmtId="4" fontId="2" fillId="0" borderId="3" applyAlignment="1" pivotButton="0" quotePrefix="0" xfId="0">
      <alignment horizontal="right" vertical="center" wrapText="1"/>
    </xf>
    <xf numFmtId="10" fontId="2" fillId="0" borderId="3" applyAlignment="1" pivotButton="0" quotePrefix="0" xfId="0">
      <alignment horizontal="right" vertical="center" wrapText="1"/>
    </xf>
    <xf numFmtId="0" fontId="2" fillId="0" borderId="4" applyAlignment="1" pivotButton="0" quotePrefix="0" xfId="0">
      <alignment horizontal="center" vertical="center" wrapText="1"/>
    </xf>
    <xf numFmtId="0" fontId="1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right" vertical="center" wrapText="1"/>
    </xf>
    <xf numFmtId="2" fontId="2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left" vertical="center" wrapText="1"/>
    </xf>
    <xf numFmtId="10" fontId="2" fillId="0" borderId="1" applyAlignment="1" pivotButton="0" quotePrefix="0" xfId="0">
      <alignment horizontal="right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center" vertical="center" wrapText="1"/>
    </xf>
    <xf numFmtId="10" fontId="1" fillId="0" borderId="0" pivotButton="0" quotePrefix="0" xfId="0"/>
    <xf numFmtId="4" fontId="1" fillId="0" borderId="0" pivotButton="0" quotePrefix="0" xfId="0"/>
    <xf numFmtId="4" fontId="2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49" fontId="2" fillId="0" borderId="1" applyAlignment="1" pivotButton="0" quotePrefix="0" xfId="0">
      <alignment horizontal="center" vertical="center" wrapText="1"/>
    </xf>
    <xf numFmtId="170" fontId="11" fillId="2" borderId="0" pivotButton="0" quotePrefix="0" xfId="0"/>
    <xf numFmtId="0" fontId="0" fillId="0" borderId="1" applyAlignment="1" pivotButton="0" quotePrefix="0" xfId="0">
      <alignment horizontal="center"/>
    </xf>
    <xf numFmtId="10" fontId="2" fillId="0" borderId="0" applyAlignment="1" applyProtection="1" pivotButton="0" quotePrefix="0" xfId="0">
      <alignment horizontal="center" vertical="center" wrapText="1"/>
      <protection locked="0" hidden="0"/>
    </xf>
    <xf numFmtId="0" fontId="8" fillId="0" borderId="0" applyAlignment="1" pivotButton="0" quotePrefix="0" xfId="0">
      <alignment horizontal="justify" vertical="center"/>
    </xf>
    <xf numFmtId="0" fontId="0" fillId="0" borderId="0" pivotButton="0" quotePrefix="0" xfId="0"/>
    <xf numFmtId="0" fontId="9" fillId="0" borderId="1" applyAlignment="1" pivotButton="0" quotePrefix="0" xfId="0">
      <alignment vertical="center" wrapText="1"/>
    </xf>
    <xf numFmtId="0" fontId="9" fillId="0" borderId="1" applyAlignment="1" pivotButton="0" quotePrefix="0" xfId="0">
      <alignment horizontal="justify" vertical="center" wrapText="1"/>
    </xf>
    <xf numFmtId="14" fontId="12" fillId="0" borderId="1" applyAlignment="1" pivotButton="0" quotePrefix="0" xfId="0">
      <alignment horizontal="center" vertical="center" wrapText="1"/>
    </xf>
    <xf numFmtId="171" fontId="13" fillId="2" borderId="0" pivotButton="0" quotePrefix="0" xfId="0"/>
    <xf numFmtId="0" fontId="9" fillId="0" borderId="0" applyAlignment="1" pivotButton="0" quotePrefix="0" xfId="0">
      <alignment horizontal="right"/>
    </xf>
    <xf numFmtId="0" fontId="0" fillId="3" borderId="5" applyAlignment="1" pivotButton="0" quotePrefix="0" xfId="0">
      <alignment horizontal="center" vertical="center" wrapText="1"/>
    </xf>
    <xf numFmtId="0" fontId="0" fillId="3" borderId="6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/>
    </xf>
    <xf numFmtId="167" fontId="0" fillId="4" borderId="8" applyAlignment="1" pivotButton="0" quotePrefix="0" xfId="0">
      <alignment horizontal="center" vertical="center"/>
    </xf>
    <xf numFmtId="167" fontId="0" fillId="0" borderId="8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/>
    </xf>
    <xf numFmtId="0" fontId="0" fillId="0" borderId="9" applyAlignment="1" pivotButton="0" quotePrefix="0" xfId="0">
      <alignment horizontal="center"/>
    </xf>
    <xf numFmtId="167" fontId="0" fillId="4" borderId="10" applyAlignment="1" pivotButton="0" quotePrefix="0" xfId="0">
      <alignment horizontal="center" vertical="center"/>
    </xf>
    <xf numFmtId="167" fontId="0" fillId="0" borderId="10" applyAlignment="1" pivotButton="0" quotePrefix="0" xfId="0">
      <alignment horizontal="center" vertical="center"/>
    </xf>
    <xf numFmtId="167" fontId="0" fillId="4" borderId="6" applyAlignment="1" pivotButton="0" quotePrefix="0" xfId="0">
      <alignment horizontal="center" vertical="center"/>
    </xf>
    <xf numFmtId="167" fontId="0" fillId="0" borderId="6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/>
    </xf>
    <xf numFmtId="0" fontId="0" fillId="4" borderId="10" applyAlignment="1" pivotButton="0" quotePrefix="0" xfId="0">
      <alignment horizontal="center" vertical="center"/>
    </xf>
    <xf numFmtId="0" fontId="13" fillId="0" borderId="10" applyAlignment="1" pivotButton="0" quotePrefix="0" xfId="0">
      <alignment horizontal="center" vertical="center"/>
    </xf>
    <xf numFmtId="0" fontId="13" fillId="0" borderId="10" applyAlignment="1" pivotButton="0" quotePrefix="0" xfId="0">
      <alignment horizontal="center" vertical="center"/>
    </xf>
    <xf numFmtId="0" fontId="0" fillId="0" borderId="0" pivotButton="0" quotePrefix="0" xfId="0"/>
    <xf numFmtId="0" fontId="0" fillId="5" borderId="0" pivotButton="0" quotePrefix="0" xfId="0"/>
    <xf numFmtId="0" fontId="0" fillId="0" borderId="0" pivotButton="0" quotePrefix="0" xfId="0"/>
    <xf numFmtId="0" fontId="9" fillId="0" borderId="0" pivotButton="0" quotePrefix="0" xfId="0"/>
    <xf numFmtId="0" fontId="8" fillId="0" borderId="0" applyAlignment="1" pivotButton="0" quotePrefix="0" xfId="0">
      <alignment horizontal="center" vertical="center"/>
    </xf>
    <xf numFmtId="49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vertical="center" wrapText="1"/>
    </xf>
    <xf numFmtId="0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vertical="center" wrapText="1"/>
    </xf>
    <xf numFmtId="0" fontId="9" fillId="0" borderId="0" applyAlignment="1" pivotButton="0" quotePrefix="0" xfId="0">
      <alignment vertical="center"/>
    </xf>
    <xf numFmtId="0" fontId="10" fillId="0" borderId="0" pivotButton="0" quotePrefix="0" xfId="0"/>
    <xf numFmtId="0" fontId="2" fillId="0" borderId="0" pivotButton="0" quotePrefix="0" xfId="0"/>
    <xf numFmtId="0" fontId="14" fillId="0" borderId="0" applyAlignment="1" pivotButton="0" quotePrefix="0" xfId="0">
      <alignment vertical="center"/>
    </xf>
    <xf numFmtId="172" fontId="15" fillId="0" borderId="0" pivotButton="0" quotePrefix="0" xfId="0"/>
    <xf numFmtId="0" fontId="0" fillId="0" borderId="0" pivotButton="0" quotePrefix="0" xfId="0"/>
    <xf numFmtId="0" fontId="16" fillId="0" borderId="0" applyAlignment="1" pivotButton="0" quotePrefix="0" xfId="0">
      <alignment vertical="top"/>
    </xf>
    <xf numFmtId="0" fontId="17" fillId="0" borderId="0" applyAlignment="1" pivotButton="0" quotePrefix="0" xfId="0">
      <alignment horizontal="center" vertical="center"/>
    </xf>
    <xf numFmtId="2" fontId="0" fillId="0" borderId="0" pivotButton="0" quotePrefix="0" xfId="0"/>
    <xf numFmtId="0" fontId="1" fillId="0" borderId="0" applyAlignment="1" pivotButton="0" quotePrefix="0" xfId="0">
      <alignment horizontal="left"/>
    </xf>
    <xf numFmtId="4" fontId="0" fillId="0" borderId="0" pivotButton="0" quotePrefix="0" xfId="0"/>
    <xf numFmtId="49" fontId="2" fillId="0" borderId="1" applyAlignment="1" pivotButton="0" quotePrefix="0" xfId="0">
      <alignment horizontal="center" vertical="top" wrapText="1"/>
    </xf>
    <xf numFmtId="0" fontId="2" fillId="0" borderId="1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center" vertical="top" wrapText="1"/>
    </xf>
    <xf numFmtId="49" fontId="2" fillId="0" borderId="1" applyAlignment="1" pivotButton="0" quotePrefix="0" xfId="0">
      <alignment horizontal="left" vertical="center" wrapText="1"/>
    </xf>
    <xf numFmtId="49" fontId="2" fillId="0" borderId="1" applyAlignment="1" pivotButton="0" quotePrefix="0" xfId="0">
      <alignment horizontal="left" vertical="center" wrapText="1"/>
    </xf>
    <xf numFmtId="164" fontId="2" fillId="0" borderId="1" applyAlignment="1" pivotButton="0" quotePrefix="0" xfId="0">
      <alignment horizontal="center" vertical="center" wrapText="1"/>
    </xf>
    <xf numFmtId="164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center" wrapText="1"/>
    </xf>
    <xf numFmtId="2" fontId="12" fillId="0" borderId="1" applyAlignment="1" pivotButton="0" quotePrefix="0" xfId="0">
      <alignment horizontal="center" vertical="center" wrapText="1"/>
    </xf>
    <xf numFmtId="164" fontId="2" fillId="0" borderId="1" applyAlignment="1" pivotButton="0" quotePrefix="0" xfId="0">
      <alignment horizontal="center" vertical="center" wrapText="1"/>
    </xf>
    <xf numFmtId="164" fontId="2" fillId="0" borderId="1" applyAlignment="1" pivotButton="0" quotePrefix="0" xfId="0">
      <alignment horizontal="right" vertical="center" wrapText="1"/>
    </xf>
    <xf numFmtId="170" fontId="18" fillId="0" borderId="0" pivotButton="0" quotePrefix="0" xfId="0"/>
    <xf numFmtId="4" fontId="2" fillId="0" borderId="0" applyAlignment="1" pivotButton="0" quotePrefix="0" xfId="0">
      <alignment vertical="center" wrapText="1"/>
    </xf>
    <xf numFmtId="4" fontId="2" fillId="0" borderId="0" applyAlignment="1" pivotButton="0" quotePrefix="0" xfId="0">
      <alignment vertical="center"/>
    </xf>
    <xf numFmtId="0" fontId="3" fillId="0" borderId="1" applyAlignment="1" pivotButton="0" quotePrefix="0" xfId="0">
      <alignment horizontal="left" vertical="center" wrapText="1"/>
    </xf>
    <xf numFmtId="0" fontId="19" fillId="0" borderId="1" applyAlignment="1" pivotButton="0" quotePrefix="0" xfId="0">
      <alignment horizontal="center" vertical="center" wrapText="1"/>
    </xf>
    <xf numFmtId="49" fontId="2" fillId="0" borderId="1" applyAlignment="1" pivotButton="0" quotePrefix="0" xfId="0">
      <alignment horizontal="center" vertical="top" wrapText="1"/>
    </xf>
    <xf numFmtId="0" fontId="2" fillId="0" borderId="1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center" vertical="top" wrapText="1"/>
    </xf>
    <xf numFmtId="0" fontId="2" fillId="0" borderId="1" applyAlignment="1" pivotButton="0" quotePrefix="0" xfId="0">
      <alignment horizontal="right" vertical="top" wrapText="1"/>
    </xf>
    <xf numFmtId="2" fontId="2" fillId="0" borderId="1" applyAlignment="1" pivotButton="0" quotePrefix="0" xfId="0">
      <alignment horizontal="right" vertical="top" wrapText="1"/>
    </xf>
    <xf numFmtId="4" fontId="2" fillId="0" borderId="1" applyAlignment="1" pivotButton="0" quotePrefix="0" xfId="0">
      <alignment horizontal="right" vertical="center" wrapText="1"/>
    </xf>
    <xf numFmtId="0" fontId="19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right" vertical="center"/>
    </xf>
    <xf numFmtId="4" fontId="2" fillId="0" borderId="1" applyAlignment="1" pivotButton="0" quotePrefix="0" xfId="0">
      <alignment vertical="center" wrapText="1"/>
    </xf>
    <xf numFmtId="0" fontId="9" fillId="0" borderId="1" applyAlignment="1" pivotButton="0" quotePrefix="0" xfId="0">
      <alignment horizontal="center" vertical="center" wrapText="1"/>
    </xf>
    <xf numFmtId="0" fontId="9" fillId="0" borderId="1" pivotButton="0" quotePrefix="0" xfId="0"/>
    <xf numFmtId="0" fontId="9" fillId="0" borderId="1" applyAlignment="1" pivotButton="0" quotePrefix="0" xfId="0">
      <alignment vertical="center" wrapText="1"/>
    </xf>
    <xf numFmtId="0" fontId="9" fillId="0" borderId="1" applyAlignment="1" pivotButton="0" quotePrefix="1" xfId="0">
      <alignment horizontal="center" vertical="center"/>
    </xf>
    <xf numFmtId="0" fontId="9" fillId="0" borderId="1" applyAlignment="1" pivotButton="0" quotePrefix="0" xfId="0">
      <alignment vertical="center" wrapText="1"/>
    </xf>
    <xf numFmtId="166" fontId="9" fillId="0" borderId="1" applyAlignment="1" pivotButton="0" quotePrefix="0" xfId="0">
      <alignment horizontal="right" vertical="center"/>
    </xf>
    <xf numFmtId="166" fontId="9" fillId="0" borderId="1" applyAlignment="1" pivotButton="0" quotePrefix="0" xfId="0">
      <alignment horizontal="right" vertical="center" wrapText="1"/>
    </xf>
    <xf numFmtId="166" fontId="20" fillId="0" borderId="1" applyAlignment="1" pivotButton="0" quotePrefix="0" xfId="0">
      <alignment vertical="center" wrapText="1"/>
    </xf>
    <xf numFmtId="166" fontId="20" fillId="0" borderId="1" applyAlignment="1" pivotButton="0" quotePrefix="0" xfId="0">
      <alignment vertical="center" wrapText="1"/>
    </xf>
    <xf numFmtId="173" fontId="1" fillId="0" borderId="0" pivotButton="0" quotePrefix="0" xfId="0"/>
    <xf numFmtId="0" fontId="0" fillId="0" borderId="0" pivotButton="0" quotePrefix="0" xfId="0"/>
    <xf numFmtId="0" fontId="2" fillId="0" borderId="0" pivotButton="0" quotePrefix="0" xfId="0"/>
    <xf numFmtId="0" fontId="2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center" vertical="center"/>
    </xf>
    <xf numFmtId="4" fontId="2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vertical="center" wrapText="1"/>
    </xf>
    <xf numFmtId="4" fontId="2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vertical="center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1" fillId="0" borderId="0" pivotButton="0" quotePrefix="0" xfId="0"/>
    <xf numFmtId="0" fontId="14" fillId="0" borderId="0" applyAlignment="1" pivotButton="0" quotePrefix="0" xfId="0">
      <alignment vertical="center"/>
    </xf>
    <xf numFmtId="16" fontId="1" fillId="0" borderId="0" pivotButton="0" quotePrefix="0" xfId="0"/>
    <xf numFmtId="0" fontId="2" fillId="0" borderId="1" applyAlignment="1" pivotButton="0" quotePrefix="0" xfId="0">
      <alignment horizontal="right" vertical="center" wrapText="1"/>
    </xf>
    <xf numFmtId="0" fontId="9" fillId="0" borderId="0" applyAlignment="1" pivotButton="0" quotePrefix="0" xfId="0">
      <alignment horizontal="justify" vertical="center"/>
    </xf>
    <xf numFmtId="0" fontId="9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9" fillId="0" borderId="1" applyAlignment="1" pivotButton="0" quotePrefix="0" xfId="0">
      <alignment horizontal="center" vertical="center" wrapText="1"/>
    </xf>
    <xf numFmtId="0" fontId="20" fillId="0" borderId="0" applyAlignment="1" pivotButton="0" quotePrefix="0" xfId="0">
      <alignment horizontal="center" vertical="center"/>
    </xf>
    <xf numFmtId="0" fontId="3" fillId="0" borderId="1" applyAlignment="1" pivotButton="0" quotePrefix="0" xfId="0">
      <alignment horizontal="left" vertical="center" wrapText="1"/>
    </xf>
    <xf numFmtId="0" fontId="3" fillId="0" borderId="4" applyAlignment="1" pivotButton="0" quotePrefix="0" xfId="0">
      <alignment horizontal="left" vertical="center" wrapText="1"/>
    </xf>
    <xf numFmtId="0" fontId="3" fillId="0" borderId="12" applyAlignment="1" pivotButton="0" quotePrefix="0" xfId="0">
      <alignment horizontal="left" vertical="center" wrapText="1"/>
    </xf>
    <xf numFmtId="49" fontId="2" fillId="0" borderId="0" applyAlignment="1" pivotButton="0" quotePrefix="0" xfId="0">
      <alignment horizontal="left" vertical="top" wrapText="1"/>
    </xf>
    <xf numFmtId="0" fontId="9" fillId="0" borderId="0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4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right" vertical="center" wrapText="1"/>
    </xf>
    <xf numFmtId="0" fontId="2" fillId="0" borderId="14" applyAlignment="1" pivotButton="0" quotePrefix="0" xfId="0">
      <alignment horizontal="left" vertical="center" wrapText="1"/>
    </xf>
    <xf numFmtId="0" fontId="3" fillId="0" borderId="14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left" vertical="center" wrapText="1"/>
    </xf>
    <xf numFmtId="0" fontId="3" fillId="0" borderId="15" applyAlignment="1" pivotButton="0" quotePrefix="0" xfId="0">
      <alignment horizontal="left" vertical="center" wrapText="1"/>
    </xf>
    <xf numFmtId="0" fontId="2" fillId="0" borderId="4" applyAlignment="1" pivotButton="0" quotePrefix="0" xfId="0">
      <alignment horizontal="center" vertical="center" wrapText="1"/>
    </xf>
    <xf numFmtId="0" fontId="2" fillId="0" borderId="13" applyAlignment="1" pivotButton="0" quotePrefix="0" xfId="0">
      <alignment horizontal="center" vertical="center" wrapText="1"/>
    </xf>
    <xf numFmtId="4" fontId="2" fillId="0" borderId="0" applyAlignment="1" pivotButton="0" quotePrefix="0" xfId="0">
      <alignment horizontal="left" vertical="center" wrapText="1"/>
    </xf>
    <xf numFmtId="0" fontId="2" fillId="0" borderId="3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4" applyAlignment="1" pivotButton="0" quotePrefix="0" xfId="0">
      <alignment horizontal="left" vertical="center" wrapText="1"/>
    </xf>
    <xf numFmtId="0" fontId="2" fillId="0" borderId="12" applyAlignment="1" pivotButton="0" quotePrefix="0" xfId="0">
      <alignment horizontal="left" vertical="center" wrapText="1"/>
    </xf>
    <xf numFmtId="0" fontId="2" fillId="0" borderId="13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4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right"/>
    </xf>
    <xf numFmtId="0" fontId="2" fillId="0" borderId="1" applyAlignment="1" pivotButton="0" quotePrefix="0" xfId="0">
      <alignment horizontal="center" vertical="top" wrapText="1"/>
    </xf>
    <xf numFmtId="0" fontId="7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/>
    </xf>
    <xf numFmtId="2" fontId="7" fillId="0" borderId="16" applyAlignment="1" pivotButton="0" quotePrefix="0" xfId="0">
      <alignment horizontal="center" wrapText="1"/>
    </xf>
    <xf numFmtId="0" fontId="0" fillId="0" borderId="17" applyAlignment="1" pivotButton="0" quotePrefix="0" xfId="0">
      <alignment horizontal="center" wrapText="1"/>
    </xf>
    <xf numFmtId="0" fontId="0" fillId="0" borderId="17" applyAlignment="1" pivotButton="0" quotePrefix="0" xfId="0">
      <alignment horizontal="center"/>
    </xf>
    <xf numFmtId="0" fontId="0" fillId="0" borderId="12" pivotButton="0" quotePrefix="0" xfId="0"/>
    <xf numFmtId="0" fontId="0" fillId="0" borderId="13" pivotButton="0" quotePrefix="0" xfId="0"/>
    <xf numFmtId="0" fontId="0" fillId="0" borderId="20" pivotButton="0" quotePrefix="0" xfId="0"/>
    <xf numFmtId="0" fontId="0" fillId="0" borderId="2" pivotButton="0" quotePrefix="0" xfId="0"/>
    <xf numFmtId="0" fontId="3" fillId="0" borderId="20" applyAlignment="1" pivotButton="0" quotePrefix="0" xfId="0">
      <alignment horizontal="left" vertical="center" wrapText="1"/>
    </xf>
    <xf numFmtId="0" fontId="0" fillId="0" borderId="15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G35"/>
  <sheetViews>
    <sheetView view="pageBreakPreview" topLeftCell="A13" zoomScale="60" zoomScaleNormal="85" workbookViewId="0">
      <selection activeCell="C30" sqref="C30"/>
    </sheetView>
  </sheetViews>
  <sheetFormatPr baseColWidth="8" defaultRowHeight="15"/>
  <cols>
    <col width="36.85546875" customWidth="1" style="187" min="3" max="3"/>
    <col width="39.42578125" customWidth="1" style="187" min="4" max="4"/>
    <col width="14.28515625" customWidth="1" style="187" min="7" max="7"/>
    <col width="15" customWidth="1" style="187" min="10" max="10"/>
  </cols>
  <sheetData>
    <row r="3" ht="15.75" customHeight="1" s="187">
      <c r="B3" s="203" t="inlineStr">
        <is>
          <t>Приложение № 1</t>
        </is>
      </c>
    </row>
    <row r="4" ht="18.75" customHeight="1" s="187">
      <c r="B4" s="204" t="inlineStr">
        <is>
          <t>Сравнительная таблица отбора объекта-представителя</t>
        </is>
      </c>
    </row>
    <row r="5" ht="84" customHeight="1" s="187">
      <c r="B5" s="205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187">
      <c r="B6" s="135" t="n"/>
      <c r="C6" s="135" t="n"/>
      <c r="D6" s="135" t="n"/>
    </row>
    <row r="7" ht="64.5" customHeight="1" s="187">
      <c r="B7" s="202" t="inlineStr">
        <is>
          <t>Наименование разрабатываемого показателя УНЦ - Устройство защиты опор ВЛ обваловыванием и посевом трав</t>
        </is>
      </c>
    </row>
    <row r="8" ht="31.5" customHeight="1" s="187">
      <c r="B8" s="202" t="inlineStr">
        <is>
          <t>Сопоставимый уровень цен: 1 кв. 2014г</t>
        </is>
      </c>
    </row>
    <row r="9" ht="15.75" customHeight="1" s="187">
      <c r="B9" s="202" t="inlineStr">
        <is>
          <t>Единица измерения  — 1 опора</t>
        </is>
      </c>
    </row>
    <row r="10" ht="18.75" customHeight="1" s="187">
      <c r="B10" s="108" t="n"/>
    </row>
    <row r="11" ht="15.75" customHeight="1" s="187">
      <c r="B11" s="207" t="inlineStr">
        <is>
          <t>№ п/п</t>
        </is>
      </c>
      <c r="C11" s="207" t="inlineStr">
        <is>
          <t>Параметр</t>
        </is>
      </c>
      <c r="D11" s="207" t="inlineStr">
        <is>
          <t xml:space="preserve">Объект-представитель </t>
        </is>
      </c>
    </row>
    <row r="12" ht="38.25" customHeight="1" s="187">
      <c r="B12" s="207" t="n">
        <v>1</v>
      </c>
      <c r="C12" s="181" t="inlineStr">
        <is>
          <t>Наименование объекта-представителя</t>
        </is>
      </c>
      <c r="D12" s="174" t="inlineStr">
        <is>
          <t>ВЛ 500 кВ Ростовская АЭС - Тихорецкая № 2 с расширением ПС 500 кВ Тихорецкая (МЭС Юга)</t>
        </is>
      </c>
    </row>
    <row r="13" ht="31.5" customHeight="1" s="187">
      <c r="B13" s="207" t="n">
        <v>2</v>
      </c>
      <c r="C13" s="181" t="inlineStr">
        <is>
          <t>Наименование субъекта Российской Федерации</t>
        </is>
      </c>
      <c r="D13" s="174" t="inlineStr">
        <is>
          <t>Ростовская область</t>
        </is>
      </c>
    </row>
    <row r="14" ht="15.75" customHeight="1" s="187">
      <c r="B14" s="207" t="n">
        <v>3</v>
      </c>
      <c r="C14" s="181" t="inlineStr">
        <is>
          <t>Климатический район и подрайон</t>
        </is>
      </c>
      <c r="D14" s="174" t="inlineStr">
        <is>
          <t>IIIВ</t>
        </is>
      </c>
    </row>
    <row r="15" ht="15.75" customHeight="1" s="187">
      <c r="B15" s="207" t="n">
        <v>4</v>
      </c>
      <c r="C15" s="181" t="inlineStr">
        <is>
          <t>Мощность объекта</t>
        </is>
      </c>
      <c r="D15" s="174" t="n">
        <v>7</v>
      </c>
    </row>
    <row r="16" ht="94.5" customHeight="1" s="187">
      <c r="B16" s="207" t="n">
        <v>5</v>
      </c>
      <c r="C16" s="11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07" t="inlineStr">
        <is>
          <t>Дамбы обвалования, укрепление откосов посевом многолетних трав</t>
        </is>
      </c>
    </row>
    <row r="17" ht="78.75" customHeight="1" s="187">
      <c r="B17" s="207" t="n">
        <v>6</v>
      </c>
      <c r="C17" s="11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60">
        <f>SUM(D18:D21)</f>
        <v/>
      </c>
    </row>
    <row r="18" ht="15.75" customHeight="1" s="187">
      <c r="B18" s="136" t="inlineStr">
        <is>
          <t>6.1</t>
        </is>
      </c>
      <c r="C18" s="181" t="inlineStr">
        <is>
          <t>строительно-монтажные работы</t>
        </is>
      </c>
      <c r="D18" s="160">
        <f>D15*68.97253*5.63</f>
        <v/>
      </c>
    </row>
    <row r="19" ht="15.75" customHeight="1" s="187">
      <c r="B19" s="136" t="inlineStr">
        <is>
          <t>6.2</t>
        </is>
      </c>
      <c r="C19" s="181" t="inlineStr">
        <is>
          <t>оборудование и инвентарь</t>
        </is>
      </c>
      <c r="D19" s="160" t="n">
        <v>0</v>
      </c>
    </row>
    <row r="20" ht="15.75" customHeight="1" s="187">
      <c r="B20" s="136" t="inlineStr">
        <is>
          <t>6.3</t>
        </is>
      </c>
      <c r="C20" s="181" t="inlineStr">
        <is>
          <t>пусконаладочные работы</t>
        </is>
      </c>
      <c r="D20" s="160">
        <f>D19*0.07*0.8</f>
        <v/>
      </c>
    </row>
    <row r="21" ht="15.75" customHeight="1" s="187">
      <c r="B21" s="136" t="inlineStr">
        <is>
          <t>6.4</t>
        </is>
      </c>
      <c r="C21" s="181" t="inlineStr">
        <is>
          <t>прочие и лимитированные затраты</t>
        </is>
      </c>
      <c r="D21" s="160">
        <f>'Прил.2 Расч стоим'!I14</f>
        <v/>
      </c>
    </row>
    <row r="22" ht="15.75" customHeight="1" s="187">
      <c r="B22" s="207" t="n">
        <v>7</v>
      </c>
      <c r="C22" s="181" t="inlineStr">
        <is>
          <t>Сопоставимый уровень цен</t>
        </is>
      </c>
      <c r="D22" s="112" t="inlineStr">
        <is>
          <t>1 кв. 2014г</t>
        </is>
      </c>
      <c r="G22" s="148" t="n"/>
    </row>
    <row r="23" ht="110.25" customHeight="1" s="187">
      <c r="B23" s="207" t="n">
        <v>8</v>
      </c>
      <c r="C23" s="111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60">
        <f>D17</f>
        <v/>
      </c>
    </row>
    <row r="24" ht="47.25" customHeight="1" s="187">
      <c r="B24" s="207" t="n">
        <v>9</v>
      </c>
      <c r="C24" s="111" t="inlineStr">
        <is>
          <t>Приведенная сметная стоимость на единицу мощности, тыс. руб. (строка 8/строку 4)</t>
        </is>
      </c>
      <c r="D24" s="160">
        <f>D23/D15</f>
        <v/>
      </c>
      <c r="G24" s="148" t="n"/>
    </row>
    <row r="25" hidden="1" ht="110.25" customHeight="1" s="187">
      <c r="B25" s="207" t="n">
        <v>10</v>
      </c>
      <c r="C25" s="181" t="inlineStr">
        <is>
          <t>Примечание</t>
        </is>
      </c>
      <c r="D25" s="181" t="inlineStr">
        <is>
          <t>Выбран объектом-представителем с учетом минимальной удельной стоимости. Исключены доп. затраты, связанные с усложненными условиями выполнения смр (стесненность, работа вблизи объектов под высоким напряжением)</t>
        </is>
      </c>
    </row>
    <row r="26" ht="37.5" customHeight="1" s="187">
      <c r="B26" s="140" t="n"/>
      <c r="C26" s="141" t="n"/>
      <c r="D26" s="141" t="n"/>
    </row>
    <row r="27" hidden="1" s="187">
      <c r="B27" s="188" t="inlineStr">
        <is>
          <t>Составил ______________________        Е.А. Князева</t>
        </is>
      </c>
      <c r="C27" s="198" t="n"/>
    </row>
    <row r="28" hidden="1" s="187">
      <c r="B28" s="199" t="inlineStr">
        <is>
          <t xml:space="preserve">                         (подпись, инициалы, фамилия)</t>
        </is>
      </c>
      <c r="C28" s="198" t="n"/>
    </row>
    <row r="29" hidden="1" s="187">
      <c r="B29" s="199" t="n"/>
      <c r="C29" s="198" t="n"/>
    </row>
    <row r="30">
      <c r="B30" s="188" t="inlineStr">
        <is>
          <t>Составил ______________________        Р.Р. Шагеева</t>
        </is>
      </c>
      <c r="C30" s="198" t="n"/>
    </row>
    <row r="31">
      <c r="B31" s="199" t="inlineStr">
        <is>
          <t xml:space="preserve">                         (подпись, инициалы, фамилия)</t>
        </is>
      </c>
      <c r="C31" s="198" t="n"/>
    </row>
    <row r="32">
      <c r="B32" s="188" t="n"/>
      <c r="C32" s="198" t="n"/>
    </row>
    <row r="33">
      <c r="B33" s="188" t="inlineStr">
        <is>
          <t>Проверил ______________________        А.В. Костянецкая</t>
        </is>
      </c>
      <c r="C33" s="198" t="n"/>
    </row>
    <row r="34">
      <c r="B34" s="199" t="inlineStr">
        <is>
          <t xml:space="preserve">                        (подпись, инициалы, фамилия)</t>
        </is>
      </c>
      <c r="C34" s="198" t="n"/>
    </row>
    <row r="35" ht="15.75" customHeight="1" s="187">
      <c r="B35" s="141" t="n"/>
      <c r="C35" s="141" t="n"/>
      <c r="D35" s="141" t="n"/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81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60" zoomScaleNormal="100" workbookViewId="0">
      <selection activeCell="E17" sqref="E17"/>
    </sheetView>
  </sheetViews>
  <sheetFormatPr baseColWidth="8" defaultRowHeight="15"/>
  <cols>
    <col width="5.5703125" customWidth="1" style="187" min="1" max="1"/>
    <col width="35.28515625" customWidth="1" style="187" min="3" max="3"/>
    <col width="13.85546875" customWidth="1" style="187" min="4" max="4"/>
    <col width="17.42578125" customWidth="1" style="187" min="5" max="5"/>
    <col width="12.7109375" customWidth="1" style="187" min="6" max="6"/>
    <col width="14.85546875" customWidth="1" style="187" min="7" max="7"/>
    <col width="16.7109375" customWidth="1" style="187" min="8" max="8"/>
    <col width="13" customWidth="1" style="187" min="9" max="10"/>
    <col width="18" customWidth="1" style="187" min="11" max="11"/>
  </cols>
  <sheetData>
    <row r="3" ht="15.75" customHeight="1" s="187">
      <c r="B3" s="203" t="inlineStr">
        <is>
          <t>Приложение № 2</t>
        </is>
      </c>
    </row>
    <row r="4" ht="15.75" customHeight="1" s="187">
      <c r="B4" s="208" t="inlineStr">
        <is>
          <t>Расчет стоимости основных видов работ для выбора объекта-представителя</t>
        </is>
      </c>
    </row>
    <row r="5" ht="15.75" customHeight="1" s="187">
      <c r="B5" s="44" t="n"/>
      <c r="C5" s="44" t="n"/>
      <c r="D5" s="44" t="n"/>
      <c r="E5" s="44" t="n"/>
      <c r="F5" s="44" t="n"/>
      <c r="G5" s="44" t="n"/>
      <c r="H5" s="44" t="n"/>
      <c r="I5" s="44" t="n"/>
      <c r="J5" s="44" t="n"/>
      <c r="K5" s="44" t="n"/>
    </row>
    <row r="6" ht="15.75" customHeight="1" s="187">
      <c r="B6" s="202">
        <f>'Прил.1 Сравнит табл'!B7</f>
        <v/>
      </c>
    </row>
    <row r="7" ht="15.75" customHeight="1" s="187">
      <c r="B7" s="202">
        <f>'Прил.1 Сравнит табл'!B9</f>
        <v/>
      </c>
    </row>
    <row r="8" ht="18.75" customHeight="1" s="187">
      <c r="B8" s="108" t="n"/>
    </row>
    <row r="9" ht="15.75" customHeight="1" s="187">
      <c r="B9" s="207" t="inlineStr">
        <is>
          <t>№ п/п</t>
        </is>
      </c>
      <c r="C9" s="207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07" t="inlineStr">
        <is>
          <t>Объект-представитель 1</t>
        </is>
      </c>
      <c r="E9" s="244" t="n"/>
      <c r="F9" s="244" t="n"/>
      <c r="G9" s="244" t="n"/>
      <c r="H9" s="244" t="n"/>
      <c r="I9" s="244" t="n"/>
      <c r="J9" s="245" t="n"/>
    </row>
    <row r="10" ht="15.75" customHeight="1" s="187">
      <c r="B10" s="246" t="n"/>
      <c r="C10" s="246" t="n"/>
      <c r="D10" s="207" t="inlineStr">
        <is>
          <t>Номер сметы</t>
        </is>
      </c>
      <c r="E10" s="207" t="inlineStr">
        <is>
          <t>Наименование сметы</t>
        </is>
      </c>
      <c r="F10" s="207" t="inlineStr">
        <is>
          <t>Сметная стоимость в уровне цен 1 кв. 2014г., тыс. руб.</t>
        </is>
      </c>
      <c r="G10" s="244" t="n"/>
      <c r="H10" s="244" t="n"/>
      <c r="I10" s="244" t="n"/>
      <c r="J10" s="245" t="n"/>
    </row>
    <row r="11" ht="69" customHeight="1" s="187">
      <c r="B11" s="247" t="n"/>
      <c r="C11" s="247" t="n"/>
      <c r="D11" s="247" t="n"/>
      <c r="E11" s="247" t="n"/>
      <c r="F11" s="207" t="inlineStr">
        <is>
          <t>Строительные работы</t>
        </is>
      </c>
      <c r="G11" s="207" t="inlineStr">
        <is>
          <t>Монтажные работы</t>
        </is>
      </c>
      <c r="H11" s="207" t="inlineStr">
        <is>
          <t>Оборудование</t>
        </is>
      </c>
      <c r="I11" s="207" t="inlineStr">
        <is>
          <t>Прочее</t>
        </is>
      </c>
      <c r="J11" s="207" t="inlineStr">
        <is>
          <t>Всего</t>
        </is>
      </c>
    </row>
    <row r="12" ht="109.15" customHeight="1" s="187">
      <c r="B12" s="178" t="n">
        <v>1</v>
      </c>
      <c r="C12" s="181">
        <f>'Прил.1 Сравнит табл'!D16</f>
        <v/>
      </c>
      <c r="D12" s="180" t="inlineStr">
        <is>
          <t>02-01-01</t>
        </is>
      </c>
      <c r="E12" s="181" t="inlineStr">
        <is>
          <t>Строительные работы. Перезавод ВЛ 500 кВ Ростовская АЭС-Южная на уч.Уг.1-Уг.18</t>
        </is>
      </c>
      <c r="F12" s="182">
        <f>482807.71/1000*5.63</f>
        <v/>
      </c>
      <c r="G12" s="182">
        <f>L12*L13+M12*M13+N12*N13</f>
        <v/>
      </c>
      <c r="H12" s="182">
        <f>O12*O13</f>
        <v/>
      </c>
      <c r="I12" s="182" t="n"/>
      <c r="J12" s="183">
        <f>SUM(F12:I12)</f>
        <v/>
      </c>
    </row>
    <row r="13" ht="15" customHeight="1" s="187">
      <c r="B13" s="206" t="inlineStr">
        <is>
          <t>Всего по объекту:</t>
        </is>
      </c>
      <c r="C13" s="244" t="n"/>
      <c r="D13" s="244" t="n"/>
      <c r="E13" s="245" t="n"/>
      <c r="F13" s="185">
        <f>SUM(F12:F12)</f>
        <v/>
      </c>
      <c r="G13" s="185">
        <f>SUM(G12:G12)</f>
        <v/>
      </c>
      <c r="H13" s="185">
        <f>SUM(H12:H12)</f>
        <v/>
      </c>
      <c r="I13" s="185">
        <f>(F13+G13)*3.3%*0.8+((F13+G13)*3.3%*0.8+F13+G13)*0.6%*0.9</f>
        <v/>
      </c>
      <c r="J13" s="185">
        <f>SUM(F13:I13)</f>
        <v/>
      </c>
    </row>
    <row r="14" ht="15.75" customHeight="1" s="187">
      <c r="B14" s="206" t="inlineStr">
        <is>
          <t>Всего по объекту в сопоставимом уровне цен 1 кв. 2014г:</t>
        </is>
      </c>
      <c r="C14" s="244" t="n"/>
      <c r="D14" s="244" t="n"/>
      <c r="E14" s="245" t="n"/>
      <c r="F14" s="185">
        <f>F13</f>
        <v/>
      </c>
      <c r="G14" s="185">
        <f>L12*L14+M12*M14+N12*N14</f>
        <v/>
      </c>
      <c r="H14" s="185">
        <f>H13</f>
        <v/>
      </c>
      <c r="I14" s="185">
        <f>(F14+G14)*3.3%*0.8+((F14+G14)*3.3%*0.8+F14+G14)*0.6%*0.9</f>
        <v/>
      </c>
      <c r="J14" s="185">
        <f>SUM(F14:I14)</f>
        <v/>
      </c>
    </row>
    <row r="18">
      <c r="C18" s="188" t="inlineStr">
        <is>
          <t>Составил ______________________        Р.Р. Шагеева</t>
        </is>
      </c>
      <c r="D18" s="198" t="n"/>
    </row>
    <row r="19">
      <c r="C19" s="199" t="inlineStr">
        <is>
          <t xml:space="preserve">                         (подпись, инициалы, фамилия)</t>
        </is>
      </c>
      <c r="D19" s="198" t="n"/>
    </row>
    <row r="20">
      <c r="C20" s="188" t="n"/>
      <c r="D20" s="198" t="n"/>
    </row>
    <row r="21">
      <c r="C21" s="188" t="inlineStr">
        <is>
          <t>Проверил ______________________        А.В. Костянецкая</t>
        </is>
      </c>
      <c r="D21" s="198" t="n"/>
    </row>
    <row r="22">
      <c r="C22" s="199" t="inlineStr">
        <is>
          <t xml:space="preserve">                        (подпись, инициалы, фамилия)</t>
        </is>
      </c>
      <c r="D22" s="198" t="n"/>
    </row>
  </sheetData>
  <mergeCells count="12"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3:K3"/>
    <mergeCell ref="B14:E14"/>
  </mergeCells>
  <pageMargins left="0.7" right="0.7" top="0.75" bottom="0.75" header="0.3" footer="0.3"/>
  <pageSetup orientation="portrait" paperSize="9" scale="52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40"/>
  <sheetViews>
    <sheetView view="pageBreakPreview" topLeftCell="A14" zoomScale="33" zoomScaleSheetLayoutView="33" workbookViewId="0">
      <selection activeCell="D182" sqref="D182"/>
    </sheetView>
  </sheetViews>
  <sheetFormatPr baseColWidth="8" defaultRowHeight="15"/>
  <cols>
    <col width="12.5703125" customWidth="1" style="187" min="2" max="2"/>
    <col width="17" customWidth="1" style="187" min="3" max="3"/>
    <col width="49.7109375" customWidth="1" style="187" min="4" max="4"/>
    <col width="16.28515625" customWidth="1" style="187" min="5" max="5"/>
    <col width="20.7109375" customWidth="1" style="187" min="6" max="6"/>
    <col width="16.140625" customWidth="1" style="187" min="7" max="7"/>
    <col width="16.7109375" customWidth="1" style="187" min="8" max="8"/>
    <col width="4.5703125" customWidth="1" style="187" min="9" max="9"/>
    <col width="12.42578125" customWidth="1" style="187" min="10" max="10"/>
    <col width="13" customWidth="1" style="187" min="11" max="11"/>
    <col width="9.140625" customWidth="1" style="187" min="12" max="12"/>
  </cols>
  <sheetData>
    <row r="2" ht="15.75" customHeight="1" s="187">
      <c r="A2" s="203" t="inlineStr">
        <is>
          <t xml:space="preserve">Приложение № 3 </t>
        </is>
      </c>
    </row>
    <row r="3" ht="18.75" customHeight="1" s="187">
      <c r="A3" s="204" t="inlineStr">
        <is>
          <t>Объектная ресурсная ведомость</t>
        </is>
      </c>
    </row>
    <row r="4">
      <c r="B4" s="146" t="n"/>
    </row>
    <row r="5" ht="18.75" customHeight="1" s="187">
      <c r="A5" s="204" t="n"/>
      <c r="B5" s="204" t="n"/>
      <c r="C5" s="212" t="n"/>
    </row>
    <row r="6" ht="18.75" customHeight="1" s="187">
      <c r="A6" s="108" t="n"/>
    </row>
    <row r="7" ht="32.25" customHeight="1" s="187">
      <c r="A7" s="213">
        <f>'Прил.1 Сравнит табл'!B7</f>
        <v/>
      </c>
    </row>
    <row r="8" ht="15.75" customHeight="1" s="187">
      <c r="A8" s="45" t="n"/>
      <c r="B8" s="45" t="n"/>
      <c r="C8" s="45" t="n"/>
      <c r="D8" s="45" t="n"/>
      <c r="E8" s="45" t="n"/>
      <c r="F8" s="45" t="n"/>
      <c r="G8" s="45" t="n"/>
      <c r="H8" s="105" t="n"/>
    </row>
    <row r="9" ht="38.25" customHeight="1" s="187">
      <c r="A9" s="207" t="inlineStr">
        <is>
          <t>п/п</t>
        </is>
      </c>
      <c r="B9" s="207" t="inlineStr">
        <is>
          <t>№ЛСР</t>
        </is>
      </c>
      <c r="C9" s="207" t="inlineStr">
        <is>
          <t>Код ресурса</t>
        </is>
      </c>
      <c r="D9" s="207" t="inlineStr">
        <is>
          <t>Наименование ресурса</t>
        </is>
      </c>
      <c r="E9" s="207" t="inlineStr">
        <is>
          <t>Ед. изм.</t>
        </is>
      </c>
      <c r="F9" s="207" t="inlineStr">
        <is>
          <t>Кол-во единиц по данным объекта-представителя</t>
        </is>
      </c>
      <c r="G9" s="207" t="inlineStr">
        <is>
          <t>Сметная стоимость в ценах на 01.01.2000 (руб.)</t>
        </is>
      </c>
      <c r="H9" s="245" t="n"/>
    </row>
    <row r="10" ht="40.5" customHeight="1" s="187">
      <c r="A10" s="247" t="n"/>
      <c r="B10" s="247" t="n"/>
      <c r="C10" s="247" t="n"/>
      <c r="D10" s="247" t="n"/>
      <c r="E10" s="247" t="n"/>
      <c r="F10" s="247" t="n"/>
      <c r="G10" s="207" t="inlineStr">
        <is>
          <t>на ед.изм.</t>
        </is>
      </c>
      <c r="H10" s="207" t="inlineStr">
        <is>
          <t>общая</t>
        </is>
      </c>
    </row>
    <row r="11" ht="15.75" customHeight="1" s="187">
      <c r="A11" s="207" t="n">
        <v>1</v>
      </c>
      <c r="B11" s="58" t="n"/>
      <c r="C11" s="207" t="n">
        <v>2</v>
      </c>
      <c r="D11" s="207" t="inlineStr">
        <is>
          <t>З</t>
        </is>
      </c>
      <c r="E11" s="207" t="n">
        <v>4</v>
      </c>
      <c r="F11" s="207" t="n">
        <v>5</v>
      </c>
      <c r="G11" s="58" t="n">
        <v>6</v>
      </c>
      <c r="H11" s="58" t="n">
        <v>7</v>
      </c>
    </row>
    <row r="12" ht="15" customHeight="1" s="187">
      <c r="A12" s="210" t="inlineStr">
        <is>
          <t>Затраты труда рабочих</t>
        </is>
      </c>
      <c r="B12" s="244" t="n"/>
      <c r="C12" s="244" t="n"/>
      <c r="D12" s="244" t="n"/>
      <c r="E12" s="244" t="n"/>
      <c r="F12" s="59">
        <f>SUM(F13:F16)</f>
        <v/>
      </c>
      <c r="G12" s="60" t="n"/>
      <c r="H12" s="59">
        <f>SUM(H13:H16)</f>
        <v/>
      </c>
      <c r="J12" s="113" t="n"/>
      <c r="K12" s="150" t="n"/>
    </row>
    <row r="13">
      <c r="A13" s="168" t="n">
        <v>1</v>
      </c>
      <c r="B13" s="106" t="n"/>
      <c r="C13" s="168" t="inlineStr">
        <is>
          <t>1-2-2</t>
        </is>
      </c>
      <c r="D13" s="169" t="inlineStr">
        <is>
          <t>Затраты труда рабочих (ср 2,2)</t>
        </is>
      </c>
      <c r="E13" s="238" t="inlineStr">
        <is>
          <t>чел.-ч</t>
        </is>
      </c>
      <c r="F13" s="168" t="n">
        <v>1424.944</v>
      </c>
      <c r="G13" s="171" t="n">
        <v>7.94</v>
      </c>
      <c r="H13" s="172">
        <f>F13*G13</f>
        <v/>
      </c>
      <c r="J13" s="163" t="n"/>
    </row>
    <row r="14">
      <c r="A14" s="56">
        <f>A13+1</f>
        <v/>
      </c>
      <c r="B14" s="106" t="n"/>
      <c r="C14" s="168" t="inlineStr">
        <is>
          <t>1-3-0</t>
        </is>
      </c>
      <c r="D14" s="169" t="inlineStr">
        <is>
          <t>Затраты труда рабочих (ср 3,0)</t>
        </is>
      </c>
      <c r="E14" s="238" t="inlineStr">
        <is>
          <t>чел.-ч</t>
        </is>
      </c>
      <c r="F14" s="168" t="n">
        <v>385.6734</v>
      </c>
      <c r="G14" s="171" t="n">
        <v>8.529999999999999</v>
      </c>
      <c r="H14" s="172">
        <f>F14*G14</f>
        <v/>
      </c>
    </row>
    <row r="15">
      <c r="A15" s="56">
        <f>A14+1</f>
        <v/>
      </c>
      <c r="B15" s="106" t="n"/>
      <c r="C15" s="168" t="inlineStr">
        <is>
          <t>1-1-0</t>
        </is>
      </c>
      <c r="D15" s="169" t="inlineStr">
        <is>
          <t>Затраты труда рабочих (ср 1,0)</t>
        </is>
      </c>
      <c r="E15" s="238" t="inlineStr">
        <is>
          <t>чел.-ч</t>
        </is>
      </c>
      <c r="F15" s="168" t="n">
        <v>77.68519999999999</v>
      </c>
      <c r="G15" s="171" t="n">
        <v>7.19</v>
      </c>
      <c r="H15" s="172">
        <f>F15*G15</f>
        <v/>
      </c>
    </row>
    <row r="16">
      <c r="A16" s="56">
        <f>A15+1</f>
        <v/>
      </c>
      <c r="B16" s="106" t="n"/>
      <c r="C16" s="168" t="inlineStr">
        <is>
          <t>1-2-0</t>
        </is>
      </c>
      <c r="D16" s="169" t="inlineStr">
        <is>
          <t>Затраты труда рабочих (ср 2,0)</t>
        </is>
      </c>
      <c r="E16" s="238" t="inlineStr">
        <is>
          <t>чел.-ч</t>
        </is>
      </c>
      <c r="F16" s="168" t="n">
        <v>49.77126</v>
      </c>
      <c r="G16" s="171" t="n">
        <v>7.8</v>
      </c>
      <c r="H16" s="172">
        <f>F16*G16</f>
        <v/>
      </c>
    </row>
    <row r="17" ht="15" customHeight="1" s="187">
      <c r="A17" s="209" t="inlineStr">
        <is>
          <t>Затраты труда машинистов</t>
        </is>
      </c>
      <c r="B17" s="244" t="n"/>
      <c r="C17" s="244" t="n"/>
      <c r="D17" s="244" t="n"/>
      <c r="E17" s="245" t="n"/>
      <c r="F17" s="60" t="n"/>
      <c r="G17" s="60" t="n"/>
      <c r="H17" s="59">
        <f>H18</f>
        <v/>
      </c>
    </row>
    <row r="18">
      <c r="A18" s="56">
        <f>A16+1</f>
        <v/>
      </c>
      <c r="B18" s="106" t="n"/>
      <c r="C18" s="168" t="n">
        <v>2</v>
      </c>
      <c r="D18" s="169" t="inlineStr">
        <is>
          <t>Затраты труда машинистов</t>
        </is>
      </c>
      <c r="E18" s="238" t="inlineStr">
        <is>
          <t>чел.-ч</t>
        </is>
      </c>
      <c r="F18" s="168" t="inlineStr">
        <is>
          <t>285,91</t>
        </is>
      </c>
      <c r="G18" s="55" t="n"/>
      <c r="H18" s="47" t="n">
        <v>3378.25</v>
      </c>
      <c r="L18" s="49" t="n"/>
    </row>
    <row r="19" ht="15" customHeight="1" s="187">
      <c r="A19" s="209" t="inlineStr">
        <is>
          <t>Машины и механизмы</t>
        </is>
      </c>
      <c r="B19" s="244" t="n"/>
      <c r="C19" s="244" t="n"/>
      <c r="D19" s="244" t="n"/>
      <c r="E19" s="245" t="n"/>
      <c r="F19" s="60" t="n"/>
      <c r="G19" s="60" t="n"/>
      <c r="H19" s="59">
        <f>SUM(H20:H24)</f>
        <v/>
      </c>
      <c r="K19" s="150" t="n"/>
    </row>
    <row r="20" ht="25.5" customHeight="1" s="187">
      <c r="A20" s="168">
        <f>A18+1</f>
        <v/>
      </c>
      <c r="B20" s="106" t="n"/>
      <c r="C20" s="168" t="inlineStr">
        <is>
          <t>91.01.05-086</t>
        </is>
      </c>
      <c r="D20" s="169" t="inlineStr">
        <is>
          <t>Экскаваторы одноковшовые дизельные на гусеничном ходу, емкость ковша 0,65 м3</t>
        </is>
      </c>
      <c r="E20" s="238" t="inlineStr">
        <is>
          <t>маш.-ч</t>
        </is>
      </c>
      <c r="F20" s="168" t="n">
        <v>108.22248</v>
      </c>
      <c r="G20" s="171" t="n">
        <v>115.27</v>
      </c>
      <c r="H20" s="55">
        <f>ROUND(F20*G20,2)</f>
        <v/>
      </c>
    </row>
    <row r="21">
      <c r="A21" s="168">
        <f>A20+1</f>
        <v/>
      </c>
      <c r="B21" s="106" t="n"/>
      <c r="C21" s="168" t="inlineStr">
        <is>
          <t>91.13.01-038</t>
        </is>
      </c>
      <c r="D21" s="169" t="inlineStr">
        <is>
          <t>Машины поливомоечные 6000 л</t>
        </is>
      </c>
      <c r="E21" s="238" t="inlineStr">
        <is>
          <t>маш.-ч</t>
        </is>
      </c>
      <c r="F21" s="168" t="n">
        <v>84.1232</v>
      </c>
      <c r="G21" s="171" t="n">
        <v>110</v>
      </c>
      <c r="H21" s="55">
        <f>ROUND(F21*G21,2)</f>
        <v/>
      </c>
    </row>
    <row r="22" ht="38.25" customHeight="1" s="187">
      <c r="A22" s="168">
        <f>A21+1</f>
        <v/>
      </c>
      <c r="B22" s="106" t="n"/>
      <c r="C22" s="168" t="inlineStr">
        <is>
          <t>91.18.01-007</t>
        </is>
      </c>
      <c r="D22" s="169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E22" s="238" t="inlineStr">
        <is>
          <t>маш.-ч</t>
        </is>
      </c>
      <c r="F22" s="168" t="n">
        <v>93.5712</v>
      </c>
      <c r="G22" s="171" t="n">
        <v>90</v>
      </c>
      <c r="H22" s="55">
        <f>ROUND(F22*G22,2)</f>
        <v/>
      </c>
    </row>
    <row r="23" ht="25.5" customHeight="1" s="187">
      <c r="A23" s="168">
        <f>A22+1</f>
        <v/>
      </c>
      <c r="B23" s="106" t="n"/>
      <c r="C23" s="168" t="inlineStr">
        <is>
          <t>91.08.09-023</t>
        </is>
      </c>
      <c r="D23" s="169" t="inlineStr">
        <is>
          <t>Трамбовки пневматические при работе от передвижных компрессорных станций</t>
        </is>
      </c>
      <c r="E23" s="238" t="inlineStr">
        <is>
          <t>маш.-ч</t>
        </is>
      </c>
      <c r="F23" s="168" t="n">
        <v>374.9004</v>
      </c>
      <c r="G23" s="171" t="n">
        <v>0.55</v>
      </c>
      <c r="H23" s="55">
        <f>ROUND(F23*G23,2)</f>
        <v/>
      </c>
    </row>
    <row r="24">
      <c r="A24" s="168">
        <f>A23+1</f>
        <v/>
      </c>
      <c r="B24" s="106" t="n"/>
      <c r="C24" s="168" t="inlineStr">
        <is>
          <t>91.09.02-002</t>
        </is>
      </c>
      <c r="D24" s="169" t="inlineStr">
        <is>
          <t>Вагонетки неопрокидные, вместимость до 1,5 м3</t>
        </is>
      </c>
      <c r="E24" s="238" t="inlineStr">
        <is>
          <t>маш.-ч</t>
        </is>
      </c>
      <c r="F24" s="168" t="n">
        <v>156.658</v>
      </c>
      <c r="G24" s="171" t="n">
        <v>0.5</v>
      </c>
      <c r="H24" s="55">
        <f>ROUND(F24*G24,2)</f>
        <v/>
      </c>
    </row>
    <row r="25" ht="15" customHeight="1" s="187">
      <c r="A25" s="209" t="inlineStr">
        <is>
          <t>Оборудование</t>
        </is>
      </c>
      <c r="B25" s="244" t="n"/>
      <c r="C25" s="244" t="n"/>
      <c r="D25" s="244" t="n"/>
      <c r="E25" s="245" t="n"/>
      <c r="F25" s="60" t="n"/>
      <c r="G25" s="60" t="n"/>
      <c r="H25" s="60" t="n">
        <v>0</v>
      </c>
    </row>
    <row r="26" ht="15" customHeight="1" s="187">
      <c r="A26" s="209" t="n"/>
      <c r="B26" s="209" t="n"/>
      <c r="C26" s="209" t="n"/>
      <c r="D26" s="209" t="n"/>
      <c r="E26" s="209" t="n"/>
      <c r="F26" s="60" t="n"/>
      <c r="G26" s="60" t="n"/>
      <c r="H26" s="59" t="n"/>
    </row>
    <row r="27" ht="15" customHeight="1" s="187">
      <c r="A27" s="209" t="inlineStr">
        <is>
          <t>Материалы</t>
        </is>
      </c>
      <c r="B27" s="244" t="n"/>
      <c r="C27" s="244" t="n"/>
      <c r="D27" s="244" t="n"/>
      <c r="E27" s="245" t="n"/>
      <c r="F27" s="60" t="n"/>
      <c r="G27" s="60" t="n"/>
      <c r="H27" s="59">
        <f>SUM(H28:H31)</f>
        <v/>
      </c>
      <c r="K27" s="150" t="n"/>
    </row>
    <row r="28">
      <c r="A28" s="56">
        <f>A24+1</f>
        <v/>
      </c>
      <c r="B28" s="106" t="n"/>
      <c r="C28" s="104" t="inlineStr">
        <is>
          <t>02.1.01.02-0004</t>
        </is>
      </c>
      <c r="D28" s="169" t="inlineStr">
        <is>
          <t>Грунт песчаный (пескогрунт)</t>
        </is>
      </c>
      <c r="E28" s="238" t="inlineStr">
        <is>
          <t>м3</t>
        </is>
      </c>
      <c r="F28" s="238" t="n">
        <v>3078</v>
      </c>
      <c r="G28" s="235" t="n">
        <v>159.12</v>
      </c>
      <c r="H28" s="55">
        <f>ROUND(F28*G28,2)</f>
        <v/>
      </c>
    </row>
    <row r="29">
      <c r="A29" s="56">
        <f>A28+1</f>
        <v/>
      </c>
      <c r="B29" s="106" t="n"/>
      <c r="C29" s="104" t="inlineStr">
        <is>
          <t>16.2.01.02-0002</t>
        </is>
      </c>
      <c r="D29" s="169" t="inlineStr">
        <is>
          <t>Земля растительная</t>
        </is>
      </c>
      <c r="E29" s="238" t="inlineStr">
        <is>
          <t>м3</t>
        </is>
      </c>
      <c r="F29" s="238" t="n">
        <v>583.712</v>
      </c>
      <c r="G29" s="235" t="n">
        <v>131.9</v>
      </c>
      <c r="H29" s="55">
        <f>ROUND(F29*G29,2)</f>
        <v/>
      </c>
    </row>
    <row r="30">
      <c r="A30" s="56">
        <f>A29+1</f>
        <v/>
      </c>
      <c r="B30" s="106" t="n"/>
      <c r="C30" s="104" t="inlineStr">
        <is>
          <t>16.2.02.07-0161</t>
        </is>
      </c>
      <c r="D30" s="169" t="inlineStr">
        <is>
          <t>Семена газонных трав (смесь)</t>
        </is>
      </c>
      <c r="E30" s="238" t="inlineStr">
        <is>
          <t>кг</t>
        </is>
      </c>
      <c r="F30" s="238" t="n">
        <v>51.504</v>
      </c>
      <c r="G30" s="235" t="n">
        <v>146.25</v>
      </c>
      <c r="H30" s="55">
        <f>ROUND(F30*G30,2)</f>
        <v/>
      </c>
    </row>
    <row r="31">
      <c r="A31" s="56">
        <f>A30+1</f>
        <v/>
      </c>
      <c r="B31" s="106" t="n"/>
      <c r="C31" s="104" t="inlineStr">
        <is>
          <t>01.7.03.01-0001</t>
        </is>
      </c>
      <c r="D31" s="169" t="inlineStr">
        <is>
          <t>Вода</t>
        </is>
      </c>
      <c r="E31" s="238" t="inlineStr">
        <is>
          <t>м3</t>
        </is>
      </c>
      <c r="F31" s="238" t="n">
        <v>218.892</v>
      </c>
      <c r="G31" s="235" t="n">
        <v>2.44</v>
      </c>
      <c r="H31" s="55">
        <f>ROUND(F31*G31,2)</f>
        <v/>
      </c>
    </row>
    <row r="32">
      <c r="K32" s="144" t="n"/>
    </row>
    <row r="36">
      <c r="B36" s="188" t="inlineStr">
        <is>
          <t>Составил ______________________       Р.Р. Шагеева</t>
        </is>
      </c>
      <c r="C36" s="198" t="n"/>
    </row>
    <row r="37">
      <c r="B37" s="199" t="inlineStr">
        <is>
          <t xml:space="preserve">                         (подпись, инициалы, фамилия)</t>
        </is>
      </c>
      <c r="C37" s="198" t="n"/>
    </row>
    <row r="38">
      <c r="B38" s="188" t="n"/>
      <c r="C38" s="198" t="n"/>
    </row>
    <row r="39">
      <c r="B39" s="188" t="inlineStr">
        <is>
          <t>Проверил ______________________        А.В. Костянецкая</t>
        </is>
      </c>
      <c r="C39" s="198" t="n"/>
    </row>
    <row r="40">
      <c r="B40" s="199" t="inlineStr">
        <is>
          <t xml:space="preserve">                        (подпись, инициалы, фамилия)</t>
        </is>
      </c>
      <c r="C40" s="198" t="n"/>
    </row>
  </sheetData>
  <mergeCells count="16">
    <mergeCell ref="C9:C10"/>
    <mergeCell ref="B9:B10"/>
    <mergeCell ref="A3:H3"/>
    <mergeCell ref="E9:E10"/>
    <mergeCell ref="D9:D10"/>
    <mergeCell ref="A12:E12"/>
    <mergeCell ref="F9:F10"/>
    <mergeCell ref="A7:H7"/>
    <mergeCell ref="A9:A10"/>
    <mergeCell ref="C5:H5"/>
    <mergeCell ref="A2:H2"/>
    <mergeCell ref="A25:E25"/>
    <mergeCell ref="A19:E19"/>
    <mergeCell ref="G9:H9"/>
    <mergeCell ref="A17:E17"/>
    <mergeCell ref="A27:E27"/>
  </mergeCells>
  <pageMargins left="0.7086614173228351" right="0.7086614173228351" top="0.748031496062992" bottom="0.748031496062992" header="0.31496062992126" footer="0.31496062992126"/>
  <pageSetup orientation="landscape" paperSize="9" scale="84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4" zoomScale="60" workbookViewId="0">
      <selection activeCell="D45" sqref="D45"/>
    </sheetView>
  </sheetViews>
  <sheetFormatPr baseColWidth="8" defaultRowHeight="15"/>
  <cols>
    <col width="4.140625" customWidth="1" style="187" min="1" max="1"/>
    <col width="36.28515625" customWidth="1" style="187" min="2" max="2"/>
    <col width="18.85546875" customWidth="1" style="187" min="3" max="3"/>
    <col width="18.28515625" customWidth="1" style="187" min="4" max="4"/>
    <col width="18.85546875" customWidth="1" style="187" min="5" max="5"/>
    <col width="9.140625" customWidth="1" style="187" min="6" max="6"/>
    <col width="12.85546875" customWidth="1" style="187" min="7" max="7"/>
    <col width="9.140625" customWidth="1" style="187" min="8" max="11"/>
    <col width="13.5703125" customWidth="1" style="187" min="12" max="12"/>
    <col width="9.140625" customWidth="1" style="187" min="13" max="13"/>
  </cols>
  <sheetData>
    <row r="1">
      <c r="B1" s="188" t="n"/>
      <c r="C1" s="188" t="n"/>
      <c r="D1" s="188" t="n"/>
      <c r="E1" s="188" t="n"/>
    </row>
    <row r="2">
      <c r="B2" s="188" t="n"/>
      <c r="C2" s="188" t="n"/>
      <c r="D2" s="188" t="n"/>
      <c r="E2" s="237" t="inlineStr">
        <is>
          <t>Приложение № 4</t>
        </is>
      </c>
    </row>
    <row r="3">
      <c r="B3" s="188" t="n"/>
      <c r="C3" s="188" t="n"/>
      <c r="D3" s="188" t="n"/>
      <c r="E3" s="188" t="n"/>
    </row>
    <row r="4">
      <c r="B4" s="188" t="n"/>
      <c r="C4" s="188" t="n"/>
      <c r="D4" s="188" t="n"/>
      <c r="E4" s="188" t="n"/>
    </row>
    <row r="5">
      <c r="B5" s="214" t="inlineStr">
        <is>
          <t>Ресурсная модель</t>
        </is>
      </c>
    </row>
    <row r="6">
      <c r="B6" s="18" t="n"/>
      <c r="C6" s="188" t="n"/>
      <c r="D6" s="188" t="n"/>
      <c r="E6" s="188" t="n"/>
    </row>
    <row r="7" ht="31.5" customHeight="1" s="187">
      <c r="B7" s="215">
        <f>'Прил.1 Сравнит табл'!B7</f>
        <v/>
      </c>
    </row>
    <row r="8">
      <c r="B8" s="216">
        <f>'Прил.1 Сравнит табл'!B9</f>
        <v/>
      </c>
    </row>
    <row r="9">
      <c r="B9" s="18" t="n"/>
      <c r="C9" s="188" t="n"/>
      <c r="D9" s="188" t="n"/>
      <c r="E9" s="188" t="n"/>
    </row>
    <row r="10" ht="51" customHeight="1" s="187">
      <c r="B10" s="218" t="inlineStr">
        <is>
          <t>Наименование</t>
        </is>
      </c>
      <c r="C10" s="218" t="inlineStr">
        <is>
          <t>Сметная стоимость в ценах на 01.01.2023
 (руб.)</t>
        </is>
      </c>
      <c r="D10" s="218" t="inlineStr">
        <is>
          <t>Удельный вес, 
(в СМР)</t>
        </is>
      </c>
      <c r="E10" s="218" t="inlineStr">
        <is>
          <t>Удельный вес, % 
(от всего по РМ)</t>
        </is>
      </c>
    </row>
    <row r="11">
      <c r="B11" s="62" t="inlineStr">
        <is>
          <t>Оплата труда рабочих</t>
        </is>
      </c>
      <c r="C11" s="193">
        <f>'Прил.5 Расчет СМР и ОБ'!J14</f>
        <v/>
      </c>
      <c r="D11" s="64">
        <f>C11/$C$24</f>
        <v/>
      </c>
      <c r="E11" s="64">
        <f>C11/$C$40</f>
        <v/>
      </c>
    </row>
    <row r="12">
      <c r="B12" s="62" t="inlineStr">
        <is>
          <t>Эксплуатация машин основных</t>
        </is>
      </c>
      <c r="C12" s="193">
        <f>'Прил.5 Расчет СМР и ОБ'!J22</f>
        <v/>
      </c>
      <c r="D12" s="64">
        <f>C12/$C$24</f>
        <v/>
      </c>
      <c r="E12" s="64">
        <f>C12/$C$40</f>
        <v/>
      </c>
    </row>
    <row r="13">
      <c r="B13" s="62" t="inlineStr">
        <is>
          <t>Эксплуатация машин прочих</t>
        </is>
      </c>
      <c r="C13" s="193">
        <f>'Прил.5 Расчет СМР и ОБ'!J25</f>
        <v/>
      </c>
      <c r="D13" s="64">
        <f>C13/$C$24</f>
        <v/>
      </c>
      <c r="E13" s="64">
        <f>C13/$C$40</f>
        <v/>
      </c>
    </row>
    <row r="14">
      <c r="B14" s="62" t="inlineStr">
        <is>
          <t>ЭКСПЛУАТАЦИЯ МАШИН, ВСЕГО:</t>
        </is>
      </c>
      <c r="C14" s="193">
        <f>C13+C12</f>
        <v/>
      </c>
      <c r="D14" s="64">
        <f>C14/$C$24</f>
        <v/>
      </c>
      <c r="E14" s="64">
        <f>C14/$C$40</f>
        <v/>
      </c>
    </row>
    <row r="15">
      <c r="B15" s="62" t="inlineStr">
        <is>
          <t>в том числе зарплата машинистов</t>
        </is>
      </c>
      <c r="C15" s="193">
        <f>'Прил.5 Расчет СМР и ОБ'!J16</f>
        <v/>
      </c>
      <c r="D15" s="64">
        <f>C15/$C$24</f>
        <v/>
      </c>
      <c r="E15" s="64">
        <f>C15/$C$40</f>
        <v/>
      </c>
    </row>
    <row r="16">
      <c r="B16" s="62" t="inlineStr">
        <is>
          <t>Материалы основные</t>
        </is>
      </c>
      <c r="C16" s="193">
        <f>'Прил.5 Расчет СМР и ОБ'!J37</f>
        <v/>
      </c>
      <c r="D16" s="64">
        <f>C16/$C$24</f>
        <v/>
      </c>
      <c r="E16" s="64">
        <f>C16/$C$40</f>
        <v/>
      </c>
    </row>
    <row r="17">
      <c r="B17" s="62" t="inlineStr">
        <is>
          <t>Материалы прочие</t>
        </is>
      </c>
      <c r="C17" s="193">
        <f>'Прил.5 Расчет СМР и ОБ'!J40</f>
        <v/>
      </c>
      <c r="D17" s="64">
        <f>C17/$C$24</f>
        <v/>
      </c>
      <c r="E17" s="64">
        <f>C17/$C$40</f>
        <v/>
      </c>
      <c r="G17" s="19" t="n"/>
    </row>
    <row r="18">
      <c r="B18" s="62" t="inlineStr">
        <is>
          <t>МАТЕРИАЛЫ, ВСЕГО:</t>
        </is>
      </c>
      <c r="C18" s="193">
        <f>C17+C16</f>
        <v/>
      </c>
      <c r="D18" s="64">
        <f>C18/$C$24</f>
        <v/>
      </c>
      <c r="E18" s="64">
        <f>C18/$C$40</f>
        <v/>
      </c>
    </row>
    <row r="19">
      <c r="B19" s="62" t="inlineStr">
        <is>
          <t>ИТОГО</t>
        </is>
      </c>
      <c r="C19" s="193">
        <f>C18+C14+C11</f>
        <v/>
      </c>
      <c r="D19" s="64" t="n"/>
      <c r="E19" s="62" t="n"/>
    </row>
    <row r="20">
      <c r="B20" s="62" t="inlineStr">
        <is>
          <t>Сметная прибыль, руб.</t>
        </is>
      </c>
      <c r="C20" s="193">
        <f>ROUND(C21*(C11+C15),2)</f>
        <v/>
      </c>
      <c r="D20" s="64">
        <f>C20/$C$24</f>
        <v/>
      </c>
      <c r="E20" s="64">
        <f>C20/$C$40</f>
        <v/>
      </c>
    </row>
    <row r="21">
      <c r="B21" s="62" t="inlineStr">
        <is>
          <t>Сметная прибыль, %</t>
        </is>
      </c>
      <c r="C21" s="67">
        <f>'Прил.5 Расчет СМР и ОБ'!E44</f>
        <v/>
      </c>
      <c r="D21" s="64" t="n"/>
      <c r="E21" s="62" t="n"/>
    </row>
    <row r="22">
      <c r="B22" s="62" t="inlineStr">
        <is>
          <t>Накладные расходы, руб.</t>
        </is>
      </c>
      <c r="C22" s="193">
        <f>ROUND(C23*(C11+C15),2)</f>
        <v/>
      </c>
      <c r="D22" s="64">
        <f>C22/$C$24</f>
        <v/>
      </c>
      <c r="E22" s="64">
        <f>C22/$C$40</f>
        <v/>
      </c>
    </row>
    <row r="23">
      <c r="B23" s="62" t="inlineStr">
        <is>
          <t>Накладные расходы, %</t>
        </is>
      </c>
      <c r="C23" s="67">
        <f>'Прил.5 Расчет СМР и ОБ'!E43</f>
        <v/>
      </c>
      <c r="D23" s="64" t="n"/>
      <c r="E23" s="62" t="n"/>
    </row>
    <row r="24">
      <c r="B24" s="62" t="inlineStr">
        <is>
          <t>ВСЕГО СМР с НР и СП</t>
        </is>
      </c>
      <c r="C24" s="193">
        <f>C19+C20+C22</f>
        <v/>
      </c>
      <c r="D24" s="64">
        <f>C24/$C$24</f>
        <v/>
      </c>
      <c r="E24" s="64">
        <f>C24/$C$40</f>
        <v/>
      </c>
    </row>
    <row r="25" ht="25.5" customHeight="1" s="187">
      <c r="B25" s="62" t="inlineStr">
        <is>
          <t>ВСЕГО стоимость оборудования, в том числе</t>
        </is>
      </c>
      <c r="C25" s="193">
        <f>'Прил.5 Расчет СМР и ОБ'!J32</f>
        <v/>
      </c>
      <c r="D25" s="64" t="n"/>
      <c r="E25" s="64">
        <f>C25/$C$40</f>
        <v/>
      </c>
    </row>
    <row r="26" ht="25.5" customHeight="1" s="187">
      <c r="B26" s="62" t="inlineStr">
        <is>
          <t>стоимость оборудования технологического</t>
        </is>
      </c>
      <c r="C26" s="193">
        <f>C25</f>
        <v/>
      </c>
      <c r="D26" s="64" t="n"/>
      <c r="E26" s="64">
        <f>C26/$C$40</f>
        <v/>
      </c>
    </row>
    <row r="27">
      <c r="B27" s="62" t="inlineStr">
        <is>
          <t>ИТОГО (СМР + ОБОРУДОВАНИЕ)</t>
        </is>
      </c>
      <c r="C27" s="175">
        <f>C24+C25</f>
        <v/>
      </c>
      <c r="D27" s="64" t="n"/>
      <c r="E27" s="64">
        <f>C27/$C$40</f>
        <v/>
      </c>
    </row>
    <row r="28" ht="33" customHeight="1" s="187">
      <c r="B28" s="62" t="inlineStr">
        <is>
          <t>ПРОЧ. ЗАТР., УЧТЕННЫЕ ПОКАЗАТЕЛЕМ,  в том числе</t>
        </is>
      </c>
      <c r="C28" s="62" t="n"/>
      <c r="D28" s="62" t="n"/>
      <c r="E28" s="62" t="n"/>
    </row>
    <row r="29" ht="25.5" customHeight="1" s="187">
      <c r="B29" s="62" t="inlineStr">
        <is>
          <t>Временные здания и сооружения - 3,3%</t>
        </is>
      </c>
      <c r="C29" s="175">
        <f>ROUND(C24*3.3%,2)</f>
        <v/>
      </c>
      <c r="D29" s="62" t="n"/>
      <c r="E29" s="64">
        <f>C29/$C$40</f>
        <v/>
      </c>
    </row>
    <row r="30" ht="38.25" customHeight="1" s="187">
      <c r="B30" s="62" t="inlineStr">
        <is>
          <t>Дополнительные затраты при производстве строительно-монтажных работ в зимнее время - 1%</t>
        </is>
      </c>
      <c r="C30" s="175">
        <f>ROUND((C24+C29)*1%,2)</f>
        <v/>
      </c>
      <c r="D30" s="62" t="n"/>
      <c r="E30" s="64">
        <f>C30/$C$40</f>
        <v/>
      </c>
    </row>
    <row r="31">
      <c r="B31" s="62" t="inlineStr">
        <is>
          <t>Пусконаладочные работы</t>
        </is>
      </c>
      <c r="C31" s="175">
        <f>ROUND(C25*7%*0.8,2)</f>
        <v/>
      </c>
      <c r="D31" s="62" t="n"/>
      <c r="E31" s="64">
        <f>C31/$C$40</f>
        <v/>
      </c>
    </row>
    <row r="32" ht="25.5" customHeight="1" s="187">
      <c r="B32" s="62" t="inlineStr">
        <is>
          <t>Затраты по перевозке работников к месту работы и обратно</t>
        </is>
      </c>
      <c r="C32" s="175" t="n">
        <v>0</v>
      </c>
      <c r="D32" s="62" t="n"/>
      <c r="E32" s="64">
        <f>C32/$C$40</f>
        <v/>
      </c>
    </row>
    <row r="33" ht="25.5" customHeight="1" s="187">
      <c r="B33" s="62" t="inlineStr">
        <is>
          <t>Затраты, связанные с осуществлением работ вахтовым методом</t>
        </is>
      </c>
      <c r="C33" s="175">
        <f>ROUND(C27*0%,2)</f>
        <v/>
      </c>
      <c r="D33" s="62" t="n"/>
      <c r="E33" s="64">
        <f>C33/$C$40</f>
        <v/>
      </c>
    </row>
    <row r="34" ht="51" customHeight="1" s="187">
      <c r="B34" s="62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75" t="n">
        <v>0</v>
      </c>
      <c r="D34" s="62" t="n"/>
      <c r="E34" s="64">
        <f>C34/$C$40</f>
        <v/>
      </c>
    </row>
    <row r="35" ht="76.5" customHeight="1" s="187">
      <c r="B35" s="62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75" t="n">
        <v>0</v>
      </c>
      <c r="D35" s="62" t="n"/>
      <c r="E35" s="64">
        <f>C35/$C$40</f>
        <v/>
      </c>
    </row>
    <row r="36" ht="25.5" customHeight="1" s="187">
      <c r="B36" s="62" t="inlineStr">
        <is>
          <t>Строительный контроль и содержание службы заказчика - 2,14%</t>
        </is>
      </c>
      <c r="C36" s="175">
        <f>ROUND((C27+C32+C33+C34+C35+C29+C31+C30)*2.14%,2)</f>
        <v/>
      </c>
      <c r="D36" s="62" t="n"/>
      <c r="E36" s="64">
        <f>C36/$C$40</f>
        <v/>
      </c>
      <c r="G36" s="107" t="n"/>
      <c r="L36" s="150" t="n"/>
    </row>
    <row r="37">
      <c r="B37" s="62" t="inlineStr">
        <is>
          <t>Авторский надзор - 0,2%</t>
        </is>
      </c>
      <c r="C37" s="175">
        <f>ROUND((C27+C32+C33+C34+C35+C29+C31+C30)*0.2%,2)</f>
        <v/>
      </c>
      <c r="D37" s="62" t="n"/>
      <c r="E37" s="64">
        <f>C37/$C$40</f>
        <v/>
      </c>
      <c r="G37" s="107" t="n"/>
      <c r="L37" s="150" t="n"/>
    </row>
    <row r="38" ht="38.25" customHeight="1" s="187">
      <c r="B38" s="62" t="inlineStr">
        <is>
          <t>ИТОГО (СМР+ОБОРУДОВАНИЕ+ПРОЧ. ЗАТР., УЧТЕННЫЕ ПОКАЗАТЕЛЕМ)</t>
        </is>
      </c>
      <c r="C38" s="193">
        <f>C27+C32+C33+C34+C35+C29+C31+C30+C36+C37</f>
        <v/>
      </c>
      <c r="D38" s="62" t="n"/>
      <c r="E38" s="64">
        <f>C38/$C$40</f>
        <v/>
      </c>
    </row>
    <row r="39" ht="13.5" customHeight="1" s="187">
      <c r="B39" s="62" t="inlineStr">
        <is>
          <t>Непредвиденные расходы</t>
        </is>
      </c>
      <c r="C39" s="193">
        <f>ROUND(C38*3%,2)</f>
        <v/>
      </c>
      <c r="D39" s="62" t="n"/>
      <c r="E39" s="64">
        <f>C39/$C$38</f>
        <v/>
      </c>
    </row>
    <row r="40">
      <c r="B40" s="62" t="inlineStr">
        <is>
          <t>ВСЕГО:</t>
        </is>
      </c>
      <c r="C40" s="193">
        <f>C39+C38</f>
        <v/>
      </c>
      <c r="D40" s="62" t="n"/>
      <c r="E40" s="64">
        <f>C40/$C$40</f>
        <v/>
      </c>
    </row>
    <row r="41">
      <c r="B41" s="62" t="inlineStr">
        <is>
          <t>ИТОГО ПОКАЗАТЕЛЬ НА ЕД. ИЗМ.</t>
        </is>
      </c>
      <c r="C41" s="193">
        <f>C40/'Прил.5 Расчет СМР и ОБ'!E47</f>
        <v/>
      </c>
      <c r="D41" s="62" t="n"/>
      <c r="E41" s="62" t="n"/>
    </row>
    <row r="42">
      <c r="B42" s="195" t="n"/>
      <c r="C42" s="188" t="n"/>
      <c r="D42" s="188" t="n"/>
      <c r="E42" s="188" t="n"/>
    </row>
    <row r="43">
      <c r="B43" s="188" t="inlineStr">
        <is>
          <t>Составил ______________________       Р.Р. Шагеева</t>
        </is>
      </c>
      <c r="C43" s="198" t="n"/>
      <c r="E43" s="188" t="n"/>
    </row>
    <row r="44">
      <c r="B44" s="199" t="inlineStr">
        <is>
          <t xml:space="preserve">                         (подпись, инициалы, фамилия)</t>
        </is>
      </c>
      <c r="C44" s="198" t="n"/>
      <c r="E44" s="188" t="n"/>
    </row>
    <row r="45">
      <c r="B45" s="188" t="n"/>
      <c r="C45" s="198" t="n"/>
      <c r="D45" s="188" t="n"/>
      <c r="E45" s="188" t="n"/>
    </row>
    <row r="46">
      <c r="B46" s="188" t="inlineStr">
        <is>
          <t>Проверил ______________________        А.В. Костянецкая</t>
        </is>
      </c>
      <c r="C46" s="198" t="n"/>
      <c r="D46" s="188" t="n"/>
      <c r="E46" s="188" t="n"/>
    </row>
    <row r="47">
      <c r="B47" s="199" t="inlineStr">
        <is>
          <t xml:space="preserve">                        (подпись, инициалы, фамилия)</t>
        </is>
      </c>
      <c r="C47" s="198" t="n"/>
      <c r="D47" s="188" t="n"/>
      <c r="E47" s="188" t="n"/>
    </row>
    <row r="49">
      <c r="B49" s="188" t="n"/>
      <c r="C49" s="188" t="n"/>
      <c r="D49" s="188" t="n"/>
      <c r="E49" s="188" t="n"/>
    </row>
    <row r="50">
      <c r="B50" s="188" t="n"/>
      <c r="C50" s="188" t="n"/>
      <c r="D50" s="188" t="n"/>
      <c r="E50" s="188" t="n"/>
    </row>
  </sheetData>
  <mergeCells count="3">
    <mergeCell ref="B7:E7"/>
    <mergeCell ref="B8:E8"/>
    <mergeCell ref="B5:E5"/>
  </mergeCells>
  <pageMargins left="0.7" right="0.7" top="0.75" bottom="0.75" header="0.3" footer="0.3"/>
  <pageSetup orientation="portrait" paperSize="9" scale="77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2:N54"/>
  <sheetViews>
    <sheetView view="pageBreakPreview" topLeftCell="A25" zoomScale="95" zoomScaleSheetLayoutView="95" workbookViewId="0">
      <selection activeCell="C49" sqref="C49"/>
    </sheetView>
  </sheetViews>
  <sheetFormatPr baseColWidth="8" defaultColWidth="9.140625" defaultRowHeight="15" outlineLevelRow="1"/>
  <cols>
    <col width="5.7109375" customWidth="1" style="198" min="1" max="1"/>
    <col width="22.5703125" customWidth="1" style="198" min="2" max="2"/>
    <col width="39.140625" customWidth="1" style="198" min="3" max="3"/>
    <col width="10.7109375" customWidth="1" style="198" min="4" max="4"/>
    <col width="12.7109375" customWidth="1" style="198" min="5" max="5"/>
    <col width="14.5703125" customWidth="1" style="198" min="6" max="6"/>
    <col width="18" customWidth="1" style="198" min="7" max="7"/>
    <col width="12.7109375" customWidth="1" style="198" min="8" max="8"/>
    <col width="14.5703125" customWidth="1" style="198" min="9" max="9"/>
    <col width="15.140625" customWidth="1" style="198" min="10" max="10"/>
    <col width="3.7109375" customWidth="1" style="198" min="11" max="11"/>
    <col width="9.42578125" customWidth="1" style="198" min="12" max="12"/>
    <col width="10.85546875" customWidth="1" style="198" min="13" max="13"/>
    <col width="9.140625" customWidth="1" style="198" min="14" max="14"/>
    <col width="9.140625" customWidth="1" style="187" min="15" max="15"/>
  </cols>
  <sheetData>
    <row r="2" ht="15.75" customHeight="1" s="187">
      <c r="I2" s="134" t="n"/>
      <c r="J2" s="114" t="inlineStr">
        <is>
          <t>Приложение №5</t>
        </is>
      </c>
    </row>
    <row r="4" ht="12.75" customFormat="1" customHeight="1" s="188">
      <c r="A4" s="214" t="inlineStr">
        <is>
          <t>Расчет стоимости СМР и оборудования</t>
        </is>
      </c>
      <c r="I4" s="214" t="n"/>
      <c r="J4" s="214" t="n"/>
    </row>
    <row r="5" ht="12.75" customFormat="1" customHeight="1" s="188">
      <c r="A5" s="214" t="n"/>
      <c r="B5" s="214" t="n"/>
      <c r="C5" s="214" t="n"/>
      <c r="D5" s="214" t="n"/>
      <c r="E5" s="214" t="n"/>
      <c r="F5" s="214" t="n"/>
      <c r="G5" s="214" t="n"/>
      <c r="H5" s="214" t="n"/>
      <c r="I5" s="214" t="n"/>
      <c r="J5" s="214" t="n"/>
    </row>
    <row r="6" ht="12.75" customFormat="1" customHeight="1" s="188">
      <c r="A6" s="229" t="inlineStr">
        <is>
          <t>Наименование разрабатываемого показателя УНЦ</t>
        </is>
      </c>
      <c r="D6" s="165" t="inlineStr">
        <is>
          <t>Устройство защиты опор ВЛ обваловыванием и посевом трав</t>
        </is>
      </c>
      <c r="E6" s="164" t="n"/>
      <c r="F6" s="164" t="n"/>
      <c r="G6" s="164" t="n"/>
      <c r="H6" s="164" t="n"/>
      <c r="I6" s="164" t="n"/>
      <c r="J6" s="164" t="n"/>
    </row>
    <row r="7" ht="12.75" customFormat="1" customHeight="1" s="188">
      <c r="A7" s="229">
        <f>'Прил.1 Сравнит табл'!B9</f>
        <v/>
      </c>
      <c r="I7" s="215" t="n"/>
      <c r="J7" s="215" t="n"/>
    </row>
    <row r="8" ht="12.75" customFormat="1" customHeight="1" s="188"/>
    <row r="9" ht="27.75" customHeight="1" s="187">
      <c r="A9" s="218" t="inlineStr">
        <is>
          <t>№ пп.</t>
        </is>
      </c>
      <c r="B9" s="218" t="inlineStr">
        <is>
          <t>Код ресурса</t>
        </is>
      </c>
      <c r="C9" s="218" t="inlineStr">
        <is>
          <t>Наименование</t>
        </is>
      </c>
      <c r="D9" s="218" t="inlineStr">
        <is>
          <t>Ед. изм.</t>
        </is>
      </c>
      <c r="E9" s="218" t="inlineStr">
        <is>
          <t>Кол-во единиц по проектным данным</t>
        </is>
      </c>
      <c r="F9" s="218" t="inlineStr">
        <is>
          <t>Сметная стоимость в ценах на 01.01.2000 (руб.)</t>
        </is>
      </c>
      <c r="G9" s="245" t="n"/>
      <c r="H9" s="218" t="inlineStr">
        <is>
          <t>Удельный вес, %</t>
        </is>
      </c>
      <c r="I9" s="218" t="inlineStr">
        <is>
          <t>Сметная стоимость в ценах на 01.01.2023 (руб.)</t>
        </is>
      </c>
      <c r="J9" s="245" t="n"/>
    </row>
    <row r="10" ht="26.25" customHeight="1" s="187">
      <c r="A10" s="247" t="n"/>
      <c r="B10" s="247" t="n"/>
      <c r="C10" s="247" t="n"/>
      <c r="D10" s="247" t="n"/>
      <c r="E10" s="247" t="n"/>
      <c r="F10" s="218" t="inlineStr">
        <is>
          <t>на ед. изм.</t>
        </is>
      </c>
      <c r="G10" s="218" t="inlineStr">
        <is>
          <t>общая</t>
        </is>
      </c>
      <c r="H10" s="247" t="n"/>
      <c r="I10" s="218" t="inlineStr">
        <is>
          <t>на ед. изм.</t>
        </is>
      </c>
      <c r="J10" s="218" t="inlineStr">
        <is>
          <t>общая</t>
        </is>
      </c>
    </row>
    <row r="11">
      <c r="A11" s="218" t="n">
        <v>1</v>
      </c>
      <c r="B11" s="218" t="n">
        <v>2</v>
      </c>
      <c r="C11" s="218" t="n">
        <v>3</v>
      </c>
      <c r="D11" s="218" t="n">
        <v>4</v>
      </c>
      <c r="E11" s="218" t="n">
        <v>5</v>
      </c>
      <c r="F11" s="218" t="n">
        <v>6</v>
      </c>
      <c r="G11" s="218" t="n">
        <v>7</v>
      </c>
      <c r="H11" s="218" t="n">
        <v>8</v>
      </c>
      <c r="I11" s="218" t="n">
        <v>9</v>
      </c>
      <c r="J11" s="218" t="n">
        <v>10</v>
      </c>
    </row>
    <row r="12">
      <c r="A12" s="218" t="n"/>
      <c r="B12" s="209" t="inlineStr">
        <is>
          <t>Затраты труда рабочих-строителей</t>
        </is>
      </c>
      <c r="C12" s="244" t="n"/>
      <c r="D12" s="244" t="n"/>
      <c r="E12" s="244" t="n"/>
      <c r="F12" s="244" t="n"/>
      <c r="G12" s="244" t="n"/>
      <c r="H12" s="245" t="n"/>
      <c r="I12" s="74" t="n"/>
      <c r="J12" s="74" t="n"/>
    </row>
    <row r="13" ht="25.5" customHeight="1" s="187">
      <c r="A13" s="218" t="n">
        <v>1</v>
      </c>
      <c r="B13" s="104" t="inlineStr">
        <is>
          <t>1-2-3</t>
        </is>
      </c>
      <c r="C13" s="155" t="inlineStr">
        <is>
          <t>Затраты труда рабочих (средний разряд работы 2,3)</t>
        </is>
      </c>
      <c r="D13" s="218" t="inlineStr">
        <is>
          <t>чел.-ч.</t>
        </is>
      </c>
      <c r="E13" s="161" t="n">
        <v>1938.9802840399</v>
      </c>
      <c r="F13" s="173">
        <f>G13/E13</f>
        <v/>
      </c>
      <c r="G13" s="162" t="n">
        <v>15550.621878</v>
      </c>
      <c r="H13" s="222">
        <f>G13/G14</f>
        <v/>
      </c>
      <c r="I13" s="173">
        <f>ФОТр.тек.!E13</f>
        <v/>
      </c>
      <c r="J13" s="173">
        <f>ROUND(I13*E13,2)</f>
        <v/>
      </c>
      <c r="L13" s="186" t="n"/>
    </row>
    <row r="14" ht="25.5" customFormat="1" customHeight="1" s="198">
      <c r="A14" s="218" t="n"/>
      <c r="B14" s="218" t="n"/>
      <c r="C14" s="209" t="inlineStr">
        <is>
          <t>Итого по разделу "Затраты труда рабочих-строителей"</t>
        </is>
      </c>
      <c r="D14" s="218" t="inlineStr">
        <is>
          <t>чел.-ч.</t>
        </is>
      </c>
      <c r="E14" s="102">
        <f>SUM(E13:E13)</f>
        <v/>
      </c>
      <c r="F14" s="173" t="n"/>
      <c r="G14" s="173">
        <f>SUM(G13:G13)</f>
        <v/>
      </c>
      <c r="H14" s="222" t="n">
        <v>1</v>
      </c>
      <c r="I14" s="173" t="n"/>
      <c r="J14" s="173">
        <f>SUM(J13:J13)</f>
        <v/>
      </c>
      <c r="K14" s="78" t="n"/>
      <c r="L14" s="149" t="n"/>
    </row>
    <row r="15" ht="14.25" customFormat="1" customHeight="1" s="198">
      <c r="A15" s="218" t="n"/>
      <c r="B15" s="217" t="inlineStr">
        <is>
          <t>Затраты труда машинистов</t>
        </is>
      </c>
      <c r="C15" s="244" t="n"/>
      <c r="D15" s="244" t="n"/>
      <c r="E15" s="244" t="n"/>
      <c r="F15" s="244" t="n"/>
      <c r="G15" s="244" t="n"/>
      <c r="H15" s="245" t="n"/>
      <c r="I15" s="74" t="n"/>
      <c r="J15" s="74" t="n"/>
    </row>
    <row r="16" ht="14.25" customFormat="1" customHeight="1" s="198">
      <c r="A16" s="218" t="n">
        <v>2</v>
      </c>
      <c r="B16" s="218" t="n">
        <v>2</v>
      </c>
      <c r="C16" s="217" t="inlineStr">
        <is>
          <t>Затраты труда машинистов</t>
        </is>
      </c>
      <c r="D16" s="218" t="inlineStr">
        <is>
          <t>чел.-ч.</t>
        </is>
      </c>
      <c r="E16" s="79" t="n">
        <v>285.91</v>
      </c>
      <c r="F16" s="173">
        <f>G16/E16</f>
        <v/>
      </c>
      <c r="G16" s="173" t="n">
        <v>3378.25</v>
      </c>
      <c r="H16" s="222" t="n">
        <v>1</v>
      </c>
      <c r="I16" s="173">
        <f>ROUND(F16*Прил.10!D10,2)</f>
        <v/>
      </c>
      <c r="J16" s="173">
        <f>ROUND(I16*E16,2)</f>
        <v/>
      </c>
      <c r="L16" s="186" t="n"/>
    </row>
    <row r="17" ht="14.25" customFormat="1" customHeight="1" s="198">
      <c r="A17" s="218" t="n"/>
      <c r="B17" s="209" t="inlineStr">
        <is>
          <t>Машины и механизмы</t>
        </is>
      </c>
      <c r="C17" s="244" t="n"/>
      <c r="D17" s="244" t="n"/>
      <c r="E17" s="244" t="n"/>
      <c r="F17" s="244" t="n"/>
      <c r="G17" s="244" t="n"/>
      <c r="H17" s="245" t="n"/>
      <c r="I17" s="222" t="n"/>
      <c r="J17" s="222" t="n"/>
    </row>
    <row r="18" ht="14.25" customFormat="1" customHeight="1" s="198">
      <c r="A18" s="218" t="n"/>
      <c r="B18" s="217" t="inlineStr">
        <is>
          <t>Основные машины и механизмы</t>
        </is>
      </c>
      <c r="C18" s="244" t="n"/>
      <c r="D18" s="244" t="n"/>
      <c r="E18" s="244" t="n"/>
      <c r="F18" s="244" t="n"/>
      <c r="G18" s="244" t="n"/>
      <c r="H18" s="245" t="n"/>
      <c r="I18" s="74" t="n"/>
      <c r="J18" s="74" t="n"/>
    </row>
    <row r="19" ht="25.5" customFormat="1" customHeight="1" s="198">
      <c r="A19" s="218" t="n">
        <v>3</v>
      </c>
      <c r="B19" s="104" t="inlineStr">
        <is>
          <t>91.01.05-086</t>
        </is>
      </c>
      <c r="C19" s="155" t="inlineStr">
        <is>
          <t>Экскаваторы одноковшовые дизельные на гусеничном ходу, емкость ковша 0,65 м3</t>
        </is>
      </c>
      <c r="D19" s="104" t="inlineStr">
        <is>
          <t>маш.-ч</t>
        </is>
      </c>
      <c r="E19" s="161" t="n">
        <v>108.22248</v>
      </c>
      <c r="F19" s="162" t="n">
        <v>115.27</v>
      </c>
      <c r="G19" s="162">
        <f>E19*F19</f>
        <v/>
      </c>
      <c r="H19" s="222">
        <f>G19/$G$26</f>
        <v/>
      </c>
      <c r="I19" s="173">
        <f>ROUND(F19*Прил.10!$D$11,2)</f>
        <v/>
      </c>
      <c r="J19" s="173">
        <f>ROUND(I19*E19,2)</f>
        <v/>
      </c>
      <c r="L19" s="186" t="n"/>
    </row>
    <row r="20" ht="14.25" customFormat="1" customHeight="1" s="198">
      <c r="A20" s="218" t="n">
        <v>4</v>
      </c>
      <c r="B20" s="104" t="inlineStr">
        <is>
          <t>91.13.01-038</t>
        </is>
      </c>
      <c r="C20" s="155" t="inlineStr">
        <is>
          <t>Машины поливомоечные 6000 л</t>
        </is>
      </c>
      <c r="D20" s="104" t="inlineStr">
        <is>
          <t>маш.-ч</t>
        </is>
      </c>
      <c r="E20" s="161" t="n">
        <v>84.1232</v>
      </c>
      <c r="F20" s="162" t="n">
        <v>110</v>
      </c>
      <c r="G20" s="162">
        <f>E20*F20</f>
        <v/>
      </c>
      <c r="H20" s="222">
        <f>G20/$G$26</f>
        <v/>
      </c>
      <c r="I20" s="173">
        <f>ROUND(F20*Прил.10!$D$11,2)</f>
        <v/>
      </c>
      <c r="J20" s="173">
        <f>ROUND(I20*E20,2)</f>
        <v/>
      </c>
      <c r="L20" s="186" t="n"/>
    </row>
    <row r="21" ht="24.75" customFormat="1" customHeight="1" s="198">
      <c r="A21" s="218" t="n">
        <v>5</v>
      </c>
      <c r="B21" s="104" t="inlineStr">
        <is>
          <t>91.18.01-007</t>
        </is>
      </c>
      <c r="C21" s="155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D21" s="104" t="inlineStr">
        <is>
          <t>маш.-ч</t>
        </is>
      </c>
      <c r="E21" s="161" t="n">
        <v>93.5712</v>
      </c>
      <c r="F21" s="162" t="n">
        <v>90</v>
      </c>
      <c r="G21" s="162">
        <f>E21*F21</f>
        <v/>
      </c>
      <c r="H21" s="222">
        <f>G21/$G$26</f>
        <v/>
      </c>
      <c r="I21" s="173">
        <f>ROUND(F21*Прил.10!$D$11,2)</f>
        <v/>
      </c>
      <c r="J21" s="173">
        <f>ROUND(I21*E21,2)</f>
        <v/>
      </c>
      <c r="L21" s="186" t="n"/>
    </row>
    <row r="22" ht="14.25" customFormat="1" customHeight="1" s="198">
      <c r="A22" s="218" t="n"/>
      <c r="B22" s="218" t="n"/>
      <c r="C22" s="217" t="inlineStr">
        <is>
          <t>Итого основные машины и механизмы</t>
        </is>
      </c>
      <c r="D22" s="218" t="n"/>
      <c r="E22" s="83" t="n"/>
      <c r="F22" s="173" t="n"/>
      <c r="G22" s="173">
        <f>SUM(G19:G21)</f>
        <v/>
      </c>
      <c r="H22" s="222">
        <f>G22/G26</f>
        <v/>
      </c>
      <c r="I22" s="173" t="n"/>
      <c r="J22" s="173">
        <f>SUM(J19:J21)</f>
        <v/>
      </c>
      <c r="L22" s="186" t="n"/>
    </row>
    <row r="23" outlineLevel="1" ht="25.5" customFormat="1" customHeight="1" s="198">
      <c r="A23" s="218" t="n">
        <v>6</v>
      </c>
      <c r="B23" s="104" t="inlineStr">
        <is>
          <t>91.08.09-023</t>
        </is>
      </c>
      <c r="C23" s="155" t="inlineStr">
        <is>
          <t>Трамбовки пневматические при работе от передвижных компрессорных станций</t>
        </is>
      </c>
      <c r="D23" s="104" t="inlineStr">
        <is>
          <t>маш.-ч</t>
        </is>
      </c>
      <c r="E23" s="161" t="n">
        <v>374.9004</v>
      </c>
      <c r="F23" s="162" t="n">
        <v>0.55</v>
      </c>
      <c r="G23" s="162">
        <f>E23*F23</f>
        <v/>
      </c>
      <c r="H23" s="222">
        <f>G23/$G$26</f>
        <v/>
      </c>
      <c r="I23" s="173">
        <f>ROUND(F23*Прил.10!$D$11,2)</f>
        <v/>
      </c>
      <c r="J23" s="173">
        <f>ROUND(I23*E23,2)</f>
        <v/>
      </c>
      <c r="L23" s="186" t="n"/>
    </row>
    <row r="24" outlineLevel="1" ht="25.5" customFormat="1" customHeight="1" s="198">
      <c r="A24" s="218" t="n">
        <v>7</v>
      </c>
      <c r="B24" s="104" t="inlineStr">
        <is>
          <t>91.09.02-002</t>
        </is>
      </c>
      <c r="C24" s="155" t="inlineStr">
        <is>
          <t>Вагонетки неопрокидные, вместимость до 1,5 м3</t>
        </is>
      </c>
      <c r="D24" s="104" t="inlineStr">
        <is>
          <t>маш.-ч</t>
        </is>
      </c>
      <c r="E24" s="161" t="n">
        <v>156.658</v>
      </c>
      <c r="F24" s="162" t="n">
        <v>0.5</v>
      </c>
      <c r="G24" s="162">
        <f>E24*F24</f>
        <v/>
      </c>
      <c r="H24" s="222">
        <f>G24/$G$26</f>
        <v/>
      </c>
      <c r="I24" s="173">
        <f>ROUND(F24*Прил.10!$D$11,2)</f>
        <v/>
      </c>
      <c r="J24" s="173">
        <f>ROUND(I24*E24,2)</f>
        <v/>
      </c>
      <c r="L24" s="186" t="n"/>
    </row>
    <row r="25" ht="14.25" customFormat="1" customHeight="1" s="198">
      <c r="A25" s="218" t="n"/>
      <c r="B25" s="218" t="n"/>
      <c r="C25" s="217" t="inlineStr">
        <is>
          <t>Итого прочие машины и механизмы</t>
        </is>
      </c>
      <c r="D25" s="218" t="n"/>
      <c r="E25" s="219" t="n"/>
      <c r="F25" s="173" t="n"/>
      <c r="G25" s="173">
        <f>SUM(G23:G24)</f>
        <v/>
      </c>
      <c r="H25" s="222">
        <f>G25/G26</f>
        <v/>
      </c>
      <c r="I25" s="173" t="n"/>
      <c r="J25" s="173">
        <f>SUM(J23:J24)</f>
        <v/>
      </c>
      <c r="K25" s="78" t="n"/>
      <c r="L25" s="186" t="n"/>
    </row>
    <row r="26" ht="25.5" customFormat="1" customHeight="1" s="198">
      <c r="A26" s="218" t="n"/>
      <c r="B26" s="230" t="n"/>
      <c r="C26" s="86" t="inlineStr">
        <is>
          <t>Итого по разделу «Машины и механизмы»</t>
        </is>
      </c>
      <c r="D26" s="230" t="n"/>
      <c r="E26" s="87" t="n"/>
      <c r="F26" s="88" t="n"/>
      <c r="G26" s="88">
        <f>G22+G25</f>
        <v/>
      </c>
      <c r="H26" s="89" t="n">
        <v>1</v>
      </c>
      <c r="I26" s="88" t="n"/>
      <c r="J26" s="88">
        <f>J22+J25</f>
        <v/>
      </c>
      <c r="L26" s="186" t="n"/>
    </row>
    <row r="27" s="187">
      <c r="A27" s="227" t="n"/>
      <c r="B27" s="209" t="inlineStr">
        <is>
          <t xml:space="preserve">Оборудование </t>
        </is>
      </c>
      <c r="C27" s="244" t="n"/>
      <c r="D27" s="244" t="n"/>
      <c r="E27" s="244" t="n"/>
      <c r="F27" s="244" t="n"/>
      <c r="G27" s="244" t="n"/>
      <c r="H27" s="244" t="n"/>
      <c r="I27" s="244" t="n"/>
      <c r="J27" s="245" t="n"/>
      <c r="K27" s="198" t="n"/>
      <c r="L27" s="198" t="n"/>
      <c r="M27" s="198" t="n"/>
      <c r="N27" s="198" t="n"/>
    </row>
    <row r="28" s="187">
      <c r="A28" s="218" t="n"/>
      <c r="B28" s="223" t="inlineStr">
        <is>
          <t>Основное оборудование</t>
        </is>
      </c>
      <c r="K28" s="198" t="n"/>
      <c r="L28" s="198" t="n"/>
      <c r="M28" s="198" t="n"/>
      <c r="N28" s="198" t="n"/>
    </row>
    <row r="29" s="187">
      <c r="A29" s="218" t="n"/>
      <c r="B29" s="218" t="n"/>
      <c r="C29" s="217" t="inlineStr">
        <is>
          <t>Итого основное оборудование</t>
        </is>
      </c>
      <c r="D29" s="218" t="n"/>
      <c r="E29" s="79" t="n"/>
      <c r="F29" s="220" t="n"/>
      <c r="G29" s="173" t="n">
        <v>0</v>
      </c>
      <c r="H29" s="222" t="n">
        <v>0</v>
      </c>
      <c r="I29" s="173" t="n"/>
      <c r="J29" s="173" t="n">
        <v>0</v>
      </c>
      <c r="K29" s="78" t="n"/>
      <c r="L29" s="198" t="n"/>
      <c r="M29" s="198" t="n"/>
      <c r="N29" s="198" t="n"/>
    </row>
    <row r="30" s="187">
      <c r="A30" s="218" t="n"/>
      <c r="B30" s="218" t="n"/>
      <c r="C30" s="217" t="inlineStr">
        <is>
          <t>Итого прочее оборудование</t>
        </is>
      </c>
      <c r="D30" s="218" t="n"/>
      <c r="E30" s="219" t="n"/>
      <c r="F30" s="220" t="n"/>
      <c r="G30" s="173" t="n">
        <v>0</v>
      </c>
      <c r="H30" s="222" t="n">
        <v>0</v>
      </c>
      <c r="I30" s="173" t="n"/>
      <c r="J30" s="173" t="n">
        <v>0</v>
      </c>
      <c r="K30" s="78" t="n"/>
      <c r="L30" s="198" t="n"/>
      <c r="M30" s="198" t="n"/>
      <c r="N30" s="198" t="n"/>
    </row>
    <row r="31" s="187">
      <c r="A31" s="218" t="n"/>
      <c r="B31" s="218" t="n"/>
      <c r="C31" s="209" t="inlineStr">
        <is>
          <t>Итого по разделу «Оборудование»</t>
        </is>
      </c>
      <c r="D31" s="218" t="n"/>
      <c r="E31" s="219" t="n"/>
      <c r="F31" s="220" t="n"/>
      <c r="G31" s="173">
        <f>Прил.3!H25</f>
        <v/>
      </c>
      <c r="H31" s="222" t="n">
        <v>0</v>
      </c>
      <c r="I31" s="173" t="n"/>
      <c r="J31" s="173" t="n">
        <v>0</v>
      </c>
      <c r="K31" s="78" t="n"/>
      <c r="L31" s="198" t="n"/>
      <c r="M31" s="198" t="n"/>
      <c r="N31" s="198" t="n"/>
    </row>
    <row r="32" ht="25.5" customHeight="1" s="187">
      <c r="A32" s="218" t="n"/>
      <c r="B32" s="218" t="n"/>
      <c r="C32" s="217" t="inlineStr">
        <is>
          <t>в том числе технологическое оборудование</t>
        </is>
      </c>
      <c r="D32" s="218" t="n"/>
      <c r="E32" s="219" t="n"/>
      <c r="F32" s="220" t="n"/>
      <c r="G32" s="173" t="n">
        <v>0</v>
      </c>
      <c r="H32" s="222" t="n">
        <v>0</v>
      </c>
      <c r="I32" s="173" t="n"/>
      <c r="J32" s="173">
        <f>ROUND(G32*Прил.10!$D$13,2)</f>
        <v/>
      </c>
      <c r="K32" s="78" t="n"/>
      <c r="L32" s="198" t="n"/>
      <c r="M32" s="198" t="n"/>
      <c r="N32" s="198" t="n"/>
    </row>
    <row r="33" ht="14.25" customFormat="1" customHeight="1" s="198">
      <c r="A33" s="218" t="n"/>
      <c r="B33" s="248" t="inlineStr">
        <is>
          <t>Материалы</t>
        </is>
      </c>
      <c r="J33" s="249" t="n"/>
      <c r="K33" s="78" t="n"/>
    </row>
    <row r="34" ht="14.25" customFormat="1" customHeight="1" s="198">
      <c r="A34" s="218" t="n"/>
      <c r="B34" s="217" t="inlineStr">
        <is>
          <t>Основные материалы</t>
        </is>
      </c>
      <c r="C34" s="244" t="n"/>
      <c r="D34" s="244" t="n"/>
      <c r="E34" s="244" t="n"/>
      <c r="F34" s="244" t="n"/>
      <c r="G34" s="244" t="n"/>
      <c r="H34" s="245" t="n"/>
      <c r="I34" s="222" t="n"/>
      <c r="J34" s="222" t="n"/>
      <c r="N34" s="198">
        <f>7/5</f>
        <v/>
      </c>
    </row>
    <row r="35" ht="14.25" customFormat="1" customHeight="1" s="198">
      <c r="A35" s="218" t="n">
        <v>8</v>
      </c>
      <c r="B35" s="104" t="inlineStr">
        <is>
          <t>02.1.01.02-0004</t>
        </is>
      </c>
      <c r="C35" s="155" t="inlineStr">
        <is>
          <t xml:space="preserve">	Грунт щебенистый</t>
        </is>
      </c>
      <c r="D35" s="104" t="inlineStr">
        <is>
          <t>м3</t>
        </is>
      </c>
      <c r="E35" s="104" t="n">
        <v>3078</v>
      </c>
      <c r="F35" s="235" t="n">
        <v>159.12</v>
      </c>
      <c r="G35" s="162">
        <f>E35*F35</f>
        <v/>
      </c>
      <c r="H35" s="222">
        <f>G35/$G$41</f>
        <v/>
      </c>
      <c r="I35" s="173">
        <f>ROUND(F35*Прил.10!$D$12,2)</f>
        <v/>
      </c>
      <c r="J35" s="173">
        <f>ROUND(I35*E35,2)</f>
        <v/>
      </c>
      <c r="N35" s="200" t="n"/>
    </row>
    <row r="36" ht="14.25" customFormat="1" customHeight="1" s="198">
      <c r="A36" s="218" t="n">
        <v>9</v>
      </c>
      <c r="B36" s="104" t="inlineStr">
        <is>
          <t>16.2.01.02-0002</t>
        </is>
      </c>
      <c r="C36" s="155" t="inlineStr">
        <is>
          <t>Земля растительная</t>
        </is>
      </c>
      <c r="D36" s="104" t="inlineStr">
        <is>
          <t>м3</t>
        </is>
      </c>
      <c r="E36" s="104" t="n">
        <v>583.712</v>
      </c>
      <c r="F36" s="235" t="n">
        <v>131.9</v>
      </c>
      <c r="G36" s="162">
        <f>E36*F36</f>
        <v/>
      </c>
      <c r="H36" s="222">
        <f>G36/$G$41</f>
        <v/>
      </c>
      <c r="I36" s="173">
        <f>ROUND(F36*Прил.10!$D$12,2)</f>
        <v/>
      </c>
      <c r="J36" s="173">
        <f>ROUND(I36*E36,2)</f>
        <v/>
      </c>
    </row>
    <row r="37" ht="14.25" customFormat="1" customHeight="1" s="198">
      <c r="A37" s="218" t="n"/>
      <c r="B37" s="218" t="n"/>
      <c r="C37" s="217" t="inlineStr">
        <is>
          <t>Итого основные материалы</t>
        </is>
      </c>
      <c r="D37" s="218" t="n"/>
      <c r="E37" s="79" t="n"/>
      <c r="F37" s="220" t="n"/>
      <c r="G37" s="173">
        <f>SUM(G35:G36)</f>
        <v/>
      </c>
      <c r="H37" s="222">
        <f>G37/$G$41</f>
        <v/>
      </c>
      <c r="I37" s="173" t="n"/>
      <c r="J37" s="173">
        <f>SUM(J35:J36)</f>
        <v/>
      </c>
      <c r="K37" s="78" t="n"/>
    </row>
    <row r="38" outlineLevel="1" ht="14.25" customFormat="1" customHeight="1" s="198">
      <c r="A38" s="218" t="n">
        <v>10</v>
      </c>
      <c r="B38" s="104" t="inlineStr">
        <is>
          <t>16.2.02.07-0161</t>
        </is>
      </c>
      <c r="C38" s="155" t="inlineStr">
        <is>
          <t>Семена газонных трав (смесь)</t>
        </is>
      </c>
      <c r="D38" s="104" t="inlineStr">
        <is>
          <t>кг</t>
        </is>
      </c>
      <c r="E38" s="104" t="n">
        <v>51.504</v>
      </c>
      <c r="F38" s="235" t="n">
        <v>146.25</v>
      </c>
      <c r="G38" s="162">
        <f>E38*F38</f>
        <v/>
      </c>
      <c r="H38" s="222">
        <f>G38/$G$41</f>
        <v/>
      </c>
      <c r="I38" s="173">
        <f>ROUND(F38*Прил.10!$D$12,2)</f>
        <v/>
      </c>
      <c r="J38" s="173">
        <f>ROUND(I38*E38,2)</f>
        <v/>
      </c>
    </row>
    <row r="39" outlineLevel="1" ht="14.25" customFormat="1" customHeight="1" s="198">
      <c r="A39" s="218" t="n">
        <v>11</v>
      </c>
      <c r="B39" s="104" t="inlineStr">
        <is>
          <t>01.7.03.01-0001</t>
        </is>
      </c>
      <c r="C39" s="155" t="inlineStr">
        <is>
          <t>Вода</t>
        </is>
      </c>
      <c r="D39" s="104" t="inlineStr">
        <is>
          <t>м3</t>
        </is>
      </c>
      <c r="E39" s="104" t="n">
        <v>218.892</v>
      </c>
      <c r="F39" s="235" t="n">
        <v>2.44</v>
      </c>
      <c r="G39" s="162">
        <f>E39*F39</f>
        <v/>
      </c>
      <c r="H39" s="222">
        <f>G39/$G$41</f>
        <v/>
      </c>
      <c r="I39" s="173">
        <f>ROUND(F39*Прил.10!$D$12,2)</f>
        <v/>
      </c>
      <c r="J39" s="173">
        <f>ROUND(I39*E39,2)</f>
        <v/>
      </c>
    </row>
    <row r="40" ht="14.25" customFormat="1" customHeight="1" s="198">
      <c r="A40" s="218" t="n"/>
      <c r="B40" s="218" t="n"/>
      <c r="C40" s="217" t="inlineStr">
        <is>
          <t>Итого прочие материалы</t>
        </is>
      </c>
      <c r="D40" s="218" t="n"/>
      <c r="E40" s="219" t="n"/>
      <c r="F40" s="220" t="n"/>
      <c r="G40" s="173">
        <f>SUM(G38:G39)</f>
        <v/>
      </c>
      <c r="H40" s="222">
        <f>G40/G41</f>
        <v/>
      </c>
      <c r="I40" s="173" t="n"/>
      <c r="J40" s="173">
        <f>SUM(J38:J39)</f>
        <v/>
      </c>
    </row>
    <row r="41" ht="14.25" customFormat="1" customHeight="1" s="198">
      <c r="A41" s="218" t="n"/>
      <c r="B41" s="218" t="n"/>
      <c r="C41" s="209" t="inlineStr">
        <is>
          <t>Итого по разделу «Материалы»</t>
        </is>
      </c>
      <c r="D41" s="218" t="n"/>
      <c r="E41" s="219" t="n"/>
      <c r="F41" s="220" t="n"/>
      <c r="G41" s="173">
        <f>G37+G40</f>
        <v/>
      </c>
      <c r="H41" s="222" t="n">
        <v>1</v>
      </c>
      <c r="I41" s="220" t="n"/>
      <c r="J41" s="173">
        <f>J37+J40</f>
        <v/>
      </c>
      <c r="K41" s="78" t="n"/>
      <c r="L41" s="186" t="n"/>
    </row>
    <row r="42" ht="14.25" customFormat="1" customHeight="1" s="198">
      <c r="A42" s="218" t="n"/>
      <c r="B42" s="218" t="n"/>
      <c r="C42" s="217" t="inlineStr">
        <is>
          <t>ИТОГО ПО РМ</t>
        </is>
      </c>
      <c r="D42" s="218" t="n"/>
      <c r="E42" s="219" t="n"/>
      <c r="F42" s="220" t="n"/>
      <c r="G42" s="173">
        <f>G14+G26+G41</f>
        <v/>
      </c>
      <c r="H42" s="222" t="n"/>
      <c r="I42" s="220" t="n"/>
      <c r="J42" s="173">
        <f>J14+J26+J41</f>
        <v/>
      </c>
    </row>
    <row r="43" ht="14.25" customFormat="1" customHeight="1" s="198">
      <c r="A43" s="218" t="n"/>
      <c r="B43" s="218" t="n"/>
      <c r="C43" s="217" t="inlineStr">
        <is>
          <t>Накладные расходы</t>
        </is>
      </c>
      <c r="D43" s="218" t="inlineStr">
        <is>
          <t>%</t>
        </is>
      </c>
      <c r="E43" s="99">
        <f>ROUND(G43/(G14+G16),2)</f>
        <v/>
      </c>
      <c r="F43" s="220" t="n"/>
      <c r="G43" s="173" t="n">
        <v>16054</v>
      </c>
      <c r="H43" s="222" t="n"/>
      <c r="I43" s="220" t="n"/>
      <c r="J43" s="173">
        <f>ROUND(E43*(J14+J16),2)</f>
        <v/>
      </c>
      <c r="K43" s="100" t="n"/>
      <c r="L43" s="186" t="n"/>
    </row>
    <row r="44" ht="14.25" customFormat="1" customHeight="1" s="198">
      <c r="A44" s="218" t="n"/>
      <c r="B44" s="218" t="n"/>
      <c r="C44" s="217" t="inlineStr">
        <is>
          <t>Сметная прибыль</t>
        </is>
      </c>
      <c r="D44" s="218" t="inlineStr">
        <is>
          <t>%</t>
        </is>
      </c>
      <c r="E44" s="99">
        <f>ROUND(G44/(G14+G16),2)</f>
        <v/>
      </c>
      <c r="F44" s="220" t="n"/>
      <c r="G44" s="173" t="n">
        <v>8822</v>
      </c>
      <c r="H44" s="222" t="n"/>
      <c r="I44" s="220" t="n"/>
      <c r="J44" s="173">
        <f>ROUND(E44*(J14+J16),2)</f>
        <v/>
      </c>
      <c r="K44" s="100" t="n"/>
      <c r="L44" s="186" t="n"/>
    </row>
    <row r="45" ht="14.25" customFormat="1" customHeight="1" s="198">
      <c r="A45" s="218" t="n"/>
      <c r="B45" s="218" t="n"/>
      <c r="C45" s="217" t="inlineStr">
        <is>
          <t>Итого СМР (с НР и СП)</t>
        </is>
      </c>
      <c r="D45" s="218" t="n"/>
      <c r="E45" s="219" t="n"/>
      <c r="F45" s="220" t="n"/>
      <c r="G45" s="173">
        <f>G14+G26+G41+G43+G44</f>
        <v/>
      </c>
      <c r="H45" s="222" t="n"/>
      <c r="I45" s="220" t="n"/>
      <c r="J45" s="173">
        <f>J14+J26+J41+J43+J44</f>
        <v/>
      </c>
      <c r="L45" s="101" t="n"/>
    </row>
    <row r="46" ht="14.25" customFormat="1" customHeight="1" s="198">
      <c r="A46" s="218" t="n"/>
      <c r="B46" s="218" t="n"/>
      <c r="C46" s="217" t="inlineStr">
        <is>
          <t>ВСЕГО СМР + ОБОРУДОВАНИЕ</t>
        </is>
      </c>
      <c r="D46" s="218" t="n"/>
      <c r="E46" s="219" t="n"/>
      <c r="F46" s="220" t="n"/>
      <c r="G46" s="173">
        <f>G45+G31</f>
        <v/>
      </c>
      <c r="H46" s="222" t="n"/>
      <c r="I46" s="220" t="n"/>
      <c r="J46" s="173">
        <f>J45+J31</f>
        <v/>
      </c>
      <c r="L46" s="100" t="n"/>
    </row>
    <row r="47" ht="14.25" customFormat="1" customHeight="1" s="198">
      <c r="A47" s="218" t="n"/>
      <c r="B47" s="218" t="n"/>
      <c r="C47" s="217" t="inlineStr">
        <is>
          <t>ИТОГО ПОКАЗАТЕЛЬ НА ЕД. ИЗМ.</t>
        </is>
      </c>
      <c r="D47" s="218" t="inlineStr">
        <is>
          <t>1 опора</t>
        </is>
      </c>
      <c r="E47" s="102" t="n">
        <v>7</v>
      </c>
      <c r="F47" s="220" t="n"/>
      <c r="G47" s="173">
        <f>G46/E47</f>
        <v/>
      </c>
      <c r="H47" s="222" t="n"/>
      <c r="I47" s="220" t="n"/>
      <c r="J47" s="173">
        <f>J46/E47</f>
        <v/>
      </c>
      <c r="L47" s="186" t="n"/>
    </row>
    <row r="49" ht="14.25" customFormat="1" customHeight="1" s="198">
      <c r="A49" s="196" t="n"/>
    </row>
    <row r="50" ht="14.25" customFormat="1" customHeight="1" s="198">
      <c r="A50" s="188" t="inlineStr">
        <is>
          <t>Составил ______________________       Р.Р. Шагеева</t>
        </is>
      </c>
      <c r="B50" s="198" t="n"/>
    </row>
    <row r="51" ht="14.25" customFormat="1" customHeight="1" s="198">
      <c r="A51" s="199" t="inlineStr">
        <is>
          <t xml:space="preserve">                         (подпись, инициалы, фамилия)</t>
        </is>
      </c>
      <c r="B51" s="198" t="n"/>
    </row>
    <row r="52" ht="14.25" customFormat="1" customHeight="1" s="198">
      <c r="A52" s="188" t="n"/>
      <c r="B52" s="198" t="n"/>
    </row>
    <row r="53" ht="14.25" customFormat="1" customHeight="1" s="198">
      <c r="A53" s="188" t="inlineStr">
        <is>
          <t>Проверил ______________________        А.В. Костянецкая</t>
        </is>
      </c>
      <c r="B53" s="198" t="n"/>
    </row>
    <row r="54" ht="14.25" customFormat="1" customHeight="1" s="198">
      <c r="A54" s="199" t="inlineStr">
        <is>
          <t xml:space="preserve">                        (подпись, инициалы, фамилия)</t>
        </is>
      </c>
      <c r="B54" s="198" t="n"/>
    </row>
  </sheetData>
  <mergeCells count="19">
    <mergeCell ref="H9:H10"/>
    <mergeCell ref="B15:H15"/>
    <mergeCell ref="C9:C10"/>
    <mergeCell ref="E9:E10"/>
    <mergeCell ref="A7:H7"/>
    <mergeCell ref="B28:J28"/>
    <mergeCell ref="B33:J33"/>
    <mergeCell ref="B9:B10"/>
    <mergeCell ref="D9:D10"/>
    <mergeCell ref="B18:H18"/>
    <mergeCell ref="B12:H12"/>
    <mergeCell ref="F9:G9"/>
    <mergeCell ref="A4:H4"/>
    <mergeCell ref="B17:H17"/>
    <mergeCell ref="A9:A10"/>
    <mergeCell ref="A6:C6"/>
    <mergeCell ref="B27:J27"/>
    <mergeCell ref="B34:H34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0"/>
  <sheetViews>
    <sheetView view="pageBreakPreview" topLeftCell="A7" workbookViewId="0">
      <selection activeCell="E19" sqref="E19"/>
    </sheetView>
  </sheetViews>
  <sheetFormatPr baseColWidth="8" defaultRowHeight="15"/>
  <cols>
    <col width="5.7109375" customWidth="1" style="187" min="1" max="1"/>
    <col width="14.85546875" customWidth="1" style="187" min="2" max="2"/>
    <col width="39.140625" customWidth="1" style="187" min="3" max="3"/>
    <col width="8.28515625" customWidth="1" style="187" min="4" max="4"/>
    <col width="13.5703125" customWidth="1" style="187" min="5" max="5"/>
    <col width="12.42578125" customWidth="1" style="187" min="6" max="6"/>
    <col width="14.140625" customWidth="1" style="187" min="7" max="7"/>
  </cols>
  <sheetData>
    <row r="1">
      <c r="A1" s="237" t="inlineStr">
        <is>
          <t>Приложение №6</t>
        </is>
      </c>
    </row>
    <row r="2" ht="21.75" customHeight="1" s="187">
      <c r="A2" s="237" t="n"/>
      <c r="B2" s="237" t="n"/>
      <c r="C2" s="237" t="n"/>
      <c r="D2" s="237" t="n"/>
      <c r="E2" s="237" t="n"/>
      <c r="F2" s="237" t="n"/>
      <c r="G2" s="237" t="n"/>
    </row>
    <row r="3">
      <c r="A3" s="214" t="inlineStr">
        <is>
          <t>Расчет стоимости оборудования</t>
        </is>
      </c>
    </row>
    <row r="4" ht="25.5" customHeight="1" s="187">
      <c r="A4" s="236">
        <f>'Прил.1 Сравнит табл'!B7</f>
        <v/>
      </c>
    </row>
    <row r="5">
      <c r="A5" s="188" t="n"/>
      <c r="B5" s="188" t="n"/>
      <c r="C5" s="188" t="n"/>
      <c r="D5" s="188" t="n"/>
      <c r="E5" s="188" t="n"/>
      <c r="F5" s="188" t="n"/>
      <c r="G5" s="188" t="n"/>
    </row>
    <row r="6" ht="30" customHeight="1" s="187">
      <c r="A6" s="238" t="inlineStr">
        <is>
          <t>№ пп.</t>
        </is>
      </c>
      <c r="B6" s="238" t="inlineStr">
        <is>
          <t>Код ресурса</t>
        </is>
      </c>
      <c r="C6" s="238" t="inlineStr">
        <is>
          <t>Наименование</t>
        </is>
      </c>
      <c r="D6" s="238" t="inlineStr">
        <is>
          <t>Ед. изм.</t>
        </is>
      </c>
      <c r="E6" s="218" t="inlineStr">
        <is>
          <t>Кол-во единиц по проектным данным</t>
        </is>
      </c>
      <c r="F6" s="238" t="inlineStr">
        <is>
          <t>Сметная стоимость в ценах на 01.01.2000 (руб.)</t>
        </is>
      </c>
      <c r="G6" s="245" t="n"/>
    </row>
    <row r="7">
      <c r="A7" s="247" t="n"/>
      <c r="B7" s="247" t="n"/>
      <c r="C7" s="247" t="n"/>
      <c r="D7" s="247" t="n"/>
      <c r="E7" s="247" t="n"/>
      <c r="F7" s="218" t="inlineStr">
        <is>
          <t>на ед. изм.</t>
        </is>
      </c>
      <c r="G7" s="218" t="inlineStr">
        <is>
          <t>общая</t>
        </is>
      </c>
    </row>
    <row r="8">
      <c r="A8" s="218" t="n">
        <v>1</v>
      </c>
      <c r="B8" s="218" t="n">
        <v>2</v>
      </c>
      <c r="C8" s="218" t="n">
        <v>3</v>
      </c>
      <c r="D8" s="218" t="n">
        <v>4</v>
      </c>
      <c r="E8" s="218" t="n">
        <v>5</v>
      </c>
      <c r="F8" s="218" t="n">
        <v>6</v>
      </c>
      <c r="G8" s="218" t="n">
        <v>7</v>
      </c>
    </row>
    <row r="9" ht="15" customHeight="1" s="187">
      <c r="A9" s="62" t="n"/>
      <c r="B9" s="217" t="inlineStr">
        <is>
          <t>ИНЖЕНЕРНОЕ ОБОРУДОВАНИЕ</t>
        </is>
      </c>
      <c r="C9" s="244" t="n"/>
      <c r="D9" s="244" t="n"/>
      <c r="E9" s="244" t="n"/>
      <c r="F9" s="244" t="n"/>
      <c r="G9" s="245" t="n"/>
    </row>
    <row r="10" ht="27" customHeight="1" s="187">
      <c r="A10" s="218" t="n"/>
      <c r="B10" s="209" t="n"/>
      <c r="C10" s="217" t="inlineStr">
        <is>
          <t>ИТОГО ИНЖЕНЕРНОЕ ОБОРУДОВАНИЕ</t>
        </is>
      </c>
      <c r="D10" s="209" t="n"/>
      <c r="E10" s="9" t="n"/>
      <c r="F10" s="220" t="n"/>
      <c r="G10" s="220" t="n">
        <v>0</v>
      </c>
    </row>
    <row r="11">
      <c r="A11" s="218" t="n"/>
      <c r="B11" s="217" t="inlineStr">
        <is>
          <t>ТЕХНОЛОГИЧЕСКОЕ ОБОРУДОВАНИЕ</t>
        </is>
      </c>
      <c r="C11" s="244" t="n"/>
      <c r="D11" s="244" t="n"/>
      <c r="E11" s="244" t="n"/>
      <c r="F11" s="244" t="n"/>
      <c r="G11" s="245" t="n"/>
    </row>
    <row r="12">
      <c r="A12" s="218" t="n">
        <v>1</v>
      </c>
      <c r="B12" s="13" t="n"/>
      <c r="C12" s="13" t="n"/>
      <c r="D12" s="13" t="n"/>
      <c r="E12" s="14" t="n"/>
      <c r="F12" s="220" t="n"/>
      <c r="G12" s="220" t="n"/>
    </row>
    <row r="13" ht="25.5" customHeight="1" s="187">
      <c r="A13" s="218" t="n"/>
      <c r="B13" s="13" t="n"/>
      <c r="C13" s="13" t="inlineStr">
        <is>
          <t>ИТОГО ТЕХНОЛОГИЧЕСКОЕ ОБОРУДОВАНИЕ</t>
        </is>
      </c>
      <c r="D13" s="13" t="n"/>
      <c r="E13" s="14" t="n"/>
      <c r="F13" s="220" t="n"/>
      <c r="G13" s="173" t="n">
        <v>0</v>
      </c>
    </row>
    <row r="14" ht="19.5" customHeight="1" s="187">
      <c r="A14" s="218" t="n"/>
      <c r="B14" s="217" t="n"/>
      <c r="C14" s="217" t="inlineStr">
        <is>
          <t>Всего по разделу «Оборудование»</t>
        </is>
      </c>
      <c r="D14" s="217" t="n"/>
      <c r="E14" s="235" t="n"/>
      <c r="F14" s="220" t="n"/>
      <c r="G14" s="173">
        <f>G10+G13</f>
        <v/>
      </c>
    </row>
    <row r="15">
      <c r="A15" s="196" t="n"/>
      <c r="B15" s="197" t="n"/>
      <c r="C15" s="196" t="n"/>
      <c r="D15" s="196" t="n"/>
      <c r="E15" s="196" t="n"/>
      <c r="F15" s="196" t="n"/>
      <c r="G15" s="196" t="n"/>
    </row>
    <row r="16" s="187">
      <c r="A16" s="188" t="inlineStr">
        <is>
          <t>Составил ______________________       Р.Р. Шагеева</t>
        </is>
      </c>
      <c r="B16" s="198" t="n"/>
      <c r="D16" s="196" t="n"/>
      <c r="E16" s="196" t="n"/>
      <c r="F16" s="196" t="n"/>
      <c r="G16" s="196" t="n"/>
    </row>
    <row r="17" s="187">
      <c r="A17" s="199" t="inlineStr">
        <is>
          <t xml:space="preserve">                         (подпись, инициалы, фамилия)</t>
        </is>
      </c>
      <c r="B17" s="198" t="n"/>
      <c r="D17" s="196" t="n"/>
      <c r="E17" s="196" t="n"/>
      <c r="F17" s="196" t="n"/>
      <c r="G17" s="196" t="n"/>
    </row>
    <row r="18" s="187">
      <c r="A18" s="188" t="n"/>
      <c r="B18" s="198" t="n"/>
      <c r="C18" s="198" t="n"/>
      <c r="D18" s="196" t="n"/>
      <c r="E18" s="196" t="n"/>
      <c r="F18" s="196" t="n"/>
      <c r="G18" s="196" t="n"/>
    </row>
    <row r="19" s="187">
      <c r="A19" s="188" t="inlineStr">
        <is>
          <t>Проверил ______________________        А.В. Костянецкая</t>
        </is>
      </c>
      <c r="B19" s="198" t="n"/>
      <c r="C19" s="198" t="n"/>
      <c r="D19" s="196" t="n"/>
      <c r="E19" s="196" t="n"/>
      <c r="F19" s="196" t="n"/>
      <c r="G19" s="196" t="n"/>
    </row>
    <row r="20" s="187">
      <c r="A20" s="199" t="inlineStr">
        <is>
          <t xml:space="preserve">                        (подпись, инициалы, фамилия)</t>
        </is>
      </c>
      <c r="B20" s="198" t="n"/>
      <c r="C20" s="198" t="n"/>
      <c r="D20" s="196" t="n"/>
      <c r="E20" s="196" t="n"/>
      <c r="F20" s="196" t="n"/>
      <c r="G20" s="196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82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C14" sqref="C14"/>
    </sheetView>
  </sheetViews>
  <sheetFormatPr baseColWidth="8" defaultColWidth="8.85546875" defaultRowHeight="15"/>
  <cols>
    <col width="11.85546875" customWidth="1" style="187" min="1" max="1"/>
    <col width="29.7109375" customWidth="1" style="187" min="2" max="2"/>
    <col width="35" customWidth="1" style="187" min="3" max="3"/>
    <col width="27.5703125" customWidth="1" style="187" min="4" max="4"/>
    <col width="24.85546875" customWidth="1" style="187" min="5" max="5"/>
    <col width="8.85546875" customWidth="1" style="187" min="6" max="6"/>
  </cols>
  <sheetData>
    <row r="1">
      <c r="B1" s="188" t="n"/>
      <c r="C1" s="188" t="n"/>
      <c r="D1" s="237" t="inlineStr">
        <is>
          <t>Приложение №7</t>
        </is>
      </c>
    </row>
    <row r="2">
      <c r="A2" s="237" t="n"/>
      <c r="B2" s="237" t="n"/>
      <c r="C2" s="237" t="n"/>
      <c r="D2" s="237" t="n"/>
    </row>
    <row r="3" ht="24.75" customHeight="1" s="187">
      <c r="A3" s="214" t="inlineStr">
        <is>
          <t>Расчет показателя УНЦ</t>
        </is>
      </c>
    </row>
    <row r="4" ht="24.75" customHeight="1" s="187">
      <c r="A4" s="214" t="n"/>
      <c r="B4" s="214" t="n"/>
      <c r="C4" s="214" t="n"/>
      <c r="D4" s="214" t="n"/>
    </row>
    <row r="5" ht="53.25" customHeight="1" s="187">
      <c r="A5" s="229" t="inlineStr">
        <is>
          <t xml:space="preserve">Наименование разрабатываемого показателя УНЦ - </t>
        </is>
      </c>
      <c r="D5" s="229">
        <f>'Прил.5 Расчет СМР и ОБ'!D6</f>
        <v/>
      </c>
    </row>
    <row r="6" ht="19.9" customHeight="1" s="187">
      <c r="A6" s="229">
        <f>'Прил.1 Сравнит табл'!B9</f>
        <v/>
      </c>
      <c r="D6" s="229" t="n"/>
    </row>
    <row r="7">
      <c r="A7" s="188" t="n"/>
      <c r="B7" s="188" t="n"/>
      <c r="C7" s="188" t="n"/>
      <c r="D7" s="188" t="n"/>
    </row>
    <row r="8" ht="14.45" customHeight="1" s="187">
      <c r="A8" s="207" t="inlineStr">
        <is>
          <t>Код показателя</t>
        </is>
      </c>
      <c r="B8" s="207" t="inlineStr">
        <is>
          <t>Наименование показателя</t>
        </is>
      </c>
      <c r="C8" s="207" t="inlineStr">
        <is>
          <t>Наименование РМ, входящих в состав показателя</t>
        </is>
      </c>
      <c r="D8" s="207" t="inlineStr">
        <is>
          <t>Норматив цены на 01.01.2023, тыс.руб.</t>
        </is>
      </c>
    </row>
    <row r="9" ht="15" customHeight="1" s="187">
      <c r="A9" s="247" t="n"/>
      <c r="B9" s="247" t="n"/>
      <c r="C9" s="247" t="n"/>
      <c r="D9" s="247" t="n"/>
    </row>
    <row r="10">
      <c r="A10" s="218" t="n">
        <v>1</v>
      </c>
      <c r="B10" s="218" t="n">
        <v>2</v>
      </c>
      <c r="C10" s="218" t="n">
        <v>3</v>
      </c>
      <c r="D10" s="218" t="n">
        <v>4</v>
      </c>
    </row>
    <row r="11" ht="41.45" customHeight="1" s="187">
      <c r="A11" s="218" t="inlineStr">
        <is>
          <t>М1-03</t>
        </is>
      </c>
      <c r="B11" s="218" t="inlineStr">
        <is>
          <t xml:space="preserve">УНЦ на устройство защиты опор ВЛ </t>
        </is>
      </c>
      <c r="C11" s="193">
        <f>D5</f>
        <v/>
      </c>
      <c r="D11" s="194">
        <f>'Прил.4 РМ'!C41/1000</f>
        <v/>
      </c>
      <c r="E11" s="195" t="n"/>
    </row>
    <row r="12">
      <c r="A12" s="196" t="n"/>
      <c r="B12" s="197" t="n"/>
      <c r="C12" s="196" t="n"/>
      <c r="D12" s="196" t="n"/>
    </row>
    <row r="13">
      <c r="A13" s="188">
        <f>'Прил.1 Сравнит табл'!B30</f>
        <v/>
      </c>
      <c r="B13" s="198" t="n"/>
      <c r="C13" s="198" t="n"/>
      <c r="D13" s="196" t="n"/>
    </row>
    <row r="14">
      <c r="A14" s="199" t="inlineStr">
        <is>
          <t xml:space="preserve">                         (подпись, инициалы, фамилия)</t>
        </is>
      </c>
      <c r="B14" s="198" t="n"/>
      <c r="C14" s="198" t="n"/>
      <c r="D14" s="196" t="n"/>
    </row>
    <row r="15">
      <c r="A15" s="188" t="n"/>
      <c r="B15" s="198" t="n"/>
      <c r="C15" s="198" t="n"/>
      <c r="D15" s="196" t="n"/>
    </row>
    <row r="16">
      <c r="A16" s="188" t="inlineStr">
        <is>
          <t>Проверил ______________________        А.В. Костянецкая</t>
        </is>
      </c>
      <c r="B16" s="198" t="n"/>
      <c r="C16" s="198" t="n"/>
      <c r="D16" s="196" t="n"/>
    </row>
    <row r="17">
      <c r="A17" s="199" t="inlineStr">
        <is>
          <t xml:space="preserve">                        (подпись, инициалы, фамилия)</t>
        </is>
      </c>
      <c r="B17" s="198" t="n"/>
      <c r="C17" s="198" t="n"/>
      <c r="D17" s="196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5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D30"/>
  <sheetViews>
    <sheetView tabSelected="1" view="pageBreakPreview" topLeftCell="A4" zoomScale="60" zoomScaleNormal="100" workbookViewId="0">
      <selection activeCell="C24" sqref="C24"/>
    </sheetView>
  </sheetViews>
  <sheetFormatPr baseColWidth="8" defaultRowHeight="15"/>
  <cols>
    <col width="40.7109375" customWidth="1" style="187" min="2" max="2"/>
    <col width="37" customWidth="1" style="187" min="3" max="3"/>
    <col width="32" customWidth="1" style="187" min="4" max="4"/>
  </cols>
  <sheetData>
    <row r="4" ht="15.75" customHeight="1" s="187">
      <c r="B4" s="203" t="inlineStr">
        <is>
          <t>Приложение № 10</t>
        </is>
      </c>
    </row>
    <row r="5" ht="18.75" customHeight="1" s="187">
      <c r="B5" s="40" t="n"/>
    </row>
    <row r="6" ht="15.75" customHeight="1" s="187">
      <c r="B6" s="208" t="inlineStr">
        <is>
          <t>Используемые индексы изменений сметной стоимости и нормы сопутствующих затрат</t>
        </is>
      </c>
    </row>
    <row r="7" ht="18.75" customHeight="1" s="187">
      <c r="B7" s="108" t="n"/>
    </row>
    <row r="8" ht="47.25" customHeight="1" s="187">
      <c r="B8" s="207" t="inlineStr">
        <is>
          <t>Наименование индекса / норм сопутствующих затрат</t>
        </is>
      </c>
      <c r="C8" s="207" t="inlineStr">
        <is>
          <t>Дата применения и обоснование индекса / норм сопутствующих затрат</t>
        </is>
      </c>
      <c r="D8" s="207" t="inlineStr">
        <is>
          <t>Размер индекса / норма сопутствующих затрат</t>
        </is>
      </c>
    </row>
    <row r="9" ht="15.75" customHeight="1" s="187">
      <c r="B9" s="207" t="n">
        <v>1</v>
      </c>
      <c r="C9" s="207" t="n">
        <v>2</v>
      </c>
      <c r="D9" s="207" t="n">
        <v>3</v>
      </c>
    </row>
    <row r="10" ht="45" customHeight="1" s="187">
      <c r="B10" s="207" t="inlineStr">
        <is>
          <t xml:space="preserve">Индекс изменения сметной стоимости на 1 квартал 2023 года. ОЗП </t>
        </is>
      </c>
      <c r="C10" s="207" t="inlineStr">
        <is>
          <t>Письмо Минстроя России от 01.04.2023г. №17772-ИФ/09 прил.9</t>
        </is>
      </c>
      <c r="D10" s="207" t="n">
        <v>46.83</v>
      </c>
    </row>
    <row r="11" ht="29.25" customHeight="1" s="187">
      <c r="B11" s="207" t="inlineStr">
        <is>
          <t>Индекс изменения сметной стоимости на 1 квартал 2023 года. ЭМ</t>
        </is>
      </c>
      <c r="C11" s="207" t="inlineStr">
        <is>
          <t>Письмо Минстроя России от 01.04.2023г. №17772-ИФ/09 прил.9</t>
        </is>
      </c>
      <c r="D11" s="207" t="n">
        <v>11.96</v>
      </c>
    </row>
    <row r="12" ht="29.25" customHeight="1" s="187">
      <c r="B12" s="207" t="inlineStr">
        <is>
          <t>Индекс изменения сметной стоимости на 1 квартал 2023 года. МАТ</t>
        </is>
      </c>
      <c r="C12" s="207" t="inlineStr">
        <is>
          <t>Письмо Минстроя России от 01.04.2023г. №17772-ИФ/09 прил.9</t>
        </is>
      </c>
      <c r="D12" s="207" t="n">
        <v>9.84</v>
      </c>
    </row>
    <row r="13" ht="30.75" customHeight="1" s="187">
      <c r="B13" s="207" t="inlineStr">
        <is>
          <t>Индекс изменения сметной стоимости на 1 квартал 2023 года. ОБ</t>
        </is>
      </c>
      <c r="C13" s="111" t="inlineStr">
        <is>
          <t>Письмо Минстроя России от 23.02.2023г. №9791-ИФ/09 прил.6</t>
        </is>
      </c>
      <c r="D13" s="207" t="n">
        <v>6.26</v>
      </c>
    </row>
    <row r="14" ht="89.25" customHeight="1" s="187">
      <c r="B14" s="207" t="inlineStr">
        <is>
          <t>Временные здания и сооружения</t>
        </is>
      </c>
      <c r="C14" s="207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4" s="53" t="n">
        <v>0.033</v>
      </c>
    </row>
    <row r="15" ht="78.75" customHeight="1" s="187">
      <c r="B15" s="207" t="inlineStr">
        <is>
          <t>Дополнительные затраты при производстве строительно-монтажных работ в зимнее время</t>
        </is>
      </c>
      <c r="C15" s="207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5" s="53" t="n">
        <v>0.01</v>
      </c>
    </row>
    <row r="16" ht="34.5" customHeight="1" s="187">
      <c r="B16" s="207" t="inlineStr">
        <is>
          <t>Пусконаладочные работы</t>
        </is>
      </c>
      <c r="C16" s="207" t="n"/>
      <c r="D16" s="207" t="inlineStr">
        <is>
          <t>Расчет</t>
        </is>
      </c>
    </row>
    <row r="17" ht="31.5" customHeight="1" s="187">
      <c r="B17" s="207" t="inlineStr">
        <is>
          <t>Строительный контроль</t>
        </is>
      </c>
      <c r="C17" s="207" t="inlineStr">
        <is>
          <t>Постановление Правительства РФ от 21.06.10 г. № 468</t>
        </is>
      </c>
      <c r="D17" s="53" t="n">
        <v>0.0214</v>
      </c>
    </row>
    <row r="18" ht="31.5" customHeight="1" s="187">
      <c r="B18" s="207" t="inlineStr">
        <is>
          <t>Авторский надзор - 0,2%</t>
        </is>
      </c>
      <c r="C18" s="207" t="inlineStr">
        <is>
          <t>Приказ от 4.08.2020 № 421/пр п.173</t>
        </is>
      </c>
      <c r="D18" s="53" t="n">
        <v>0.002</v>
      </c>
    </row>
    <row r="19" ht="24" customHeight="1" s="187">
      <c r="B19" s="207" t="inlineStr">
        <is>
          <t>Непредвиденные расходы</t>
        </is>
      </c>
      <c r="C19" s="207" t="inlineStr">
        <is>
          <t>Приказ от 4.08.2020 № 421/пр п.179</t>
        </is>
      </c>
      <c r="D19" s="53" t="n">
        <v>0.03</v>
      </c>
    </row>
    <row r="20" ht="18.75" customHeight="1" s="187">
      <c r="B20" s="108" t="n"/>
    </row>
    <row r="21" ht="18.75" customHeight="1" s="187">
      <c r="B21" s="108" t="n"/>
    </row>
    <row r="22" ht="18.75" customHeight="1" s="187">
      <c r="B22" s="108" t="n"/>
    </row>
    <row r="23" ht="18.75" customHeight="1" s="187">
      <c r="B23" s="108" t="n"/>
    </row>
    <row r="26">
      <c r="B26" s="188" t="inlineStr">
        <is>
          <t>Составил ______________________       Р.Р. Шагеева</t>
        </is>
      </c>
      <c r="C26" s="198" t="n"/>
    </row>
    <row r="27">
      <c r="B27" s="199" t="inlineStr">
        <is>
          <t xml:space="preserve">                         (подпись, инициалы, фамилия)</t>
        </is>
      </c>
      <c r="C27" s="198" t="n"/>
    </row>
    <row r="28">
      <c r="B28" s="188" t="n"/>
      <c r="C28" s="198" t="n"/>
    </row>
    <row r="29">
      <c r="B29" s="188" t="inlineStr">
        <is>
          <t>Проверил ______________________        А.В. Костянецкая</t>
        </is>
      </c>
      <c r="C29" s="198" t="n"/>
    </row>
    <row r="30">
      <c r="B30" s="199" t="inlineStr">
        <is>
          <t xml:space="preserve">                        (подпись, инициалы, фамилия)</t>
        </is>
      </c>
      <c r="C30" s="198" t="n"/>
    </row>
  </sheetData>
  <mergeCells count="2">
    <mergeCell ref="B6:D6"/>
    <mergeCell ref="B4:D4"/>
  </mergeCells>
  <pageMargins left="0.7" right="0.7" top="0.75" bottom="0.75" header="0.3" footer="0.3"/>
  <pageSetup orientation="portrait" paperSize="9" scale="75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workbookViewId="0">
      <selection activeCell="C5" sqref="G5"/>
    </sheetView>
  </sheetViews>
  <sheetFormatPr baseColWidth="8" defaultRowHeight="15"/>
  <cols>
    <col width="9.140625" customWidth="1" style="187" min="1" max="1"/>
    <col width="44.85546875" customWidth="1" style="187" min="2" max="2"/>
    <col width="13" customWidth="1" style="187" min="3" max="3"/>
    <col width="22.85546875" customWidth="1" style="187" min="4" max="4"/>
    <col width="21.5703125" customWidth="1" style="187" min="5" max="5"/>
    <col width="43.85546875" customWidth="1" style="187" min="6" max="6"/>
    <col width="9.140625" customWidth="1" style="187" min="7" max="7"/>
  </cols>
  <sheetData>
    <row r="2" ht="18" customHeight="1" s="187">
      <c r="A2" s="239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187">
      <c r="A4" s="23" t="inlineStr">
        <is>
          <t>Составлен в уровне цен на 01.01.2023 г.</t>
        </is>
      </c>
    </row>
    <row r="5">
      <c r="A5" s="24" t="inlineStr">
        <is>
          <t>№ пп.</t>
        </is>
      </c>
      <c r="B5" s="24" t="inlineStr">
        <is>
          <t>Наименование элемента</t>
        </is>
      </c>
      <c r="C5" s="24" t="inlineStr">
        <is>
          <t>Обозначение</t>
        </is>
      </c>
      <c r="D5" s="24" t="inlineStr">
        <is>
          <t>Формула</t>
        </is>
      </c>
      <c r="E5" s="24" t="inlineStr">
        <is>
          <t>Величина элемента</t>
        </is>
      </c>
      <c r="F5" s="24" t="inlineStr">
        <is>
          <t>Наименования обосновывающих документов</t>
        </is>
      </c>
    </row>
    <row r="6">
      <c r="A6" s="24" t="n">
        <v>1</v>
      </c>
      <c r="B6" s="24" t="n">
        <v>2</v>
      </c>
      <c r="C6" s="24" t="n">
        <v>3</v>
      </c>
      <c r="D6" s="24" t="n">
        <v>4</v>
      </c>
      <c r="E6" s="24" t="n">
        <v>5</v>
      </c>
      <c r="F6" s="24" t="n">
        <v>6</v>
      </c>
    </row>
    <row r="7" ht="105" customHeight="1" s="187">
      <c r="A7" s="25" t="inlineStr">
        <is>
          <t>1.1</t>
        </is>
      </c>
      <c r="B7" s="51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8" t="inlineStr">
        <is>
          <t>С1ср</t>
        </is>
      </c>
      <c r="D7" s="28" t="inlineStr">
        <is>
          <t>-</t>
        </is>
      </c>
      <c r="E7" s="50" t="n">
        <v>47872.94</v>
      </c>
      <c r="F7" s="51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г.(Приказ ПАО "Россети" 
от 03.10.2022 № 473)</t>
        </is>
      </c>
    </row>
    <row r="8" ht="30" customHeight="1" s="187">
      <c r="A8" s="25" t="inlineStr">
        <is>
          <t>1.2</t>
        </is>
      </c>
      <c r="B8" s="51" t="inlineStr">
        <is>
          <t>Среднегодовое нормативное число часов работы одного рабочего в месяц, часы (ч.)</t>
        </is>
      </c>
      <c r="C8" s="28" t="inlineStr">
        <is>
          <t>tср</t>
        </is>
      </c>
      <c r="D8" s="28" t="inlineStr">
        <is>
          <t>1973ч/12мес.</t>
        </is>
      </c>
      <c r="E8" s="50">
        <f>1973/12</f>
        <v/>
      </c>
      <c r="F8" s="51" t="inlineStr">
        <is>
          <t>Производственный календарь 2023 год
(40-часов.неделя)</t>
        </is>
      </c>
      <c r="G8" s="31" t="n"/>
    </row>
    <row r="9">
      <c r="A9" s="25" t="inlineStr">
        <is>
          <t>1.3</t>
        </is>
      </c>
      <c r="B9" s="51" t="inlineStr">
        <is>
          <t>Коэффициент увеличения</t>
        </is>
      </c>
      <c r="C9" s="28" t="inlineStr">
        <is>
          <t>Кув</t>
        </is>
      </c>
      <c r="D9" s="28" t="inlineStr">
        <is>
          <t>-</t>
        </is>
      </c>
      <c r="E9" s="50" t="n">
        <v>1</v>
      </c>
      <c r="F9" s="51" t="n"/>
      <c r="G9" s="32" t="n"/>
    </row>
    <row r="10">
      <c r="A10" s="25" t="inlineStr">
        <is>
          <t>1.4</t>
        </is>
      </c>
      <c r="B10" s="51" t="inlineStr">
        <is>
          <t>Средний разряд работ</t>
        </is>
      </c>
      <c r="C10" s="28" t="n"/>
      <c r="D10" s="28" t="n"/>
      <c r="E10" s="33" t="n">
        <v>2.3</v>
      </c>
      <c r="F10" s="51" t="inlineStr">
        <is>
          <t>РТМ</t>
        </is>
      </c>
      <c r="G10" s="32" t="n"/>
    </row>
    <row r="11" ht="75" customHeight="1" s="187">
      <c r="A11" s="25" t="inlineStr">
        <is>
          <t>1.5</t>
        </is>
      </c>
      <c r="B11" s="51" t="inlineStr">
        <is>
          <t>Тарифный коэффициент среднего разряда работ</t>
        </is>
      </c>
      <c r="C11" s="28" t="inlineStr">
        <is>
          <t>КТ</t>
        </is>
      </c>
      <c r="D11" s="28" t="inlineStr">
        <is>
          <t>-</t>
        </is>
      </c>
      <c r="E11" s="34" t="n">
        <v>1.115</v>
      </c>
      <c r="F11" s="51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</row>
    <row r="12" ht="75" customHeight="1" s="187">
      <c r="A12" s="25" t="inlineStr">
        <is>
          <t>1.6</t>
        </is>
      </c>
      <c r="B12" s="35" t="inlineStr">
        <is>
          <t>Коэффициент инфляции, определяемый поквартально</t>
        </is>
      </c>
      <c r="C12" s="28" t="inlineStr">
        <is>
          <t>Кинф</t>
        </is>
      </c>
      <c r="D12" s="28" t="inlineStr">
        <is>
          <t>-</t>
        </is>
      </c>
      <c r="E12" s="36" t="n">
        <v>1.139</v>
      </c>
      <c r="F12" s="3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2" t="n"/>
    </row>
    <row r="13" ht="60" customHeight="1" s="187">
      <c r="A13" s="25" t="inlineStr">
        <is>
          <t>1.7</t>
        </is>
      </c>
      <c r="B13" s="38" t="inlineStr">
        <is>
          <t>Размер средств на оплату труда рабочих-строителей в текущем уровне цен (ФОТр.тек.), руб/чел.-ч</t>
        </is>
      </c>
      <c r="C13" s="28" t="inlineStr">
        <is>
          <t>ФОТр.тек.</t>
        </is>
      </c>
      <c r="D13" s="28" t="inlineStr">
        <is>
          <t>(С1ср/tср*КТ*Т*Кув)*Кинф</t>
        </is>
      </c>
      <c r="E13" s="39">
        <f>((E7*E9/E8)*E11)*E12</f>
        <v/>
      </c>
      <c r="F13" s="51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</row>
  </sheetData>
  <mergeCells count="1">
    <mergeCell ref="A2:F2"/>
  </mergeCells>
  <pageMargins left="0.7" right="0.7" top="0.75" bottom="0.75" header="0.3" footer="0.3"/>
  <pageSetup orientation="portrait" paperSize="9" scale="57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2025-01-24T12:10:48Z</dcterms:modified>
  <cp:lastModifiedBy>Danil</cp:lastModifiedBy>
  <cp:lastPrinted>2023-11-27T07:42:55Z</cp:lastPrinted>
</cp:coreProperties>
</file>