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Calibri"/>
      <color rgb="FFA5A5A5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70" fontId="11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4" fontId="12" fillId="0" borderId="1" applyAlignment="1" pivotButton="0" quotePrefix="0" xfId="0">
      <alignment horizontal="center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1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70" fontId="18" fillId="0" borderId="0" pivotButton="0" quotePrefix="0" xfId="0"/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1" xfId="0">
      <alignment horizontal="center" vertical="center"/>
    </xf>
    <xf numFmtId="0" fontId="9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9" fillId="0" borderId="1" applyAlignment="1" pivotButton="0" quotePrefix="0" xfId="0">
      <alignment vertical="center" wrapText="1"/>
    </xf>
    <xf numFmtId="166" fontId="19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9" zoomScale="60" zoomScaleNormal="85" workbookViewId="0">
      <selection activeCell="C30" sqref="C30"/>
    </sheetView>
  </sheetViews>
  <sheetFormatPr baseColWidth="8" defaultRowHeight="15"/>
  <cols>
    <col width="36.85546875" customWidth="1" style="190" min="3" max="3"/>
    <col width="39.42578125" customWidth="1" style="190" min="4" max="4"/>
    <col width="14.28515625" customWidth="1" style="190" min="7" max="7"/>
    <col width="15" customWidth="1" style="190" min="10" max="10"/>
  </cols>
  <sheetData>
    <row r="3" ht="15.75" customHeight="1" s="190">
      <c r="B3" s="204" t="inlineStr">
        <is>
          <t>Приложение № 1</t>
        </is>
      </c>
    </row>
    <row r="4" ht="18.75" customHeight="1" s="190">
      <c r="B4" s="205" t="inlineStr">
        <is>
          <t>Сравнительная таблица отбора объекта-представителя</t>
        </is>
      </c>
    </row>
    <row r="5" ht="84" customHeight="1" s="190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0">
      <c r="B6" s="135" t="n"/>
      <c r="C6" s="135" t="n"/>
      <c r="D6" s="135" t="n"/>
    </row>
    <row r="7" ht="64.5" customHeight="1" s="190">
      <c r="B7" s="203" t="inlineStr">
        <is>
          <t>Наименование разрабатываемого показателя УНЦ - Устройство защиты опор ВЛ от наезда транспорта</t>
        </is>
      </c>
    </row>
    <row r="8" ht="31.5" customHeight="1" s="190">
      <c r="B8" s="203" t="inlineStr">
        <is>
          <t>Сопоставимый уровень цен: 1 кв. 2017г</t>
        </is>
      </c>
    </row>
    <row r="9" ht="15.75" customHeight="1" s="190">
      <c r="B9" s="203" t="inlineStr">
        <is>
          <t>Единица измерения  — 1 опора</t>
        </is>
      </c>
    </row>
    <row r="10" ht="18.75" customHeight="1" s="190">
      <c r="B10" s="108" t="n"/>
    </row>
    <row r="11" ht="15.75" customHeight="1" s="190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</row>
    <row r="12" ht="31.5" customHeight="1" s="190">
      <c r="B12" s="209" t="n">
        <v>1</v>
      </c>
      <c r="C12" s="185" t="inlineStr">
        <is>
          <t>Наименование объекта-представителя</t>
        </is>
      </c>
      <c r="D12" s="209" t="inlineStr">
        <is>
          <t>Строительство ПС 110 кВ Романово с заходами</t>
        </is>
      </c>
    </row>
    <row r="13" ht="31.5" customHeight="1" s="190">
      <c r="B13" s="209" t="n">
        <v>2</v>
      </c>
      <c r="C13" s="185" t="inlineStr">
        <is>
          <t>Наименование субъекта Российской Федерации</t>
        </is>
      </c>
      <c r="D13" s="209" t="inlineStr">
        <is>
          <t>Калининградская обл.</t>
        </is>
      </c>
    </row>
    <row r="14" ht="15.75" customHeight="1" s="190">
      <c r="B14" s="209" t="n">
        <v>3</v>
      </c>
      <c r="C14" s="185" t="inlineStr">
        <is>
          <t>Климатический район и подрайон</t>
        </is>
      </c>
      <c r="D14" s="209" t="inlineStr">
        <is>
          <t>IIБ</t>
        </is>
      </c>
    </row>
    <row r="15" ht="15.75" customHeight="1" s="190">
      <c r="B15" s="209" t="n">
        <v>4</v>
      </c>
      <c r="C15" s="185" t="inlineStr">
        <is>
          <t>Мощность объекта</t>
        </is>
      </c>
      <c r="D15" s="209" t="n">
        <v>17</v>
      </c>
    </row>
    <row r="16" ht="94.5" customHeight="1" s="190">
      <c r="B16" s="209" t="n">
        <v>5</v>
      </c>
      <c r="C16" s="17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9" t="inlineStr">
        <is>
          <t>Бетонное парапетное ограждение</t>
        </is>
      </c>
    </row>
    <row r="17" ht="78.75" customHeight="1" s="190">
      <c r="B17" s="209" t="n">
        <v>6</v>
      </c>
      <c r="C17" s="17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1">
        <f>SUM(D18:D21)</f>
        <v/>
      </c>
    </row>
    <row r="18" ht="15.75" customHeight="1" s="190">
      <c r="B18" s="136" t="inlineStr">
        <is>
          <t>6.1</t>
        </is>
      </c>
      <c r="C18" s="185" t="inlineStr">
        <is>
          <t>строительно-монтажные работы</t>
        </is>
      </c>
      <c r="D18" s="161">
        <f>'Прил.2 Расч стоим'!F13</f>
        <v/>
      </c>
    </row>
    <row r="19" ht="15.75" customHeight="1" s="190">
      <c r="B19" s="136" t="inlineStr">
        <is>
          <t>6.2</t>
        </is>
      </c>
      <c r="C19" s="185" t="inlineStr">
        <is>
          <t>оборудование и инвентарь</t>
        </is>
      </c>
      <c r="D19" s="161" t="n">
        <v>0</v>
      </c>
    </row>
    <row r="20" ht="15.75" customHeight="1" s="190">
      <c r="B20" s="136" t="inlineStr">
        <is>
          <t>6.3</t>
        </is>
      </c>
      <c r="C20" s="185" t="inlineStr">
        <is>
          <t>пусконаладочные работы</t>
        </is>
      </c>
      <c r="D20" s="161">
        <f>D19*0.07*0.8</f>
        <v/>
      </c>
    </row>
    <row r="21" ht="15.75" customHeight="1" s="190">
      <c r="B21" s="136" t="inlineStr">
        <is>
          <t>6.4</t>
        </is>
      </c>
      <c r="C21" s="185" t="inlineStr">
        <is>
          <t>прочие и лимитированные затраты</t>
        </is>
      </c>
      <c r="D21" s="161">
        <f>'Прил.2 Расч стоим'!I13</f>
        <v/>
      </c>
    </row>
    <row r="22" ht="15.75" customHeight="1" s="190">
      <c r="B22" s="209" t="n">
        <v>7</v>
      </c>
      <c r="C22" s="185" t="inlineStr">
        <is>
          <t>Сопоставимый уровень цен</t>
        </is>
      </c>
      <c r="D22" s="112" t="inlineStr">
        <is>
          <t xml:space="preserve"> 1 кв. 2017г</t>
        </is>
      </c>
      <c r="G22" s="148" t="n"/>
    </row>
    <row r="23" ht="110.25" customHeight="1" s="190">
      <c r="B23" s="209" t="n">
        <v>8</v>
      </c>
      <c r="C23" s="1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1">
        <f>D17</f>
        <v/>
      </c>
    </row>
    <row r="24" ht="47.25" customHeight="1" s="190">
      <c r="B24" s="209" t="n">
        <v>9</v>
      </c>
      <c r="C24" s="178" t="inlineStr">
        <is>
          <t>Приведенная сметная стоимость на единицу мощности, тыс. руб. (строка 8/строку 4)</t>
        </is>
      </c>
      <c r="D24" s="161">
        <f>D23/D15</f>
        <v/>
      </c>
      <c r="G24" s="148" t="n"/>
    </row>
    <row r="25" hidden="1" ht="110.25" customHeight="1" s="190">
      <c r="B25" s="209" t="n">
        <v>10</v>
      </c>
      <c r="C25" s="185" t="inlineStr">
        <is>
          <t>Примечание</t>
        </is>
      </c>
      <c r="D25" s="18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90">
      <c r="B26" s="140" t="n"/>
      <c r="C26" s="141" t="n"/>
      <c r="D26" s="141" t="n"/>
    </row>
    <row r="27" hidden="1" s="190">
      <c r="B27" s="191" t="inlineStr">
        <is>
          <t>Составил ______________________        Е.А. Князева</t>
        </is>
      </c>
      <c r="C27" s="201" t="n"/>
    </row>
    <row r="28" hidden="1" s="190">
      <c r="B28" s="202" t="inlineStr">
        <is>
          <t xml:space="preserve">                         (подпись, инициалы, фамилия)</t>
        </is>
      </c>
      <c r="C28" s="201" t="n"/>
    </row>
    <row r="29" hidden="1" s="190">
      <c r="B29" s="202" t="n"/>
      <c r="C29" s="201" t="n"/>
    </row>
    <row r="30">
      <c r="B30" s="191" t="inlineStr">
        <is>
          <t>Составил ______________________        Р.Р. Шагеева</t>
        </is>
      </c>
      <c r="C30" s="201" t="n"/>
    </row>
    <row r="31">
      <c r="B31" s="202" t="inlineStr">
        <is>
          <t xml:space="preserve">                         (подпись, инициалы, фамилия)</t>
        </is>
      </c>
      <c r="C31" s="201" t="n"/>
    </row>
    <row r="32">
      <c r="B32" s="191" t="n"/>
      <c r="C32" s="201" t="n"/>
    </row>
    <row r="33">
      <c r="B33" s="191" t="inlineStr">
        <is>
          <t>Проверил ______________________        А.В. Костянецкая</t>
        </is>
      </c>
      <c r="C33" s="201" t="n"/>
    </row>
    <row r="34">
      <c r="B34" s="202" t="inlineStr">
        <is>
          <t xml:space="preserve">                        (подпись, инициалы, фамилия)</t>
        </is>
      </c>
      <c r="C34" s="201" t="n"/>
    </row>
    <row r="35" ht="15.75" customHeight="1" s="190">
      <c r="B35" s="141" t="n"/>
      <c r="C35" s="141" t="n"/>
      <c r="D35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90" min="1" max="1"/>
    <col width="35.28515625" customWidth="1" style="190" min="3" max="3"/>
    <col width="13.85546875" customWidth="1" style="190" min="4" max="4"/>
    <col width="17.42578125" customWidth="1" style="190" min="5" max="5"/>
    <col width="12.7109375" customWidth="1" style="190" min="6" max="6"/>
    <col width="14.85546875" customWidth="1" style="190" min="7" max="7"/>
    <col width="16.7109375" customWidth="1" style="190" min="8" max="8"/>
    <col width="13" customWidth="1" style="190" min="9" max="10"/>
    <col width="18" customWidth="1" style="190" min="11" max="11"/>
  </cols>
  <sheetData>
    <row r="3" ht="15.75" customHeight="1" s="190">
      <c r="B3" s="204" t="inlineStr">
        <is>
          <t>Приложение № 2</t>
        </is>
      </c>
    </row>
    <row r="4" ht="15.75" customHeight="1" s="190">
      <c r="B4" s="207" t="inlineStr">
        <is>
          <t>Расчет стоимости основных видов работ для выбора объекта-представителя</t>
        </is>
      </c>
    </row>
    <row r="5" ht="15.75" customHeight="1" s="190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90">
      <c r="B6" s="203">
        <f>'Прил.1 Сравнит табл'!B7</f>
        <v/>
      </c>
    </row>
    <row r="7" ht="15.75" customHeight="1" s="190">
      <c r="B7" s="203">
        <f>'Прил.1 Сравнит табл'!B9</f>
        <v/>
      </c>
    </row>
    <row r="8" ht="18.75" customHeight="1" s="190">
      <c r="B8" s="108" t="n"/>
    </row>
    <row r="9" ht="15.75" customHeight="1" s="190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45" t="n"/>
      <c r="F9" s="245" t="n"/>
      <c r="G9" s="245" t="n"/>
      <c r="H9" s="245" t="n"/>
      <c r="I9" s="245" t="n"/>
      <c r="J9" s="246" t="n"/>
    </row>
    <row r="10" ht="15.75" customHeight="1" s="190">
      <c r="B10" s="247" t="n"/>
      <c r="C10" s="247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1 кв. 2017 г., тыс. руб.</t>
        </is>
      </c>
      <c r="G10" s="245" t="n"/>
      <c r="H10" s="245" t="n"/>
      <c r="I10" s="245" t="n"/>
      <c r="J10" s="246" t="n"/>
    </row>
    <row r="11" ht="61.5" customHeight="1" s="190">
      <c r="B11" s="248" t="n"/>
      <c r="C11" s="248" t="n"/>
      <c r="D11" s="248" t="n"/>
      <c r="E11" s="248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31.5" customHeight="1" s="190">
      <c r="B12" s="182" t="n">
        <v>1</v>
      </c>
      <c r="C12" s="185">
        <f>'Прил.1 Сравнит табл'!D16</f>
        <v/>
      </c>
      <c r="D12" s="184" t="inlineStr">
        <is>
          <t>02-05-01</t>
        </is>
      </c>
      <c r="E12" s="185" t="inlineStr">
        <is>
          <t>Заходы ВЛ 110 кВ</t>
        </is>
      </c>
      <c r="F12" s="186" t="n">
        <v>460.446895755</v>
      </c>
      <c r="G12" s="186">
        <f>L12*L13+M12*M13+N12*N13</f>
        <v/>
      </c>
      <c r="H12" s="186">
        <f>O12*O13</f>
        <v/>
      </c>
      <c r="I12" s="186" t="n"/>
      <c r="J12" s="187">
        <f>SUM(F12:I12)</f>
        <v/>
      </c>
    </row>
    <row r="13" ht="15" customHeight="1" s="190">
      <c r="B13" s="208" t="inlineStr">
        <is>
          <t>Всего по объекту:</t>
        </is>
      </c>
      <c r="C13" s="245" t="n"/>
      <c r="D13" s="245" t="n"/>
      <c r="E13" s="246" t="n"/>
      <c r="F13" s="189">
        <f>SUM(F12:F12)</f>
        <v/>
      </c>
      <c r="G13" s="189">
        <f>SUM(G12:G12)</f>
        <v/>
      </c>
      <c r="H13" s="189">
        <f>SUM(H12:H12)</f>
        <v/>
      </c>
      <c r="I13" s="189">
        <f>(F13+G13)*3.9%+((F13+G13)*3.9%+F13+G13)*1.2%*0.6</f>
        <v/>
      </c>
      <c r="J13" s="189">
        <f>SUM(F13:I13)</f>
        <v/>
      </c>
    </row>
    <row r="14" ht="15.75" customHeight="1" s="190">
      <c r="B14" s="208" t="inlineStr">
        <is>
          <t>Всего по объекту в сопоставимом уровне цен 1 кв. 2017г:</t>
        </is>
      </c>
      <c r="C14" s="245" t="n"/>
      <c r="D14" s="245" t="n"/>
      <c r="E14" s="246" t="n"/>
      <c r="F14" s="189">
        <f>F13</f>
        <v/>
      </c>
      <c r="G14" s="189">
        <f>L12*L14+M12*M14+N12*N14</f>
        <v/>
      </c>
      <c r="H14" s="189">
        <f>H13</f>
        <v/>
      </c>
      <c r="I14" s="189">
        <f>(F14+G14)*3.9%+((F14+G14)*3.9%+F14+G14)*1.2%*0.6</f>
        <v/>
      </c>
      <c r="J14" s="189">
        <f>SUM(F14:I14)</f>
        <v/>
      </c>
    </row>
    <row r="18">
      <c r="C18" s="191" t="inlineStr">
        <is>
          <t>Составил ______________________        Р.Р. Шагеева</t>
        </is>
      </c>
      <c r="D18" s="201" t="n"/>
    </row>
    <row r="19">
      <c r="C19" s="202" t="inlineStr">
        <is>
          <t xml:space="preserve">                         (подпись, инициалы, фамилия)</t>
        </is>
      </c>
      <c r="D19" s="201" t="n"/>
    </row>
    <row r="20">
      <c r="C20" s="191" t="n"/>
      <c r="D20" s="201" t="n"/>
    </row>
    <row r="21">
      <c r="C21" s="191" t="inlineStr">
        <is>
          <t>Проверил ______________________        А.В. Костянецкая</t>
        </is>
      </c>
      <c r="D21" s="201" t="n"/>
    </row>
    <row r="22">
      <c r="C22" s="202" t="inlineStr">
        <is>
          <t xml:space="preserve">                        (подпись, инициалы, фамилия)</t>
        </is>
      </c>
      <c r="D22" s="20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28" zoomScale="93" zoomScaleSheetLayoutView="93" workbookViewId="0">
      <selection activeCell="D182" sqref="D182"/>
    </sheetView>
  </sheetViews>
  <sheetFormatPr baseColWidth="8" defaultRowHeight="15"/>
  <cols>
    <col width="12.5703125" customWidth="1" style="190" min="2" max="2"/>
    <col width="17" customWidth="1" style="190" min="3" max="3"/>
    <col width="49.7109375" customWidth="1" style="190" min="4" max="4"/>
    <col width="16.28515625" customWidth="1" style="190" min="5" max="5"/>
    <col width="20.7109375" customWidth="1" style="190" min="6" max="6"/>
    <col width="16.140625" customWidth="1" style="190" min="7" max="7"/>
    <col width="16.7109375" customWidth="1" style="190" min="8" max="8"/>
    <col width="4.5703125" customWidth="1" style="190" min="9" max="9"/>
    <col width="12.42578125" customWidth="1" style="190" min="10" max="10"/>
    <col width="13" customWidth="1" style="190" min="11" max="11"/>
    <col width="9.140625" customWidth="1" style="190" min="12" max="12"/>
  </cols>
  <sheetData>
    <row r="2" ht="15.75" customHeight="1" s="190">
      <c r="A2" s="204" t="inlineStr">
        <is>
          <t xml:space="preserve">Приложение № 3 </t>
        </is>
      </c>
    </row>
    <row r="3" ht="18.75" customHeight="1" s="190">
      <c r="A3" s="205" t="inlineStr">
        <is>
          <t>Объектная ресурсная ведомость</t>
        </is>
      </c>
    </row>
    <row r="4">
      <c r="B4" s="146" t="n"/>
    </row>
    <row r="5" ht="18.75" customHeight="1" s="190">
      <c r="A5" s="205" t="n"/>
      <c r="B5" s="205" t="n"/>
      <c r="C5" s="214" t="n"/>
    </row>
    <row r="6" ht="18.75" customHeight="1" s="190">
      <c r="A6" s="108" t="n"/>
    </row>
    <row r="7" ht="32.25" customHeight="1" s="190">
      <c r="A7" s="210">
        <f>'Прил.1 Сравнит табл'!B7</f>
        <v/>
      </c>
    </row>
    <row r="8" ht="15.75" customHeight="1" s="190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90">
      <c r="A9" s="209" t="inlineStr">
        <is>
          <t>п/п</t>
        </is>
      </c>
      <c r="B9" s="209" t="inlineStr">
        <is>
          <t>№ЛСР</t>
        </is>
      </c>
      <c r="C9" s="209" t="inlineStr">
        <is>
          <t>Код ресурса</t>
        </is>
      </c>
      <c r="D9" s="209" t="inlineStr">
        <is>
          <t>Наименование ресурса</t>
        </is>
      </c>
      <c r="E9" s="209" t="inlineStr">
        <is>
          <t>Ед. изм.</t>
        </is>
      </c>
      <c r="F9" s="209" t="inlineStr">
        <is>
          <t>Кол-во единиц по данным объекта-представителя</t>
        </is>
      </c>
      <c r="G9" s="209" t="inlineStr">
        <is>
          <t>Сметная стоимость в ценах на 01.01.2000 (руб.)</t>
        </is>
      </c>
      <c r="H9" s="246" t="n"/>
    </row>
    <row r="10" ht="40.5" customHeight="1" s="190">
      <c r="A10" s="248" t="n"/>
      <c r="B10" s="248" t="n"/>
      <c r="C10" s="248" t="n"/>
      <c r="D10" s="248" t="n"/>
      <c r="E10" s="248" t="n"/>
      <c r="F10" s="248" t="n"/>
      <c r="G10" s="209" t="inlineStr">
        <is>
          <t>на ед.изм.</t>
        </is>
      </c>
      <c r="H10" s="209" t="inlineStr">
        <is>
          <t>общая</t>
        </is>
      </c>
    </row>
    <row r="11" ht="15.75" customHeight="1" s="190">
      <c r="A11" s="209" t="n">
        <v>1</v>
      </c>
      <c r="B11" s="58" t="n"/>
      <c r="C11" s="209" t="n">
        <v>2</v>
      </c>
      <c r="D11" s="209" t="inlineStr">
        <is>
          <t>З</t>
        </is>
      </c>
      <c r="E11" s="209" t="n">
        <v>4</v>
      </c>
      <c r="F11" s="209" t="n">
        <v>5</v>
      </c>
      <c r="G11" s="58" t="n">
        <v>6</v>
      </c>
      <c r="H11" s="58" t="n">
        <v>7</v>
      </c>
    </row>
    <row r="12" ht="15" customHeight="1" s="190">
      <c r="A12" s="212" t="inlineStr">
        <is>
          <t>Затраты труда рабочих</t>
        </is>
      </c>
      <c r="B12" s="245" t="n"/>
      <c r="C12" s="245" t="n"/>
      <c r="D12" s="245" t="n"/>
      <c r="E12" s="245" t="n"/>
      <c r="F12" s="59">
        <f>SUM(F13:F18)</f>
        <v/>
      </c>
      <c r="G12" s="60" t="n"/>
      <c r="H12" s="59">
        <f>SUM(H13:H18)</f>
        <v/>
      </c>
      <c r="J12" s="113" t="n"/>
      <c r="K12" s="150" t="n"/>
    </row>
    <row r="13">
      <c r="A13" s="168" t="n">
        <v>1</v>
      </c>
      <c r="B13" s="106" t="n"/>
      <c r="C13" s="168" t="inlineStr">
        <is>
          <t>1-5-0</t>
        </is>
      </c>
      <c r="D13" s="169" t="inlineStr">
        <is>
          <t>Затраты труда рабочих (ср 5)</t>
        </is>
      </c>
      <c r="E13" s="239" t="inlineStr">
        <is>
          <t>чел.час</t>
        </is>
      </c>
      <c r="F13" s="168" t="n">
        <v>168.56</v>
      </c>
      <c r="G13" s="171" t="n">
        <v>11.09</v>
      </c>
      <c r="H13" s="172">
        <f>F13*G13</f>
        <v/>
      </c>
      <c r="J13" s="164" t="n"/>
    </row>
    <row r="14">
      <c r="A14" s="56">
        <f>A13+1</f>
        <v/>
      </c>
      <c r="B14" s="106" t="n"/>
      <c r="C14" s="168" t="inlineStr">
        <is>
          <t>1-3-0</t>
        </is>
      </c>
      <c r="D14" s="169" t="inlineStr">
        <is>
          <t>Затраты труда рабочих (ср 3)</t>
        </is>
      </c>
      <c r="E14" s="239" t="inlineStr">
        <is>
          <t>чел.час</t>
        </is>
      </c>
      <c r="F14" s="168" t="n">
        <v>175.19</v>
      </c>
      <c r="G14" s="171" t="n">
        <v>8.529999999999999</v>
      </c>
      <c r="H14" s="172">
        <f>F14*G14</f>
        <v/>
      </c>
    </row>
    <row r="15">
      <c r="A15" s="56">
        <f>A14+1</f>
        <v/>
      </c>
      <c r="B15" s="106" t="n"/>
      <c r="C15" s="168" t="inlineStr">
        <is>
          <t>1-2-9</t>
        </is>
      </c>
      <c r="D15" s="169" t="inlineStr">
        <is>
          <t>Затраты труда рабочих (ср 2,9)</t>
        </is>
      </c>
      <c r="E15" s="239" t="inlineStr">
        <is>
          <t>чел.час</t>
        </is>
      </c>
      <c r="F15" s="168" t="n">
        <v>61.09</v>
      </c>
      <c r="G15" s="171" t="n">
        <v>8.460000000000001</v>
      </c>
      <c r="H15" s="172">
        <f>F15*G15</f>
        <v/>
      </c>
    </row>
    <row r="16">
      <c r="A16" s="56">
        <f>A15+1</f>
        <v/>
      </c>
      <c r="B16" s="106" t="n"/>
      <c r="C16" s="168" t="inlineStr">
        <is>
          <t>1-2-5</t>
        </is>
      </c>
      <c r="D16" s="169" t="inlineStr">
        <is>
          <t>Затраты труда рабочих (ср 2,5)</t>
        </is>
      </c>
      <c r="E16" s="239" t="inlineStr">
        <is>
          <t>чел.час</t>
        </is>
      </c>
      <c r="F16" s="168" t="n">
        <v>62.9</v>
      </c>
      <c r="G16" s="171" t="n">
        <v>8.17</v>
      </c>
      <c r="H16" s="172">
        <f>F16*G16</f>
        <v/>
      </c>
    </row>
    <row r="17">
      <c r="A17" s="56">
        <f>A16+1</f>
        <v/>
      </c>
      <c r="B17" s="106" t="n"/>
      <c r="C17" s="168" t="inlineStr">
        <is>
          <t>1-4-6</t>
        </is>
      </c>
      <c r="D17" s="169" t="inlineStr">
        <is>
          <t>Затраты труда рабочих (ср 4,6)</t>
        </is>
      </c>
      <c r="E17" s="239" t="inlineStr">
        <is>
          <t>чел.час</t>
        </is>
      </c>
      <c r="F17" s="168" t="n">
        <v>10.4</v>
      </c>
      <c r="G17" s="171" t="n">
        <v>10.5</v>
      </c>
      <c r="H17" s="172">
        <f>F17*G17</f>
        <v/>
      </c>
    </row>
    <row r="18">
      <c r="A18" s="56">
        <f>A17+1</f>
        <v/>
      </c>
      <c r="B18" s="106" t="n"/>
      <c r="C18" s="168" t="inlineStr">
        <is>
          <t>1-4-0</t>
        </is>
      </c>
      <c r="D18" s="169" t="inlineStr">
        <is>
          <t>Затраты труда рабочих (ср 4)</t>
        </is>
      </c>
      <c r="E18" s="239" t="inlineStr">
        <is>
          <t>чел.час</t>
        </is>
      </c>
      <c r="F18" s="168" t="n">
        <v>9.050000000000001</v>
      </c>
      <c r="G18" s="171" t="n">
        <v>9.619999999999999</v>
      </c>
      <c r="H18" s="172">
        <f>F18*G18</f>
        <v/>
      </c>
    </row>
    <row r="19" ht="15" customHeight="1" s="190">
      <c r="A19" s="211" t="inlineStr">
        <is>
          <t>Затраты труда машинистов</t>
        </is>
      </c>
      <c r="B19" s="245" t="n"/>
      <c r="C19" s="245" t="n"/>
      <c r="D19" s="245" t="n"/>
      <c r="E19" s="246" t="n"/>
      <c r="F19" s="60" t="n"/>
      <c r="G19" s="60" t="n"/>
      <c r="H19" s="59">
        <f>H20</f>
        <v/>
      </c>
    </row>
    <row r="20">
      <c r="A20" s="56">
        <f>A18+1</f>
        <v/>
      </c>
      <c r="B20" s="106" t="n"/>
      <c r="C20" s="168" t="n">
        <v>2</v>
      </c>
      <c r="D20" s="169" t="inlineStr">
        <is>
          <t>Затраты труда машинистов</t>
        </is>
      </c>
      <c r="E20" s="239" t="inlineStr">
        <is>
          <t>чел.-ч</t>
        </is>
      </c>
      <c r="F20" s="168" t="inlineStr">
        <is>
          <t>23,13</t>
        </is>
      </c>
      <c r="G20" s="55" t="n"/>
      <c r="H20" s="47" t="n">
        <v>291.6</v>
      </c>
      <c r="L20" s="49" t="n"/>
    </row>
    <row r="21" ht="15" customHeight="1" s="190">
      <c r="A21" s="211" t="inlineStr">
        <is>
          <t>Машины и механизмы</t>
        </is>
      </c>
      <c r="B21" s="245" t="n"/>
      <c r="C21" s="245" t="n"/>
      <c r="D21" s="245" t="n"/>
      <c r="E21" s="246" t="n"/>
      <c r="F21" s="60" t="n"/>
      <c r="G21" s="60" t="n"/>
      <c r="H21" s="59">
        <f>SUM(H22:H29)</f>
        <v/>
      </c>
      <c r="K21" s="150" t="n"/>
    </row>
    <row r="22" ht="25.5" customHeight="1" s="190">
      <c r="A22" s="168">
        <f>A20+1</f>
        <v/>
      </c>
      <c r="B22" s="106" t="n"/>
      <c r="C22" s="168" t="inlineStr">
        <is>
          <t>91.21.22-391</t>
        </is>
      </c>
      <c r="D22" s="169" t="inlineStr">
        <is>
          <t>Стенорезная машина, максимальная глубина резки 730 мм</t>
        </is>
      </c>
      <c r="E22" s="239" t="inlineStr">
        <is>
          <t>маш.час</t>
        </is>
      </c>
      <c r="F22" s="168" t="n">
        <v>80.41</v>
      </c>
      <c r="G22" s="171" t="n">
        <v>149.62</v>
      </c>
      <c r="H22" s="55">
        <f>ROUND(F22*G22,2)</f>
        <v/>
      </c>
    </row>
    <row r="23">
      <c r="A23" s="168">
        <f>A22+1</f>
        <v/>
      </c>
      <c r="B23" s="106" t="n"/>
      <c r="C23" s="168" t="inlineStr">
        <is>
          <t>91.05.05-014</t>
        </is>
      </c>
      <c r="D23" s="169" t="inlineStr">
        <is>
          <t>Краны на автомобильном ходу, грузоподъемность 10 т</t>
        </is>
      </c>
      <c r="E23" s="239" t="inlineStr">
        <is>
          <t>маш.час</t>
        </is>
      </c>
      <c r="F23" s="168" t="n">
        <v>12.39</v>
      </c>
      <c r="G23" s="171" t="n">
        <v>111.99</v>
      </c>
      <c r="H23" s="55">
        <f>ROUND(F23*G23,2)</f>
        <v/>
      </c>
    </row>
    <row r="24" ht="25.5" customHeight="1" s="190">
      <c r="A24" s="168">
        <f>A23+1</f>
        <v/>
      </c>
      <c r="B24" s="106" t="n"/>
      <c r="C24" s="168" t="inlineStr">
        <is>
          <t>91.04.01-031</t>
        </is>
      </c>
      <c r="D24" s="169" t="inlineStr">
        <is>
          <t>Машины бурильно-крановые: на автомобиле, глубина бурения 3,5 м</t>
        </is>
      </c>
      <c r="E24" s="239" t="inlineStr">
        <is>
          <t>маш.час</t>
        </is>
      </c>
      <c r="F24" s="168" t="n">
        <v>6.98</v>
      </c>
      <c r="G24" s="171" t="n">
        <v>138.54</v>
      </c>
      <c r="H24" s="55">
        <f>ROUND(F24*G24,2)</f>
        <v/>
      </c>
    </row>
    <row r="25" ht="25.5" customHeight="1" s="190">
      <c r="A25" s="168">
        <f>A24+1</f>
        <v/>
      </c>
      <c r="B25" s="106" t="n"/>
      <c r="C25" s="168" t="inlineStr">
        <is>
          <t>91.21.20-013</t>
        </is>
      </c>
      <c r="D25" s="169" t="inlineStr">
        <is>
          <t>Установки для сверления отверстий в железобетоне диаметром до 160 мм</t>
        </is>
      </c>
      <c r="E25" s="239" t="inlineStr">
        <is>
          <t>маш.час</t>
        </is>
      </c>
      <c r="F25" s="168" t="n">
        <v>2.8</v>
      </c>
      <c r="G25" s="171" t="n">
        <v>27.42</v>
      </c>
      <c r="H25" s="55">
        <f>ROUND(F25*G25,2)</f>
        <v/>
      </c>
    </row>
    <row r="26">
      <c r="A26" s="168">
        <f>A25+1</f>
        <v/>
      </c>
      <c r="B26" s="106" t="n"/>
      <c r="C26" s="168" t="inlineStr">
        <is>
          <t>91.14.02-001</t>
        </is>
      </c>
      <c r="D26" s="169" t="inlineStr">
        <is>
          <t>Автомобили бортовые, грузоподъемность: до 5 т</t>
        </is>
      </c>
      <c r="E26" s="239" t="inlineStr">
        <is>
          <t>маш.час</t>
        </is>
      </c>
      <c r="F26" s="168" t="n">
        <v>0.93</v>
      </c>
      <c r="G26" s="171" t="n">
        <v>65.70999999999999</v>
      </c>
      <c r="H26" s="55">
        <f>ROUND(F26*G26,2)</f>
        <v/>
      </c>
    </row>
    <row r="27" ht="25.5" customHeight="1" s="190">
      <c r="A27" s="168">
        <f>A26+1</f>
        <v/>
      </c>
      <c r="B27" s="106" t="n"/>
      <c r="C27" s="168" t="inlineStr">
        <is>
          <t>91.21.01-012</t>
        </is>
      </c>
      <c r="D27" s="169" t="inlineStr">
        <is>
          <t>Агрегаты окрасочные высокого давления для окраски поверхностей конструкций, мощность 1 кВт</t>
        </is>
      </c>
      <c r="E27" s="239" t="inlineStr">
        <is>
          <t>маш.час</t>
        </is>
      </c>
      <c r="F27" s="168" t="n">
        <v>1.57</v>
      </c>
      <c r="G27" s="171" t="n">
        <v>6.82</v>
      </c>
      <c r="H27" s="55">
        <f>ROUND(F27*G27,2)</f>
        <v/>
      </c>
    </row>
    <row r="28">
      <c r="A28" s="168">
        <f>A27+1</f>
        <v/>
      </c>
      <c r="B28" s="106" t="n"/>
      <c r="C28" s="168" t="inlineStr">
        <is>
          <t>91.06.05-011</t>
        </is>
      </c>
      <c r="D28" s="169" t="inlineStr">
        <is>
          <t>Погрузчик, грузоподъемность 5 т</t>
        </is>
      </c>
      <c r="E28" s="239" t="inlineStr">
        <is>
          <t>маш.час</t>
        </is>
      </c>
      <c r="F28" s="168" t="n">
        <v>0.01</v>
      </c>
      <c r="G28" s="171" t="n">
        <v>89.98999999999999</v>
      </c>
      <c r="H28" s="55">
        <f>ROUND(F28*G28,2)</f>
        <v/>
      </c>
    </row>
    <row r="29" ht="25.5" customHeight="1" s="190">
      <c r="A29" s="168">
        <f>A28+1</f>
        <v/>
      </c>
      <c r="B29" s="106" t="n"/>
      <c r="C29" s="168" t="inlineStr">
        <is>
          <t>91.06.03-060</t>
        </is>
      </c>
      <c r="D29" s="169" t="inlineStr">
        <is>
          <t>Лебедки электрические тяговым усилием: до 5,79 кН (0,59 т)</t>
        </is>
      </c>
      <c r="E29" s="239" t="inlineStr">
        <is>
          <t>маш.час</t>
        </is>
      </c>
      <c r="F29" s="168" t="n">
        <v>0.01</v>
      </c>
      <c r="G29" s="171" t="n">
        <v>1.7</v>
      </c>
      <c r="H29" s="55">
        <f>ROUND(F29*G29,2)</f>
        <v/>
      </c>
    </row>
    <row r="30" ht="15" customHeight="1" s="190">
      <c r="A30" s="211" t="inlineStr">
        <is>
          <t>Оборудование</t>
        </is>
      </c>
      <c r="B30" s="245" t="n"/>
      <c r="C30" s="245" t="n"/>
      <c r="D30" s="245" t="n"/>
      <c r="E30" s="246" t="n"/>
      <c r="F30" s="60" t="n"/>
      <c r="G30" s="60" t="n"/>
      <c r="H30" s="60" t="n">
        <v>0</v>
      </c>
    </row>
    <row r="31" ht="15" customHeight="1" s="190">
      <c r="A31" s="211" t="n"/>
      <c r="B31" s="211" t="n"/>
      <c r="C31" s="211" t="n"/>
      <c r="D31" s="211" t="n"/>
      <c r="E31" s="211" t="n"/>
      <c r="F31" s="60" t="n"/>
      <c r="G31" s="60" t="n"/>
      <c r="H31" s="59" t="n"/>
    </row>
    <row r="32" ht="15" customHeight="1" s="190">
      <c r="A32" s="211" t="inlineStr">
        <is>
          <t>Материалы</t>
        </is>
      </c>
      <c r="B32" s="245" t="n"/>
      <c r="C32" s="245" t="n"/>
      <c r="D32" s="245" t="n"/>
      <c r="E32" s="246" t="n"/>
      <c r="F32" s="60" t="n"/>
      <c r="G32" s="60" t="n"/>
      <c r="H32" s="59">
        <f>SUM(H33:H44)</f>
        <v/>
      </c>
      <c r="K32" s="150" t="n"/>
    </row>
    <row r="33" ht="38.25" customHeight="1" s="190">
      <c r="A33" s="56">
        <f>A29+1</f>
        <v/>
      </c>
      <c r="B33" s="106" t="n"/>
      <c r="C33" s="168" t="inlineStr">
        <is>
          <t>05.1.07.15-0002</t>
        </is>
      </c>
      <c r="D33" s="169" t="inlineStr">
        <is>
          <t>Ограждения парапетного типа для автомобильных дорог БП1И, массой до 3,0 т (прим. Блок парапетного ограждения ТБКБ-К, ТБКБ-Н, ТБКБ)</t>
        </is>
      </c>
      <c r="E33" s="239" t="inlineStr">
        <is>
          <t>м3</t>
        </is>
      </c>
      <c r="F33" s="239">
        <f>43*0.82</f>
        <v/>
      </c>
      <c r="G33" s="171" t="n">
        <v>1170</v>
      </c>
      <c r="H33" s="55">
        <f>ROUND(F33*G33,2)</f>
        <v/>
      </c>
    </row>
    <row r="34" ht="25.5" customHeight="1" s="190">
      <c r="A34" s="56">
        <f>A33+1</f>
        <v/>
      </c>
      <c r="B34" s="106" t="n"/>
      <c r="C34" s="168" t="inlineStr">
        <is>
          <t>01.5.03.08-0041</t>
        </is>
      </c>
      <c r="D34" s="169" t="inlineStr">
        <is>
          <t>Элементы светоотражающие на барьерные ограждения</t>
        </is>
      </c>
      <c r="E34" s="239" t="inlineStr">
        <is>
          <t>шт</t>
        </is>
      </c>
      <c r="F34" s="239" t="n">
        <v>51</v>
      </c>
      <c r="G34" s="171" t="n">
        <v>29.86</v>
      </c>
      <c r="H34" s="55">
        <f>ROUND(F34*G34,2)</f>
        <v/>
      </c>
    </row>
    <row r="35">
      <c r="A35" s="56">
        <f>A34+1</f>
        <v/>
      </c>
      <c r="B35" s="106" t="n"/>
      <c r="C35" s="168" t="inlineStr">
        <is>
          <t>14.4.04.09-0023</t>
        </is>
      </c>
      <c r="D35" s="169" t="inlineStr">
        <is>
          <t>Эмаль ХВ-785 красно-коричневая (2 слоя)</t>
        </is>
      </c>
      <c r="E35" s="239" t="inlineStr">
        <is>
          <t>т</t>
        </is>
      </c>
      <c r="F35" s="239" t="n">
        <v>0.0478</v>
      </c>
      <c r="G35" s="171" t="n">
        <v>26835.36</v>
      </c>
      <c r="H35" s="55">
        <f>ROUND(F35*G35,2)</f>
        <v/>
      </c>
    </row>
    <row r="36" ht="25.5" customHeight="1" s="190">
      <c r="A36" s="56">
        <f>A35+1</f>
        <v/>
      </c>
      <c r="B36" s="106" t="n"/>
      <c r="C36" s="168" t="inlineStr">
        <is>
          <t>401-0126</t>
        </is>
      </c>
      <c r="D36" s="169" t="inlineStr">
        <is>
          <t>Бетон дорожный, крупность заполнителя более 40 мм, класс В15 (М200)</t>
        </is>
      </c>
      <c r="E36" s="239" t="inlineStr">
        <is>
          <t>м3</t>
        </is>
      </c>
      <c r="F36" s="239" t="n">
        <v>0.25</v>
      </c>
      <c r="G36" s="171" t="n">
        <v>690.45</v>
      </c>
      <c r="H36" s="55">
        <f>ROUND(F36*G36,2)</f>
        <v/>
      </c>
    </row>
    <row r="37">
      <c r="A37" s="56">
        <f>A36+1</f>
        <v/>
      </c>
      <c r="B37" s="106" t="n"/>
      <c r="C37" s="168" t="inlineStr">
        <is>
          <t>14.2.04.03-0015</t>
        </is>
      </c>
      <c r="D37" s="169" t="inlineStr">
        <is>
          <t>Смола эпоксидная марки: ЭД-20</t>
        </is>
      </c>
      <c r="E37" s="239" t="inlineStr">
        <is>
          <t>т</t>
        </is>
      </c>
      <c r="F37" s="239" t="n">
        <v>0.0031</v>
      </c>
      <c r="G37" s="171" t="n">
        <v>53562</v>
      </c>
      <c r="H37" s="55">
        <f>ROUND(F37*G37,2)</f>
        <v/>
      </c>
    </row>
    <row r="38">
      <c r="A38" s="56">
        <f>A37+1</f>
        <v/>
      </c>
      <c r="B38" s="106" t="n"/>
      <c r="C38" s="168" t="inlineStr">
        <is>
          <t>14.5.09.11-0101</t>
        </is>
      </c>
      <c r="D38" s="169" t="inlineStr">
        <is>
          <t>Уайт-спирит</t>
        </is>
      </c>
      <c r="E38" s="239" t="inlineStr">
        <is>
          <t>т</t>
        </is>
      </c>
      <c r="F38" s="239" t="n">
        <v>0.0231</v>
      </c>
      <c r="G38" s="171" t="n">
        <v>6667</v>
      </c>
      <c r="H38" s="55">
        <f>ROUND(F38*G38,2)</f>
        <v/>
      </c>
    </row>
    <row r="39">
      <c r="A39" s="56">
        <f>A38+1</f>
        <v/>
      </c>
      <c r="B39" s="106" t="n"/>
      <c r="C39" s="168" t="inlineStr">
        <is>
          <t>08.1.02.11-0001</t>
        </is>
      </c>
      <c r="D39" s="169" t="inlineStr">
        <is>
          <t>Поковки из квадратных заготовок, масса: 1,8 кг</t>
        </is>
      </c>
      <c r="E39" s="239" t="inlineStr">
        <is>
          <t>т</t>
        </is>
      </c>
      <c r="F39" s="239" t="n">
        <v>0.0245</v>
      </c>
      <c r="G39" s="171" t="n">
        <v>5989</v>
      </c>
      <c r="H39" s="55">
        <f>ROUND(F39*G39,2)</f>
        <v/>
      </c>
    </row>
    <row r="40">
      <c r="A40" s="56">
        <f>A39+1</f>
        <v/>
      </c>
      <c r="B40" s="106" t="n"/>
      <c r="C40" s="168" t="inlineStr">
        <is>
          <t>01.7.17.09-0062</t>
        </is>
      </c>
      <c r="D40" s="169" t="inlineStr">
        <is>
          <t>Сверла кольцевые алмазные диаметром: 20 мм</t>
        </is>
      </c>
      <c r="E40" s="239" t="inlineStr">
        <is>
          <t>шт</t>
        </is>
      </c>
      <c r="F40" s="239" t="n">
        <v>0.3211</v>
      </c>
      <c r="G40" s="171" t="n">
        <v>452.4</v>
      </c>
      <c r="H40" s="55">
        <f>ROUND(F40*G40,2)</f>
        <v/>
      </c>
    </row>
    <row r="41">
      <c r="A41" s="56">
        <f>A40+1</f>
        <v/>
      </c>
      <c r="B41" s="106" t="n"/>
      <c r="C41" s="168" t="inlineStr">
        <is>
          <t>04.3.01.09-0023</t>
        </is>
      </c>
      <c r="D41" s="169" t="inlineStr">
        <is>
          <t>Раствор готовый отделочный тяжелый,: цементный 1:3</t>
        </is>
      </c>
      <c r="E41" s="239" t="inlineStr">
        <is>
          <t>м3</t>
        </is>
      </c>
      <c r="F41" s="239" t="n">
        <v>0.221</v>
      </c>
      <c r="G41" s="171" t="n">
        <v>497</v>
      </c>
      <c r="H41" s="55">
        <f>ROUND(F41*G41,2)</f>
        <v/>
      </c>
    </row>
    <row r="42" ht="25.5" customHeight="1" s="190">
      <c r="A42" s="56">
        <f>A41+1</f>
        <v/>
      </c>
      <c r="B42" s="106" t="n"/>
      <c r="C42" s="168" t="inlineStr">
        <is>
          <t>12.2.03.12-0002</t>
        </is>
      </c>
      <c r="D42" s="169" t="inlineStr">
        <is>
          <t>Фольга алюминиевая: для технических целей мягкая, рулонная, толщиной 0,1 мм</t>
        </is>
      </c>
      <c r="E42" s="239" t="inlineStr">
        <is>
          <t>т</t>
        </is>
      </c>
      <c r="F42" s="239" t="n">
        <v>0.0005</v>
      </c>
      <c r="G42" s="171" t="n">
        <v>35490</v>
      </c>
      <c r="H42" s="55">
        <f>ROUND(F42*G42,2)</f>
        <v/>
      </c>
    </row>
    <row r="43">
      <c r="A43" s="56">
        <f>A42+1</f>
        <v/>
      </c>
      <c r="B43" s="106" t="n"/>
      <c r="C43" s="168" t="inlineStr">
        <is>
          <t>01.7.03.01-0001</t>
        </is>
      </c>
      <c r="D43" s="169" t="inlineStr">
        <is>
          <t>Вода</t>
        </is>
      </c>
      <c r="E43" s="239" t="inlineStr">
        <is>
          <t>м3</t>
        </is>
      </c>
      <c r="F43" s="239" t="n">
        <v>5.0099</v>
      </c>
      <c r="G43" s="171" t="n">
        <v>2.44</v>
      </c>
      <c r="H43" s="55">
        <f>ROUND(F43*G43,2)</f>
        <v/>
      </c>
    </row>
    <row r="44">
      <c r="A44" s="56">
        <f>A43+1</f>
        <v/>
      </c>
      <c r="B44" s="106" t="n"/>
      <c r="C44" s="168" t="inlineStr">
        <is>
          <t>01.2.01.02-0052</t>
        </is>
      </c>
      <c r="D44" s="169" t="inlineStr">
        <is>
          <t>Битумы нефтяные строительные марки: БН-70/30</t>
        </is>
      </c>
      <c r="E44" s="239" t="inlineStr">
        <is>
          <t>т</t>
        </is>
      </c>
      <c r="F44" s="239" t="n">
        <v>0.0077</v>
      </c>
      <c r="G44" s="171" t="n">
        <v>1525.5</v>
      </c>
      <c r="H44" s="55">
        <f>ROUND(F44*G44,2)</f>
        <v/>
      </c>
    </row>
    <row r="45">
      <c r="K45" s="144" t="n"/>
    </row>
    <row r="49">
      <c r="B49" s="191" t="inlineStr">
        <is>
          <t>Составил ______________________       Р.Р. Шагеева</t>
        </is>
      </c>
      <c r="C49" s="201" t="n"/>
    </row>
    <row r="50">
      <c r="B50" s="202" t="inlineStr">
        <is>
          <t xml:space="preserve">                         (подпись, инициалы, фамилия)</t>
        </is>
      </c>
      <c r="C50" s="201" t="n"/>
    </row>
    <row r="51">
      <c r="B51" s="191" t="n"/>
      <c r="C51" s="201" t="n"/>
    </row>
    <row r="52">
      <c r="B52" s="191" t="inlineStr">
        <is>
          <t>Проверил ______________________        А.В. Костянецкая</t>
        </is>
      </c>
      <c r="C52" s="201" t="n"/>
    </row>
    <row r="53">
      <c r="B53" s="202" t="inlineStr">
        <is>
          <t xml:space="preserve">                        (подпись, инициалы, фамилия)</t>
        </is>
      </c>
      <c r="C53" s="201" t="n"/>
    </row>
  </sheetData>
  <mergeCells count="16">
    <mergeCell ref="A30:E30"/>
    <mergeCell ref="A21:E21"/>
    <mergeCell ref="B9:B10"/>
    <mergeCell ref="A3:H3"/>
    <mergeCell ref="A12:E12"/>
    <mergeCell ref="E9:E10"/>
    <mergeCell ref="C9:C10"/>
    <mergeCell ref="F9:F10"/>
    <mergeCell ref="A7:H7"/>
    <mergeCell ref="A9:A10"/>
    <mergeCell ref="D9:D10"/>
    <mergeCell ref="C5:H5"/>
    <mergeCell ref="A2:H2"/>
    <mergeCell ref="A19:E19"/>
    <mergeCell ref="A32:E32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9.140625" customWidth="1" style="190" min="6" max="6"/>
    <col width="12.85546875" customWidth="1" style="190" min="7" max="7"/>
    <col width="9.140625" customWidth="1" style="190" min="8" max="11"/>
    <col width="13.5703125" customWidth="1" style="190" min="12" max="12"/>
    <col width="9.140625" customWidth="1" style="190" min="13" max="13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38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15" t="inlineStr">
        <is>
          <t>Ресурсная модель</t>
        </is>
      </c>
    </row>
    <row r="6">
      <c r="B6" s="18" t="n"/>
      <c r="C6" s="191" t="n"/>
      <c r="D6" s="191" t="n"/>
      <c r="E6" s="191" t="n"/>
    </row>
    <row r="7" ht="22.5" customHeight="1" s="190">
      <c r="B7" s="216">
        <f>'Прил.1 Сравнит табл'!B7</f>
        <v/>
      </c>
    </row>
    <row r="8">
      <c r="B8" s="217">
        <f>'Прил.1 Сравнит табл'!B9</f>
        <v/>
      </c>
    </row>
    <row r="9">
      <c r="B9" s="18" t="n"/>
      <c r="C9" s="191" t="n"/>
      <c r="D9" s="191" t="n"/>
      <c r="E9" s="191" t="n"/>
    </row>
    <row r="10" ht="51" customHeight="1" s="190">
      <c r="B10" s="222" t="inlineStr">
        <is>
          <t>Наименование</t>
        </is>
      </c>
      <c r="C10" s="222" t="inlineStr">
        <is>
          <t>Сметная стоимость в ценах на 01.01.2023
 (руб.)</t>
        </is>
      </c>
      <c r="D10" s="222" t="inlineStr">
        <is>
          <t>Удельный вес, 
(в СМР)</t>
        </is>
      </c>
      <c r="E10" s="222" t="inlineStr">
        <is>
          <t>Удельный вес, % 
(от всего по РМ)</t>
        </is>
      </c>
    </row>
    <row r="11">
      <c r="B11" s="180" t="inlineStr">
        <is>
          <t>Оплата труда рабочих</t>
        </is>
      </c>
      <c r="C11" s="196">
        <f>'Прил.5 Расчет СМР и ОБ'!J14</f>
        <v/>
      </c>
      <c r="D11" s="64">
        <f>C11/$C$24</f>
        <v/>
      </c>
      <c r="E11" s="64">
        <f>C11/$C$40</f>
        <v/>
      </c>
    </row>
    <row r="12">
      <c r="B12" s="180" t="inlineStr">
        <is>
          <t>Эксплуатация машин основных</t>
        </is>
      </c>
      <c r="C12" s="196">
        <f>'Прил.5 Расчет СМР и ОБ'!J21</f>
        <v/>
      </c>
      <c r="D12" s="64">
        <f>C12/$C$24</f>
        <v/>
      </c>
      <c r="E12" s="64">
        <f>C12/$C$40</f>
        <v/>
      </c>
    </row>
    <row r="13">
      <c r="B13" s="180" t="inlineStr">
        <is>
          <t>Эксплуатация машин прочих</t>
        </is>
      </c>
      <c r="C13" s="196">
        <f>'Прил.5 Расчет СМР и ОБ'!J28</f>
        <v/>
      </c>
      <c r="D13" s="64">
        <f>C13/$C$24</f>
        <v/>
      </c>
      <c r="E13" s="64">
        <f>C13/$C$40</f>
        <v/>
      </c>
    </row>
    <row r="14">
      <c r="B14" s="180" t="inlineStr">
        <is>
          <t>ЭКСПЛУАТАЦИЯ МАШИН, ВСЕГО:</t>
        </is>
      </c>
      <c r="C14" s="196">
        <f>C13+C12</f>
        <v/>
      </c>
      <c r="D14" s="64">
        <f>C14/$C$24</f>
        <v/>
      </c>
      <c r="E14" s="64">
        <f>C14/$C$40</f>
        <v/>
      </c>
    </row>
    <row r="15">
      <c r="B15" s="180" t="inlineStr">
        <is>
          <t>в том числе зарплата машинистов</t>
        </is>
      </c>
      <c r="C15" s="196">
        <f>'Прил.5 Расчет СМР и ОБ'!J16</f>
        <v/>
      </c>
      <c r="D15" s="64">
        <f>C15/$C$24</f>
        <v/>
      </c>
      <c r="E15" s="64">
        <f>C15/$C$40</f>
        <v/>
      </c>
    </row>
    <row r="16">
      <c r="B16" s="180" t="inlineStr">
        <is>
          <t>Материалы основные</t>
        </is>
      </c>
      <c r="C16" s="196">
        <f>'Прил.5 Расчет СМР и ОБ'!J39</f>
        <v/>
      </c>
      <c r="D16" s="64">
        <f>C16/$C$24</f>
        <v/>
      </c>
      <c r="E16" s="64">
        <f>C16/$C$40</f>
        <v/>
      </c>
    </row>
    <row r="17">
      <c r="B17" s="180" t="inlineStr">
        <is>
          <t>Материалы прочие</t>
        </is>
      </c>
      <c r="C17" s="196">
        <f>'Прил.5 Расчет СМР и ОБ'!J51</f>
        <v/>
      </c>
      <c r="D17" s="64">
        <f>C17/$C$24</f>
        <v/>
      </c>
      <c r="E17" s="64">
        <f>C17/$C$40</f>
        <v/>
      </c>
      <c r="G17" s="19" t="n"/>
    </row>
    <row r="18">
      <c r="B18" s="180" t="inlineStr">
        <is>
          <t>МАТЕРИАЛЫ, ВСЕГО:</t>
        </is>
      </c>
      <c r="C18" s="196">
        <f>C17+C16</f>
        <v/>
      </c>
      <c r="D18" s="64">
        <f>C18/$C$24</f>
        <v/>
      </c>
      <c r="E18" s="64">
        <f>C18/$C$40</f>
        <v/>
      </c>
    </row>
    <row r="19">
      <c r="B19" s="180" t="inlineStr">
        <is>
          <t>ИТОГО</t>
        </is>
      </c>
      <c r="C19" s="196">
        <f>C18+C14+C11</f>
        <v/>
      </c>
      <c r="D19" s="64" t="n"/>
      <c r="E19" s="180" t="n"/>
    </row>
    <row r="20">
      <c r="B20" s="180" t="inlineStr">
        <is>
          <t>Сметная прибыль, руб.</t>
        </is>
      </c>
      <c r="C20" s="196">
        <f>ROUND(C21*(C11+C15),2)</f>
        <v/>
      </c>
      <c r="D20" s="64">
        <f>C20/$C$24</f>
        <v/>
      </c>
      <c r="E20" s="64">
        <f>C20/$C$40</f>
        <v/>
      </c>
    </row>
    <row r="21">
      <c r="B21" s="180" t="inlineStr">
        <is>
          <t>Сметная прибыль, %</t>
        </is>
      </c>
      <c r="C21" s="67">
        <f>'Прил.5 Расчет СМР и ОБ'!E55</f>
        <v/>
      </c>
      <c r="D21" s="64" t="n"/>
      <c r="E21" s="180" t="n"/>
    </row>
    <row r="22">
      <c r="B22" s="180" t="inlineStr">
        <is>
          <t>Накладные расходы, руб.</t>
        </is>
      </c>
      <c r="C22" s="196">
        <f>ROUND(C23*(C11+C15),2)</f>
        <v/>
      </c>
      <c r="D22" s="64">
        <f>C22/$C$24</f>
        <v/>
      </c>
      <c r="E22" s="64">
        <f>C22/$C$40</f>
        <v/>
      </c>
    </row>
    <row r="23">
      <c r="B23" s="180" t="inlineStr">
        <is>
          <t>Накладные расходы, %</t>
        </is>
      </c>
      <c r="C23" s="67">
        <f>'Прил.5 Расчет СМР и ОБ'!E54</f>
        <v/>
      </c>
      <c r="D23" s="64" t="n"/>
      <c r="E23" s="180" t="n"/>
    </row>
    <row r="24">
      <c r="B24" s="180" t="inlineStr">
        <is>
          <t>ВСЕГО СМР с НР и СП</t>
        </is>
      </c>
      <c r="C24" s="196">
        <f>C19+C20+C22</f>
        <v/>
      </c>
      <c r="D24" s="64">
        <f>C24/$C$24</f>
        <v/>
      </c>
      <c r="E24" s="64">
        <f>C24/$C$40</f>
        <v/>
      </c>
    </row>
    <row r="25" ht="25.5" customHeight="1" s="190">
      <c r="B25" s="180" t="inlineStr">
        <is>
          <t>ВСЕГО стоимость оборудования, в том числе</t>
        </is>
      </c>
      <c r="C25" s="196">
        <f>'Прил.5 Расчет СМР и ОБ'!J35</f>
        <v/>
      </c>
      <c r="D25" s="64" t="n"/>
      <c r="E25" s="64">
        <f>C25/$C$40</f>
        <v/>
      </c>
    </row>
    <row r="26" ht="25.5" customHeight="1" s="190">
      <c r="B26" s="180" t="inlineStr">
        <is>
          <t>стоимость оборудования технологического</t>
        </is>
      </c>
      <c r="C26" s="196">
        <f>C25</f>
        <v/>
      </c>
      <c r="D26" s="64" t="n"/>
      <c r="E26" s="64">
        <f>C26/$C$40</f>
        <v/>
      </c>
    </row>
    <row r="27">
      <c r="B27" s="180" t="inlineStr">
        <is>
          <t>ИТОГО (СМР + ОБОРУДОВАНИЕ)</t>
        </is>
      </c>
      <c r="C27" s="174">
        <f>C24+C25</f>
        <v/>
      </c>
      <c r="D27" s="64" t="n"/>
      <c r="E27" s="64">
        <f>C27/$C$40</f>
        <v/>
      </c>
    </row>
    <row r="28" ht="33" customHeight="1" s="190">
      <c r="B28" s="180" t="inlineStr">
        <is>
          <t>ПРОЧ. ЗАТР., УЧТЕННЫЕ ПОКАЗАТЕЛЕМ,  в том числе</t>
        </is>
      </c>
      <c r="C28" s="180" t="n"/>
      <c r="D28" s="180" t="n"/>
      <c r="E28" s="180" t="n"/>
    </row>
    <row r="29" ht="25.5" customHeight="1" s="190">
      <c r="B29" s="180" t="inlineStr">
        <is>
          <t>Временные здания и сооружения - 3,3%</t>
        </is>
      </c>
      <c r="C29" s="174">
        <f>ROUND(C24*3.3%,2)</f>
        <v/>
      </c>
      <c r="D29" s="180" t="n"/>
      <c r="E29" s="64">
        <f>C29/$C$40</f>
        <v/>
      </c>
    </row>
    <row r="30" ht="38.25" customHeight="1" s="190">
      <c r="B30" s="180" t="inlineStr">
        <is>
          <t>Дополнительные затраты при производстве строительно-монтажных работ в зимнее время - 1%</t>
        </is>
      </c>
      <c r="C30" s="174">
        <f>ROUND((C24+C29)*1%,2)</f>
        <v/>
      </c>
      <c r="D30" s="180" t="n"/>
      <c r="E30" s="64">
        <f>C30/$C$40</f>
        <v/>
      </c>
    </row>
    <row r="31">
      <c r="B31" s="180" t="inlineStr">
        <is>
          <t>Пусконаладочные работы</t>
        </is>
      </c>
      <c r="C31" s="174">
        <f>ROUND(C25*7%*0.8,2)</f>
        <v/>
      </c>
      <c r="D31" s="180" t="n"/>
      <c r="E31" s="64">
        <f>C31/$C$40</f>
        <v/>
      </c>
    </row>
    <row r="32" ht="25.5" customHeight="1" s="190">
      <c r="B32" s="180" t="inlineStr">
        <is>
          <t>Затраты по перевозке работников к месту работы и обратно</t>
        </is>
      </c>
      <c r="C32" s="174" t="n">
        <v>0</v>
      </c>
      <c r="D32" s="180" t="n"/>
      <c r="E32" s="64">
        <f>C32/$C$40</f>
        <v/>
      </c>
    </row>
    <row r="33" ht="25.5" customHeight="1" s="190">
      <c r="B33" s="180" t="inlineStr">
        <is>
          <t>Затраты, связанные с осуществлением работ вахтовым методом</t>
        </is>
      </c>
      <c r="C33" s="174">
        <f>ROUND(C27*0%,2)</f>
        <v/>
      </c>
      <c r="D33" s="180" t="n"/>
      <c r="E33" s="64">
        <f>C33/$C$40</f>
        <v/>
      </c>
    </row>
    <row r="34" ht="51" customHeight="1" s="190">
      <c r="B34" s="18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4" t="n">
        <v>0</v>
      </c>
      <c r="D34" s="180" t="n"/>
      <c r="E34" s="64">
        <f>C34/$C$40</f>
        <v/>
      </c>
    </row>
    <row r="35" ht="76.5" customHeight="1" s="190">
      <c r="B35" s="18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4" t="n">
        <v>0</v>
      </c>
      <c r="D35" s="180" t="n"/>
      <c r="E35" s="64">
        <f>C35/$C$40</f>
        <v/>
      </c>
    </row>
    <row r="36" ht="25.5" customHeight="1" s="190">
      <c r="B36" s="180" t="inlineStr">
        <is>
          <t>Строительный контроль и содержание службы заказчика - 2,14%</t>
        </is>
      </c>
      <c r="C36" s="174">
        <f>ROUND((C27+C32+C33+C34+C35+C29+C31+C30)*2.14%,2)</f>
        <v/>
      </c>
      <c r="D36" s="180" t="n"/>
      <c r="E36" s="64">
        <f>C36/$C$40</f>
        <v/>
      </c>
      <c r="G36" s="107" t="n"/>
      <c r="L36" s="150" t="n"/>
    </row>
    <row r="37">
      <c r="B37" s="180" t="inlineStr">
        <is>
          <t>Авторский надзор - 0,2%</t>
        </is>
      </c>
      <c r="C37" s="174">
        <f>ROUND((C27+C32+C33+C34+C35+C29+C31+C30)*0.2%,2)</f>
        <v/>
      </c>
      <c r="D37" s="180" t="n"/>
      <c r="E37" s="64">
        <f>C37/$C$40</f>
        <v/>
      </c>
      <c r="G37" s="107" t="n"/>
      <c r="L37" s="150" t="n"/>
    </row>
    <row r="38" ht="38.25" customHeight="1" s="190">
      <c r="B38" s="180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180" t="n"/>
      <c r="E38" s="64">
        <f>C38/$C$40</f>
        <v/>
      </c>
    </row>
    <row r="39" ht="13.5" customHeight="1" s="190">
      <c r="B39" s="180" t="inlineStr">
        <is>
          <t>Непредвиденные расходы</t>
        </is>
      </c>
      <c r="C39" s="196">
        <f>ROUND(C38*3%,2)</f>
        <v/>
      </c>
      <c r="D39" s="180" t="n"/>
      <c r="E39" s="64">
        <f>C39/$C$38</f>
        <v/>
      </c>
    </row>
    <row r="40">
      <c r="B40" s="180" t="inlineStr">
        <is>
          <t>ВСЕГО:</t>
        </is>
      </c>
      <c r="C40" s="196">
        <f>C39+C38</f>
        <v/>
      </c>
      <c r="D40" s="180" t="n"/>
      <c r="E40" s="64">
        <f>C40/$C$40</f>
        <v/>
      </c>
    </row>
    <row r="41">
      <c r="B41" s="180" t="inlineStr">
        <is>
          <t>ИТОГО ПОКАЗАТЕЛЬ НА ЕД. ИЗМ.</t>
        </is>
      </c>
      <c r="C41" s="196">
        <f>C40/'Прил.5 Расчет СМР и ОБ'!E58</f>
        <v/>
      </c>
      <c r="D41" s="180" t="n"/>
      <c r="E41" s="180" t="n"/>
    </row>
    <row r="42">
      <c r="B42" s="198" t="n"/>
      <c r="C42" s="191" t="n"/>
      <c r="D42" s="191" t="n"/>
      <c r="E42" s="191" t="n"/>
    </row>
    <row r="43">
      <c r="B43" s="191" t="inlineStr">
        <is>
          <t>Составил ______________________       Р.Р. Шагеева</t>
        </is>
      </c>
      <c r="C43" s="201" t="n"/>
      <c r="E43" s="191" t="n"/>
    </row>
    <row r="44">
      <c r="B44" s="202" t="inlineStr">
        <is>
          <t xml:space="preserve">                         (подпись, инициалы, фамилия)</t>
        </is>
      </c>
      <c r="C44" s="201" t="n"/>
      <c r="E44" s="191" t="n"/>
    </row>
    <row r="45">
      <c r="B45" s="191" t="n"/>
      <c r="C45" s="201" t="n"/>
      <c r="D45" s="191" t="n"/>
      <c r="E45" s="191" t="n"/>
    </row>
    <row r="46">
      <c r="B46" s="191" t="inlineStr">
        <is>
          <t>Проверил ______________________        А.В. Костянецкая</t>
        </is>
      </c>
      <c r="C46" s="201" t="n"/>
      <c r="D46" s="191" t="n"/>
      <c r="E46" s="191" t="n"/>
    </row>
    <row r="47">
      <c r="B47" s="202" t="inlineStr">
        <is>
          <t xml:space="preserve">                        (подпись, инициалы, фамилия)</t>
        </is>
      </c>
      <c r="C47" s="201" t="n"/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5"/>
  <sheetViews>
    <sheetView view="pageBreakPreview" topLeftCell="A50" zoomScaleSheetLayoutView="100" workbookViewId="0">
      <selection activeCell="F191" sqref="F191"/>
    </sheetView>
  </sheetViews>
  <sheetFormatPr baseColWidth="8" defaultColWidth="9.140625" defaultRowHeight="15" outlineLevelRow="1"/>
  <cols>
    <col width="5.7109375" customWidth="1" style="201" min="1" max="1"/>
    <col width="22.5703125" customWidth="1" style="201" min="2" max="2"/>
    <col width="39.140625" customWidth="1" style="201" min="3" max="3"/>
    <col width="10.7109375" customWidth="1" style="201" min="4" max="4"/>
    <col width="12.7109375" customWidth="1" style="201" min="5" max="5"/>
    <col width="14.5703125" customWidth="1" style="201" min="6" max="6"/>
    <col width="18" customWidth="1" style="201" min="7" max="7"/>
    <col width="12.7109375" customWidth="1" style="201" min="8" max="8"/>
    <col width="14.5703125" customWidth="1" style="201" min="9" max="9"/>
    <col width="15.140625" customWidth="1" style="201" min="10" max="10"/>
    <col width="3.7109375" customWidth="1" style="201" min="11" max="11"/>
    <col width="9.42578125" customWidth="1" style="201" min="12" max="12"/>
    <col width="10.85546875" customWidth="1" style="201" min="13" max="13"/>
    <col width="9.140625" customWidth="1" style="201" min="14" max="14"/>
    <col width="9.140625" customWidth="1" style="190" min="15" max="15"/>
  </cols>
  <sheetData>
    <row r="2" ht="15.75" customHeight="1" s="190">
      <c r="I2" s="134" t="n"/>
      <c r="J2" s="114" t="inlineStr">
        <is>
          <t>Приложение №5</t>
        </is>
      </c>
    </row>
    <row r="4" ht="12.75" customFormat="1" customHeight="1" s="191">
      <c r="A4" s="215" t="inlineStr">
        <is>
          <t>Расчет стоимости СМР и оборудования</t>
        </is>
      </c>
      <c r="I4" s="215" t="n"/>
      <c r="J4" s="215" t="n"/>
    </row>
    <row r="5" ht="12.75" customFormat="1" customHeight="1" s="191">
      <c r="A5" s="215" t="n"/>
      <c r="B5" s="215" t="n"/>
      <c r="C5" s="21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191">
      <c r="A6" s="220" t="inlineStr">
        <is>
          <t>Наименование разрабатываемого показателя УНЦ</t>
        </is>
      </c>
      <c r="D6" s="166" t="inlineStr">
        <is>
          <t>Устройство защиты опор ВЛ от наезда транспорта</t>
        </is>
      </c>
      <c r="E6" s="165" t="n"/>
      <c r="F6" s="165" t="n"/>
      <c r="G6" s="165" t="n"/>
      <c r="H6" s="165" t="n"/>
      <c r="I6" s="165" t="n"/>
      <c r="J6" s="165" t="n"/>
    </row>
    <row r="7" ht="12.75" customFormat="1" customHeight="1" s="191">
      <c r="A7" s="220">
        <f>'Прил.1 Сравнит табл'!B9</f>
        <v/>
      </c>
      <c r="I7" s="216" t="n"/>
      <c r="J7" s="216" t="n"/>
    </row>
    <row r="8" ht="12.75" customFormat="1" customHeight="1" s="191"/>
    <row r="9" ht="29.25" customHeight="1" s="190">
      <c r="A9" s="222" t="inlineStr">
        <is>
          <t>№ пп.</t>
        </is>
      </c>
      <c r="B9" s="222" t="inlineStr">
        <is>
          <t>Код ресурса</t>
        </is>
      </c>
      <c r="C9" s="222" t="inlineStr">
        <is>
          <t>Наименование</t>
        </is>
      </c>
      <c r="D9" s="222" t="inlineStr">
        <is>
          <t>Ед. изм.</t>
        </is>
      </c>
      <c r="E9" s="222" t="inlineStr">
        <is>
          <t>Кол-во единиц по проектным данным</t>
        </is>
      </c>
      <c r="F9" s="222" t="inlineStr">
        <is>
          <t>Сметная стоимость в ценах на 01.01.2000 (руб.)</t>
        </is>
      </c>
      <c r="G9" s="246" t="n"/>
      <c r="H9" s="222" t="inlineStr">
        <is>
          <t>Удельный вес, %</t>
        </is>
      </c>
      <c r="I9" s="222" t="inlineStr">
        <is>
          <t>Сметная стоимость в ценах на 01.01.2023 (руб.)</t>
        </is>
      </c>
      <c r="J9" s="246" t="n"/>
    </row>
    <row r="10" ht="33.75" customHeight="1" s="190">
      <c r="A10" s="248" t="n"/>
      <c r="B10" s="248" t="n"/>
      <c r="C10" s="248" t="n"/>
      <c r="D10" s="248" t="n"/>
      <c r="E10" s="248" t="n"/>
      <c r="F10" s="222" t="inlineStr">
        <is>
          <t>на ед. изм.</t>
        </is>
      </c>
      <c r="G10" s="222" t="inlineStr">
        <is>
          <t>общая</t>
        </is>
      </c>
      <c r="H10" s="248" t="n"/>
      <c r="I10" s="222" t="inlineStr">
        <is>
          <t>на ед. изм.</t>
        </is>
      </c>
      <c r="J10" s="222" t="inlineStr">
        <is>
          <t>общая</t>
        </is>
      </c>
    </row>
    <row r="11">
      <c r="A11" s="222" t="n">
        <v>1</v>
      </c>
      <c r="B11" s="222" t="n">
        <v>2</v>
      </c>
      <c r="C11" s="222" t="n">
        <v>3</v>
      </c>
      <c r="D11" s="222" t="n">
        <v>4</v>
      </c>
      <c r="E11" s="222" t="n">
        <v>5</v>
      </c>
      <c r="F11" s="222" t="n">
        <v>6</v>
      </c>
      <c r="G11" s="222" t="n">
        <v>7</v>
      </c>
      <c r="H11" s="222" t="n">
        <v>8</v>
      </c>
      <c r="I11" s="222" t="n">
        <v>9</v>
      </c>
      <c r="J11" s="222" t="n">
        <v>10</v>
      </c>
    </row>
    <row r="12">
      <c r="A12" s="222" t="n"/>
      <c r="B12" s="211" t="inlineStr">
        <is>
          <t>Затраты труда рабочих-строителей</t>
        </is>
      </c>
      <c r="C12" s="245" t="n"/>
      <c r="D12" s="245" t="n"/>
      <c r="E12" s="245" t="n"/>
      <c r="F12" s="245" t="n"/>
      <c r="G12" s="245" t="n"/>
      <c r="H12" s="246" t="n"/>
      <c r="I12" s="74" t="n"/>
      <c r="J12" s="74" t="n"/>
    </row>
    <row r="13" ht="25.5" customHeight="1" s="190">
      <c r="A13" s="222" t="n">
        <v>1</v>
      </c>
      <c r="B13" s="104" t="inlineStr">
        <is>
          <t>1-3-7</t>
        </is>
      </c>
      <c r="C13" s="155" t="inlineStr">
        <is>
          <t>Затраты труда рабочих (средний разряд работы 3,7)</t>
        </is>
      </c>
      <c r="D13" s="222" t="inlineStr">
        <is>
          <t>чел.-ч.</t>
        </is>
      </c>
      <c r="E13" s="162" t="n">
        <v>494.15247578041</v>
      </c>
      <c r="F13" s="173">
        <f>G13/E13</f>
        <v/>
      </c>
      <c r="G13" s="163" t="n">
        <v>4590.6765</v>
      </c>
      <c r="H13" s="225">
        <f>G13/G14</f>
        <v/>
      </c>
      <c r="I13" s="173">
        <f>ФОТр.тек.!E13</f>
        <v/>
      </c>
      <c r="J13" s="173">
        <f>ROUND(I13*E13,2)</f>
        <v/>
      </c>
    </row>
    <row r="14" ht="25.5" customFormat="1" customHeight="1" s="201">
      <c r="A14" s="222" t="n"/>
      <c r="B14" s="222" t="n"/>
      <c r="C14" s="211" t="inlineStr">
        <is>
          <t>Итого по разделу "Затраты труда рабочих-строителей"</t>
        </is>
      </c>
      <c r="D14" s="222" t="inlineStr">
        <is>
          <t>чел.-ч.</t>
        </is>
      </c>
      <c r="E14" s="102">
        <f>SUM(E13:E13)</f>
        <v/>
      </c>
      <c r="F14" s="173" t="n"/>
      <c r="G14" s="173">
        <f>SUM(G13:G13)</f>
        <v/>
      </c>
      <c r="H14" s="225" t="n">
        <v>1</v>
      </c>
      <c r="I14" s="173" t="n"/>
      <c r="J14" s="173">
        <f>SUM(J13:J13)</f>
        <v/>
      </c>
      <c r="K14" s="78" t="n"/>
      <c r="L14" s="149" t="n"/>
    </row>
    <row r="15" ht="14.25" customFormat="1" customHeight="1" s="201">
      <c r="A15" s="222" t="n"/>
      <c r="B15" s="221" t="inlineStr">
        <is>
          <t>Затраты труда машинистов</t>
        </is>
      </c>
      <c r="C15" s="245" t="n"/>
      <c r="D15" s="245" t="n"/>
      <c r="E15" s="245" t="n"/>
      <c r="F15" s="245" t="n"/>
      <c r="G15" s="245" t="n"/>
      <c r="H15" s="246" t="n"/>
      <c r="I15" s="74" t="n"/>
      <c r="J15" s="74" t="n"/>
    </row>
    <row r="16" ht="14.25" customFormat="1" customHeight="1" s="201">
      <c r="A16" s="222" t="n">
        <v>2</v>
      </c>
      <c r="B16" s="222" t="n">
        <v>2</v>
      </c>
      <c r="C16" s="221" t="inlineStr">
        <is>
          <t>Затраты труда машинистов</t>
        </is>
      </c>
      <c r="D16" s="222" t="inlineStr">
        <is>
          <t>чел.-ч.</t>
        </is>
      </c>
      <c r="E16" s="79" t="n">
        <v>23.13</v>
      </c>
      <c r="F16" s="173">
        <f>G16/E16</f>
        <v/>
      </c>
      <c r="G16" s="173" t="n">
        <v>291.6</v>
      </c>
      <c r="H16" s="225" t="n">
        <v>1</v>
      </c>
      <c r="I16" s="173">
        <f>ROUND(F16*Прил.10!D10,2)</f>
        <v/>
      </c>
      <c r="J16" s="173">
        <f>ROUND(I16*E16,2)</f>
        <v/>
      </c>
      <c r="L16" s="149" t="n"/>
    </row>
    <row r="17" ht="14.25" customFormat="1" customHeight="1" s="201">
      <c r="A17" s="222" t="n"/>
      <c r="B17" s="211" t="inlineStr">
        <is>
          <t>Машины и механизмы</t>
        </is>
      </c>
      <c r="C17" s="245" t="n"/>
      <c r="D17" s="245" t="n"/>
      <c r="E17" s="245" t="n"/>
      <c r="F17" s="245" t="n"/>
      <c r="G17" s="245" t="n"/>
      <c r="H17" s="246" t="n"/>
      <c r="I17" s="225" t="n"/>
      <c r="J17" s="225" t="n"/>
    </row>
    <row r="18" ht="14.25" customFormat="1" customHeight="1" s="201">
      <c r="A18" s="222" t="n"/>
      <c r="B18" s="221" t="inlineStr">
        <is>
          <t>Основные машины и механизмы</t>
        </is>
      </c>
      <c r="C18" s="245" t="n"/>
      <c r="D18" s="245" t="n"/>
      <c r="E18" s="245" t="n"/>
      <c r="F18" s="245" t="n"/>
      <c r="G18" s="245" t="n"/>
      <c r="H18" s="246" t="n"/>
      <c r="I18" s="74" t="n"/>
      <c r="J18" s="74" t="n"/>
    </row>
    <row r="19" ht="25.5" customFormat="1" customHeight="1" s="201">
      <c r="A19" s="222" t="n">
        <v>3</v>
      </c>
      <c r="B19" s="104" t="inlineStr">
        <is>
          <t>91.21.22-391</t>
        </is>
      </c>
      <c r="C19" s="155" t="inlineStr">
        <is>
          <t>Стенорезная машина, максимальная глубина резки 730 мм</t>
        </is>
      </c>
      <c r="D19" s="104" t="inlineStr">
        <is>
          <t>маш.час</t>
        </is>
      </c>
      <c r="E19" s="162" t="n">
        <v>80.41</v>
      </c>
      <c r="F19" s="163" t="n">
        <v>149.62</v>
      </c>
      <c r="G19" s="163">
        <f>E19*F19</f>
        <v/>
      </c>
      <c r="H19" s="225">
        <f>G19/$G$29</f>
        <v/>
      </c>
      <c r="I19" s="173">
        <f>ROUND(F19*Прил.10!$D$11,2)</f>
        <v/>
      </c>
      <c r="J19" s="173">
        <f>ROUND(I19*E19,2)</f>
        <v/>
      </c>
    </row>
    <row r="20" ht="25.5" customFormat="1" customHeight="1" s="201">
      <c r="A20" s="222" t="n">
        <v>4</v>
      </c>
      <c r="B20" s="104" t="inlineStr">
        <is>
          <t>91.05.05-014</t>
        </is>
      </c>
      <c r="C20" s="155" t="inlineStr">
        <is>
          <t>Краны на автомобильном ходу, грузоподъемность 10 т</t>
        </is>
      </c>
      <c r="D20" s="104" t="inlineStr">
        <is>
          <t>маш.час</t>
        </is>
      </c>
      <c r="E20" s="162" t="n">
        <v>12.39</v>
      </c>
      <c r="F20" s="163" t="n">
        <v>111.99</v>
      </c>
      <c r="G20" s="163">
        <f>E20*F20</f>
        <v/>
      </c>
      <c r="H20" s="225">
        <f>G20/$G$29</f>
        <v/>
      </c>
      <c r="I20" s="173">
        <f>ROUND(F20*Прил.10!$D$11,2)</f>
        <v/>
      </c>
      <c r="J20" s="173">
        <f>ROUND(I20*E20,2)</f>
        <v/>
      </c>
    </row>
    <row r="21" ht="14.25" customFormat="1" customHeight="1" s="201">
      <c r="A21" s="222" t="n"/>
      <c r="B21" s="222" t="n"/>
      <c r="C21" s="221" t="inlineStr">
        <is>
          <t>Итого основные машины и механизмы</t>
        </is>
      </c>
      <c r="D21" s="222" t="n"/>
      <c r="E21" s="83" t="n"/>
      <c r="F21" s="173" t="n"/>
      <c r="G21" s="173">
        <f>SUM(G19:G20)</f>
        <v/>
      </c>
      <c r="H21" s="225">
        <f>G21/G29</f>
        <v/>
      </c>
      <c r="I21" s="173" t="n"/>
      <c r="J21" s="173">
        <f>SUM(J19:J20)</f>
        <v/>
      </c>
      <c r="L21" s="78" t="n"/>
    </row>
    <row r="22" outlineLevel="1" ht="25.5" customFormat="1" customHeight="1" s="201">
      <c r="A22" s="222" t="n">
        <v>5</v>
      </c>
      <c r="B22" s="104" t="inlineStr">
        <is>
          <t>91.04.01-031</t>
        </is>
      </c>
      <c r="C22" s="155" t="inlineStr">
        <is>
          <t>Машины бурильно-крановые: на автомобиле, глубина бурения 3,5 м</t>
        </is>
      </c>
      <c r="D22" s="104" t="inlineStr">
        <is>
          <t>маш.час</t>
        </is>
      </c>
      <c r="E22" s="162" t="n">
        <v>6.98</v>
      </c>
      <c r="F22" s="163" t="n">
        <v>138.54</v>
      </c>
      <c r="G22" s="163">
        <f>E22*F22</f>
        <v/>
      </c>
      <c r="H22" s="225">
        <f>G22/$G$29</f>
        <v/>
      </c>
      <c r="I22" s="173">
        <f>ROUND(F22*Прил.10!$D$11,2)</f>
        <v/>
      </c>
      <c r="J22" s="173">
        <f>ROUND(I22*E22,2)</f>
        <v/>
      </c>
      <c r="L22" s="78" t="n"/>
    </row>
    <row r="23" outlineLevel="1" ht="25.5" customFormat="1" customHeight="1" s="201">
      <c r="A23" s="222" t="n">
        <v>6</v>
      </c>
      <c r="B23" s="104" t="inlineStr">
        <is>
          <t>91.21.20-013</t>
        </is>
      </c>
      <c r="C23" s="155" t="inlineStr">
        <is>
          <t>Установки для сверления отверстий в железобетоне диаметром до 160 мм</t>
        </is>
      </c>
      <c r="D23" s="104" t="inlineStr">
        <is>
          <t>маш.час</t>
        </is>
      </c>
      <c r="E23" s="162" t="n">
        <v>2.8</v>
      </c>
      <c r="F23" s="163" t="n">
        <v>27.42</v>
      </c>
      <c r="G23" s="163">
        <f>E23*F23</f>
        <v/>
      </c>
      <c r="H23" s="225">
        <f>G23/$G$29</f>
        <v/>
      </c>
      <c r="I23" s="173">
        <f>ROUND(F23*Прил.10!$D$11,2)</f>
        <v/>
      </c>
      <c r="J23" s="173">
        <f>ROUND(I23*E23,2)</f>
        <v/>
      </c>
      <c r="L23" s="78" t="n"/>
    </row>
    <row r="24" outlineLevel="1" ht="25.5" customFormat="1" customHeight="1" s="201">
      <c r="A24" s="222" t="n">
        <v>7</v>
      </c>
      <c r="B24" s="104" t="inlineStr">
        <is>
          <t>91.14.02-001</t>
        </is>
      </c>
      <c r="C24" s="155" t="inlineStr">
        <is>
          <t>Автомобили бортовые, грузоподъемность: до 5 т</t>
        </is>
      </c>
      <c r="D24" s="104" t="inlineStr">
        <is>
          <t>маш.час</t>
        </is>
      </c>
      <c r="E24" s="162" t="n">
        <v>0.93</v>
      </c>
      <c r="F24" s="163" t="n">
        <v>65.70999999999999</v>
      </c>
      <c r="G24" s="163">
        <f>E24*F24</f>
        <v/>
      </c>
      <c r="H24" s="225">
        <f>G24/$G$29</f>
        <v/>
      </c>
      <c r="I24" s="173">
        <f>ROUND(F24*Прил.10!$D$11,2)</f>
        <v/>
      </c>
      <c r="J24" s="173">
        <f>ROUND(I24*E24,2)</f>
        <v/>
      </c>
      <c r="L24" s="78" t="n"/>
    </row>
    <row r="25" outlineLevel="1" ht="38.25" customFormat="1" customHeight="1" s="201">
      <c r="A25" s="222" t="n">
        <v>8</v>
      </c>
      <c r="B25" s="104" t="inlineStr">
        <is>
          <t>91.21.01-012</t>
        </is>
      </c>
      <c r="C25" s="155" t="inlineStr">
        <is>
          <t>Агрегаты окрасочные высокого давления для окраски поверхностей конструкций, мощность 1 кВт</t>
        </is>
      </c>
      <c r="D25" s="104" t="inlineStr">
        <is>
          <t>маш.час</t>
        </is>
      </c>
      <c r="E25" s="162" t="n">
        <v>1.57</v>
      </c>
      <c r="F25" s="163" t="n">
        <v>6.82</v>
      </c>
      <c r="G25" s="163">
        <f>E25*F25</f>
        <v/>
      </c>
      <c r="H25" s="225">
        <f>G25/$G$29</f>
        <v/>
      </c>
      <c r="I25" s="173">
        <f>ROUND(F25*Прил.10!$D$11,2)</f>
        <v/>
      </c>
      <c r="J25" s="173">
        <f>ROUND(I25*E25,2)</f>
        <v/>
      </c>
      <c r="L25" s="78" t="n"/>
    </row>
    <row r="26" outlineLevel="1" ht="14.25" customFormat="1" customHeight="1" s="201">
      <c r="A26" s="222" t="n">
        <v>9</v>
      </c>
      <c r="B26" s="104" t="inlineStr">
        <is>
          <t>91.06.05-011</t>
        </is>
      </c>
      <c r="C26" s="155" t="inlineStr">
        <is>
          <t>Погрузчик, грузоподъемность 5 т</t>
        </is>
      </c>
      <c r="D26" s="104" t="inlineStr">
        <is>
          <t>маш.час</t>
        </is>
      </c>
      <c r="E26" s="162" t="n">
        <v>0.01</v>
      </c>
      <c r="F26" s="163" t="n">
        <v>89.98999999999999</v>
      </c>
      <c r="G26" s="163">
        <f>E26*F26</f>
        <v/>
      </c>
      <c r="H26" s="225">
        <f>G26/$G$29</f>
        <v/>
      </c>
      <c r="I26" s="173">
        <f>ROUND(F26*Прил.10!$D$11,2)</f>
        <v/>
      </c>
      <c r="J26" s="173">
        <f>ROUND(I26*E26,2)</f>
        <v/>
      </c>
      <c r="L26" s="78" t="n"/>
    </row>
    <row r="27" outlineLevel="1" ht="25.5" customFormat="1" customHeight="1" s="201">
      <c r="A27" s="222" t="n">
        <v>10</v>
      </c>
      <c r="B27" s="104" t="inlineStr">
        <is>
          <t>91.06.03-060</t>
        </is>
      </c>
      <c r="C27" s="155" t="inlineStr">
        <is>
          <t>Лебедки электрические тяговым усилием: до 5,79 кН (0,59 т)</t>
        </is>
      </c>
      <c r="D27" s="104" t="inlineStr">
        <is>
          <t>маш.час</t>
        </is>
      </c>
      <c r="E27" s="162" t="n">
        <v>0.01</v>
      </c>
      <c r="F27" s="163" t="n">
        <v>1.7</v>
      </c>
      <c r="G27" s="163">
        <f>E27*F27</f>
        <v/>
      </c>
      <c r="H27" s="225">
        <f>G27/$G$29</f>
        <v/>
      </c>
      <c r="I27" s="173">
        <f>ROUND(F27*Прил.10!$D$11,2)</f>
        <v/>
      </c>
      <c r="J27" s="173">
        <f>ROUND(I27*E27,2)</f>
        <v/>
      </c>
      <c r="L27" s="78" t="n"/>
    </row>
    <row r="28" ht="14.25" customFormat="1" customHeight="1" s="201">
      <c r="A28" s="222" t="n"/>
      <c r="B28" s="222" t="n"/>
      <c r="C28" s="221" t="inlineStr">
        <is>
          <t>Итого прочие машины и механизмы</t>
        </is>
      </c>
      <c r="D28" s="222" t="n"/>
      <c r="E28" s="223" t="n"/>
      <c r="F28" s="173" t="n"/>
      <c r="G28" s="173">
        <f>SUM(G22:G27)</f>
        <v/>
      </c>
      <c r="H28" s="225">
        <f>G28/G29</f>
        <v/>
      </c>
      <c r="I28" s="173" t="n"/>
      <c r="J28" s="173">
        <f>SUM(J22:J27)</f>
        <v/>
      </c>
      <c r="K28" s="78" t="n"/>
      <c r="L28" s="78" t="n"/>
    </row>
    <row r="29" ht="25.5" customFormat="1" customHeight="1" s="201">
      <c r="A29" s="222" t="n"/>
      <c r="B29" s="226" t="n"/>
      <c r="C29" s="86" t="inlineStr">
        <is>
          <t>Итого по разделу «Машины и механизмы»</t>
        </is>
      </c>
      <c r="D29" s="226" t="n"/>
      <c r="E29" s="87" t="n"/>
      <c r="F29" s="88" t="n"/>
      <c r="G29" s="88">
        <f>G21+G28</f>
        <v/>
      </c>
      <c r="H29" s="89" t="n">
        <v>1</v>
      </c>
      <c r="I29" s="88" t="n"/>
      <c r="J29" s="88">
        <f>J21+J28</f>
        <v/>
      </c>
      <c r="L29" s="149" t="n"/>
    </row>
    <row r="30" s="190">
      <c r="A30" s="218" t="n"/>
      <c r="B30" s="211" t="inlineStr">
        <is>
          <t xml:space="preserve">Оборудование </t>
        </is>
      </c>
      <c r="C30" s="245" t="n"/>
      <c r="D30" s="245" t="n"/>
      <c r="E30" s="245" t="n"/>
      <c r="F30" s="245" t="n"/>
      <c r="G30" s="245" t="n"/>
      <c r="H30" s="245" t="n"/>
      <c r="I30" s="245" t="n"/>
      <c r="J30" s="246" t="n"/>
      <c r="K30" s="201" t="n"/>
      <c r="L30" s="201" t="n"/>
      <c r="M30" s="201" t="n"/>
      <c r="N30" s="201" t="n"/>
    </row>
    <row r="31" s="190">
      <c r="A31" s="222" t="n"/>
      <c r="B31" s="229" t="inlineStr">
        <is>
          <t>Основное оборудование</t>
        </is>
      </c>
      <c r="K31" s="201" t="n"/>
      <c r="L31" s="201" t="n"/>
      <c r="M31" s="201" t="n"/>
      <c r="N31" s="201" t="n"/>
    </row>
    <row r="32" s="190">
      <c r="A32" s="222" t="n"/>
      <c r="B32" s="222" t="n"/>
      <c r="C32" s="221" t="inlineStr">
        <is>
          <t>Итого основное оборудование</t>
        </is>
      </c>
      <c r="D32" s="222" t="n"/>
      <c r="E32" s="79" t="n"/>
      <c r="F32" s="224" t="n"/>
      <c r="G32" s="173" t="n">
        <v>0</v>
      </c>
      <c r="H32" s="225" t="n">
        <v>0</v>
      </c>
      <c r="I32" s="173" t="n"/>
      <c r="J32" s="173" t="n">
        <v>0</v>
      </c>
      <c r="K32" s="78" t="n"/>
      <c r="L32" s="201" t="n"/>
      <c r="M32" s="201" t="n"/>
      <c r="N32" s="201" t="n"/>
    </row>
    <row r="33" s="190">
      <c r="A33" s="222" t="n"/>
      <c r="B33" s="222" t="n"/>
      <c r="C33" s="221" t="inlineStr">
        <is>
          <t>Итого прочее оборудование</t>
        </is>
      </c>
      <c r="D33" s="222" t="n"/>
      <c r="E33" s="223" t="n"/>
      <c r="F33" s="224" t="n"/>
      <c r="G33" s="173" t="n">
        <v>0</v>
      </c>
      <c r="H33" s="225" t="n">
        <v>0</v>
      </c>
      <c r="I33" s="173" t="n"/>
      <c r="J33" s="173" t="n">
        <v>0</v>
      </c>
      <c r="K33" s="78" t="n"/>
      <c r="L33" s="201" t="n"/>
      <c r="M33" s="201" t="n"/>
      <c r="N33" s="201" t="n"/>
    </row>
    <row r="34" s="190">
      <c r="A34" s="222" t="n"/>
      <c r="B34" s="222" t="n"/>
      <c r="C34" s="211" t="inlineStr">
        <is>
          <t>Итого по разделу «Оборудование»</t>
        </is>
      </c>
      <c r="D34" s="222" t="n"/>
      <c r="E34" s="223" t="n"/>
      <c r="F34" s="224" t="n"/>
      <c r="G34" s="173">
        <f>Прил.3!H30</f>
        <v/>
      </c>
      <c r="H34" s="225" t="n">
        <v>0</v>
      </c>
      <c r="I34" s="173" t="n"/>
      <c r="J34" s="173" t="n">
        <v>0</v>
      </c>
      <c r="K34" s="78" t="n"/>
      <c r="L34" s="201" t="n"/>
      <c r="M34" s="201" t="n"/>
      <c r="N34" s="201" t="n"/>
    </row>
    <row r="35" ht="25.5" customHeight="1" s="190">
      <c r="A35" s="222" t="n"/>
      <c r="B35" s="222" t="n"/>
      <c r="C35" s="221" t="inlineStr">
        <is>
          <t>в том числе технологическое оборудование</t>
        </is>
      </c>
      <c r="D35" s="222" t="n"/>
      <c r="E35" s="223" t="n"/>
      <c r="F35" s="224" t="n"/>
      <c r="G35" s="173" t="n">
        <v>0</v>
      </c>
      <c r="H35" s="225" t="n">
        <v>0</v>
      </c>
      <c r="I35" s="173" t="n"/>
      <c r="J35" s="173">
        <f>ROUND(G35*Прил.10!$D$13,2)</f>
        <v/>
      </c>
      <c r="K35" s="78" t="n"/>
      <c r="L35" s="201" t="n"/>
      <c r="M35" s="201" t="n"/>
      <c r="N35" s="201" t="n"/>
    </row>
    <row r="36" ht="14.25" customFormat="1" customHeight="1" s="201">
      <c r="A36" s="222" t="n"/>
      <c r="B36" s="249" t="inlineStr">
        <is>
          <t>Материалы</t>
        </is>
      </c>
      <c r="J36" s="250" t="n"/>
      <c r="K36" s="78" t="n"/>
    </row>
    <row r="37" ht="14.25" customFormat="1" customHeight="1" s="201">
      <c r="A37" s="222" t="n"/>
      <c r="B37" s="221" t="inlineStr">
        <is>
          <t>Основные материалы</t>
        </is>
      </c>
      <c r="C37" s="245" t="n"/>
      <c r="D37" s="245" t="n"/>
      <c r="E37" s="245" t="n"/>
      <c r="F37" s="245" t="n"/>
      <c r="G37" s="245" t="n"/>
      <c r="H37" s="246" t="n"/>
      <c r="I37" s="225" t="n"/>
      <c r="J37" s="225" t="n"/>
    </row>
    <row r="38" ht="51" customFormat="1" customHeight="1" s="201">
      <c r="A38" s="222" t="n">
        <v>11</v>
      </c>
      <c r="B38" s="104" t="inlineStr">
        <is>
          <t>05.1.07.15-0002</t>
        </is>
      </c>
      <c r="C38" s="155" t="inlineStr">
        <is>
          <t>Ограждения парапетного типа для автомобильных дорог БП1И, массой до 3,0 т (прим. Блок парапетного ограждения ТБКБ-К, ТБКБ-Н, ТБКБ)</t>
        </is>
      </c>
      <c r="D38" s="104" t="inlineStr">
        <is>
          <t>м3</t>
        </is>
      </c>
      <c r="E38" s="104" t="n">
        <v>35.26</v>
      </c>
      <c r="F38" s="156" t="n">
        <v>1170</v>
      </c>
      <c r="G38" s="163">
        <f>E38*F38</f>
        <v/>
      </c>
      <c r="H38" s="225">
        <f>G38/$G$52</f>
        <v/>
      </c>
      <c r="I38" s="173">
        <f>ROUND(F38*Прил.10!$D$12,2)</f>
        <v/>
      </c>
      <c r="J38" s="173">
        <f>ROUND(I38*E38,2)</f>
        <v/>
      </c>
    </row>
    <row r="39" ht="14.25" customFormat="1" customHeight="1" s="201">
      <c r="A39" s="222" t="n"/>
      <c r="B39" s="222" t="n"/>
      <c r="C39" s="221" t="inlineStr">
        <is>
          <t>Итого основные материалы</t>
        </is>
      </c>
      <c r="D39" s="222" t="n"/>
      <c r="E39" s="79" t="n"/>
      <c r="F39" s="224" t="n"/>
      <c r="G39" s="173">
        <f>SUM(G38:G38)</f>
        <v/>
      </c>
      <c r="H39" s="225">
        <f>G39/$G$52</f>
        <v/>
      </c>
      <c r="I39" s="173" t="n"/>
      <c r="J39" s="173">
        <f>SUM(J38:J38)</f>
        <v/>
      </c>
      <c r="K39" s="78" t="n"/>
    </row>
    <row r="40" outlineLevel="1" ht="39" customFormat="1" customHeight="1" s="201">
      <c r="A40" s="222" t="n">
        <v>12</v>
      </c>
      <c r="B40" s="104" t="inlineStr">
        <is>
          <t>01.5.03.08-0041</t>
        </is>
      </c>
      <c r="C40" s="155" t="inlineStr">
        <is>
          <t>Элементы светоотражающие на барьерные ограждения</t>
        </is>
      </c>
      <c r="D40" s="104" t="inlineStr">
        <is>
          <t>шт</t>
        </is>
      </c>
      <c r="E40" s="104" t="n">
        <v>51</v>
      </c>
      <c r="F40" s="156" t="n">
        <v>29.86</v>
      </c>
      <c r="G40" s="163">
        <f>E40*F40</f>
        <v/>
      </c>
      <c r="H40" s="225">
        <f>G40/$G$52</f>
        <v/>
      </c>
      <c r="I40" s="173">
        <f>ROUND(F40*Прил.10!$D$12,2)</f>
        <v/>
      </c>
      <c r="J40" s="173">
        <f>ROUND(I40*E40,2)</f>
        <v/>
      </c>
    </row>
    <row r="41" outlineLevel="1" ht="14.25" customFormat="1" customHeight="1" s="201">
      <c r="A41" s="222" t="n">
        <v>13</v>
      </c>
      <c r="B41" s="104" t="inlineStr">
        <is>
          <t>14.4.04.09-0023</t>
        </is>
      </c>
      <c r="C41" s="155" t="inlineStr">
        <is>
          <t>Эмаль ХВ-785 красно-коричневая (2 слоя)</t>
        </is>
      </c>
      <c r="D41" s="104" t="inlineStr">
        <is>
          <t>т</t>
        </is>
      </c>
      <c r="E41" s="104" t="n">
        <v>0.0478</v>
      </c>
      <c r="F41" s="156" t="n">
        <v>26835.36</v>
      </c>
      <c r="G41" s="163">
        <f>E41*F41</f>
        <v/>
      </c>
      <c r="H41" s="225">
        <f>G41/$G$52</f>
        <v/>
      </c>
      <c r="I41" s="173">
        <f>ROUND(F41*Прил.10!$D$12,2)</f>
        <v/>
      </c>
      <c r="J41" s="173">
        <f>ROUND(I41*E41,2)</f>
        <v/>
      </c>
    </row>
    <row r="42" outlineLevel="1" ht="25.5" customFormat="1" customHeight="1" s="201">
      <c r="A42" s="222" t="n">
        <v>14</v>
      </c>
      <c r="B42" s="104" t="inlineStr">
        <is>
          <t>401-0126</t>
        </is>
      </c>
      <c r="C42" s="155" t="inlineStr">
        <is>
          <t>Бетон дорожный, крупность заполнителя более 40 мм, класс В15 (М200)</t>
        </is>
      </c>
      <c r="D42" s="104" t="inlineStr">
        <is>
          <t>м3</t>
        </is>
      </c>
      <c r="E42" s="104" t="n">
        <v>0.25</v>
      </c>
      <c r="F42" s="156" t="n">
        <v>690.45</v>
      </c>
      <c r="G42" s="163">
        <f>E42*F42</f>
        <v/>
      </c>
      <c r="H42" s="225">
        <f>G42/$G$52</f>
        <v/>
      </c>
      <c r="I42" s="173">
        <f>ROUND(F42*Прил.10!$D$12,2)</f>
        <v/>
      </c>
      <c r="J42" s="173">
        <f>ROUND(I42*E42,2)</f>
        <v/>
      </c>
    </row>
    <row r="43" outlineLevel="1" ht="14.25" customFormat="1" customHeight="1" s="201">
      <c r="A43" s="222" t="n">
        <v>15</v>
      </c>
      <c r="B43" s="104" t="inlineStr">
        <is>
          <t>14.2.04.03-0015</t>
        </is>
      </c>
      <c r="C43" s="155" t="inlineStr">
        <is>
          <t>Смола эпоксидная марки: ЭД-20</t>
        </is>
      </c>
      <c r="D43" s="104" t="inlineStr">
        <is>
          <t>т</t>
        </is>
      </c>
      <c r="E43" s="104" t="n">
        <v>0.0031</v>
      </c>
      <c r="F43" s="156" t="n">
        <v>53562</v>
      </c>
      <c r="G43" s="163">
        <f>E43*F43</f>
        <v/>
      </c>
      <c r="H43" s="225">
        <f>G43/$G$52</f>
        <v/>
      </c>
      <c r="I43" s="173">
        <f>ROUND(F43*Прил.10!$D$12,2)</f>
        <v/>
      </c>
      <c r="J43" s="173">
        <f>ROUND(I43*E43,2)</f>
        <v/>
      </c>
    </row>
    <row r="44" outlineLevel="1" ht="14.25" customFormat="1" customHeight="1" s="201">
      <c r="A44" s="222" t="n">
        <v>16</v>
      </c>
      <c r="B44" s="104" t="inlineStr">
        <is>
          <t>14.5.09.11-0101</t>
        </is>
      </c>
      <c r="C44" s="155" t="inlineStr">
        <is>
          <t>Уайт-спирит</t>
        </is>
      </c>
      <c r="D44" s="104" t="inlineStr">
        <is>
          <t>т</t>
        </is>
      </c>
      <c r="E44" s="104" t="n">
        <v>0.0231</v>
      </c>
      <c r="F44" s="156" t="n">
        <v>6667</v>
      </c>
      <c r="G44" s="163">
        <f>E44*F44</f>
        <v/>
      </c>
      <c r="H44" s="225">
        <f>G44/$G$52</f>
        <v/>
      </c>
      <c r="I44" s="173">
        <f>ROUND(F44*Прил.10!$D$12,2)</f>
        <v/>
      </c>
      <c r="J44" s="173">
        <f>ROUND(I44*E44,2)</f>
        <v/>
      </c>
    </row>
    <row r="45" outlineLevel="1" ht="25.5" customFormat="1" customHeight="1" s="201">
      <c r="A45" s="222" t="n">
        <v>17</v>
      </c>
      <c r="B45" s="104" t="inlineStr">
        <is>
          <t>08.1.02.11-0001</t>
        </is>
      </c>
      <c r="C45" s="155" t="inlineStr">
        <is>
          <t>Поковки из квадратных заготовок, масса: 1,8 кг</t>
        </is>
      </c>
      <c r="D45" s="104" t="inlineStr">
        <is>
          <t>т</t>
        </is>
      </c>
      <c r="E45" s="104" t="n">
        <v>0.0245</v>
      </c>
      <c r="F45" s="156" t="n">
        <v>5989</v>
      </c>
      <c r="G45" s="163">
        <f>E45*F45</f>
        <v/>
      </c>
      <c r="H45" s="225">
        <f>G45/$G$52</f>
        <v/>
      </c>
      <c r="I45" s="173">
        <f>ROUND(F45*Прил.10!$D$12,2)</f>
        <v/>
      </c>
      <c r="J45" s="173">
        <f>ROUND(I45*E45,2)</f>
        <v/>
      </c>
    </row>
    <row r="46" outlineLevel="1" ht="25.5" customFormat="1" customHeight="1" s="201">
      <c r="A46" s="222" t="n">
        <v>18</v>
      </c>
      <c r="B46" s="104" t="inlineStr">
        <is>
          <t>01.7.17.09-0062</t>
        </is>
      </c>
      <c r="C46" s="155" t="inlineStr">
        <is>
          <t>Сверла кольцевые алмазные диаметром: 20 мм</t>
        </is>
      </c>
      <c r="D46" s="104" t="inlineStr">
        <is>
          <t>шт</t>
        </is>
      </c>
      <c r="E46" s="104" t="n">
        <v>0.3211</v>
      </c>
      <c r="F46" s="156" t="n">
        <v>452.4</v>
      </c>
      <c r="G46" s="163">
        <f>E46*F46</f>
        <v/>
      </c>
      <c r="H46" s="225">
        <f>G46/$G$52</f>
        <v/>
      </c>
      <c r="I46" s="173">
        <f>ROUND(F46*Прил.10!$D$12,2)</f>
        <v/>
      </c>
      <c r="J46" s="173">
        <f>ROUND(I46*E46,2)</f>
        <v/>
      </c>
    </row>
    <row r="47" outlineLevel="1" ht="25.5" customFormat="1" customHeight="1" s="201">
      <c r="A47" s="222" t="n">
        <v>19</v>
      </c>
      <c r="B47" s="104" t="inlineStr">
        <is>
          <t>04.3.01.09-0023</t>
        </is>
      </c>
      <c r="C47" s="155" t="inlineStr">
        <is>
          <t>Раствор готовый отделочный тяжелый,: цементный 1:3</t>
        </is>
      </c>
      <c r="D47" s="104" t="inlineStr">
        <is>
          <t>м3</t>
        </is>
      </c>
      <c r="E47" s="104" t="n">
        <v>0.221</v>
      </c>
      <c r="F47" s="156" t="n">
        <v>497</v>
      </c>
      <c r="G47" s="163">
        <f>E47*F47</f>
        <v/>
      </c>
      <c r="H47" s="225">
        <f>G47/$G$52</f>
        <v/>
      </c>
      <c r="I47" s="173">
        <f>ROUND(F47*Прил.10!$D$12,2)</f>
        <v/>
      </c>
      <c r="J47" s="173">
        <f>ROUND(I47*E47,2)</f>
        <v/>
      </c>
    </row>
    <row r="48" outlineLevel="1" ht="25.5" customFormat="1" customHeight="1" s="201">
      <c r="A48" s="222" t="n">
        <v>20</v>
      </c>
      <c r="B48" s="104" t="inlineStr">
        <is>
          <t>12.2.03.12-0002</t>
        </is>
      </c>
      <c r="C48" s="155" t="inlineStr">
        <is>
          <t>Фольга алюминиевая: для технических целей мягкая, рулонная, толщиной 0,1 мм</t>
        </is>
      </c>
      <c r="D48" s="104" t="inlineStr">
        <is>
          <t>т</t>
        </is>
      </c>
      <c r="E48" s="104" t="n">
        <v>0.0005</v>
      </c>
      <c r="F48" s="156" t="n">
        <v>35490</v>
      </c>
      <c r="G48" s="163">
        <f>E48*F48</f>
        <v/>
      </c>
      <c r="H48" s="225">
        <f>G48/$G$52</f>
        <v/>
      </c>
      <c r="I48" s="173">
        <f>ROUND(F48*Прил.10!$D$12,2)</f>
        <v/>
      </c>
      <c r="J48" s="173">
        <f>ROUND(I48*E48,2)</f>
        <v/>
      </c>
    </row>
    <row r="49" outlineLevel="1" ht="14.25" customFormat="1" customHeight="1" s="201">
      <c r="A49" s="222" t="n">
        <v>21</v>
      </c>
      <c r="B49" s="104" t="inlineStr">
        <is>
          <t>01.7.03.01-0001</t>
        </is>
      </c>
      <c r="C49" s="155" t="inlineStr">
        <is>
          <t>Вода</t>
        </is>
      </c>
      <c r="D49" s="104" t="inlineStr">
        <is>
          <t>м3</t>
        </is>
      </c>
      <c r="E49" s="104" t="n">
        <v>5.0099</v>
      </c>
      <c r="F49" s="156" t="n">
        <v>2.44</v>
      </c>
      <c r="G49" s="163">
        <f>E49*F49</f>
        <v/>
      </c>
      <c r="H49" s="225">
        <f>G49/$G$52</f>
        <v/>
      </c>
      <c r="I49" s="173">
        <f>ROUND(F49*Прил.10!$D$12,2)</f>
        <v/>
      </c>
      <c r="J49" s="173">
        <f>ROUND(I49*E49,2)</f>
        <v/>
      </c>
    </row>
    <row r="50" outlineLevel="1" ht="25.5" customFormat="1" customHeight="1" s="201">
      <c r="A50" s="222" t="n">
        <v>22</v>
      </c>
      <c r="B50" s="104" t="inlineStr">
        <is>
          <t>01.2.01.02-0052</t>
        </is>
      </c>
      <c r="C50" s="155" t="inlineStr">
        <is>
          <t>Битумы нефтяные строительные марки: БН-70/30</t>
        </is>
      </c>
      <c r="D50" s="104" t="inlineStr">
        <is>
          <t>т</t>
        </is>
      </c>
      <c r="E50" s="104" t="inlineStr">
        <is>
          <t>0,0077</t>
        </is>
      </c>
      <c r="F50" s="156" t="n">
        <v>1525.5</v>
      </c>
      <c r="G50" s="163">
        <f>E50*F50</f>
        <v/>
      </c>
      <c r="H50" s="225">
        <f>G50/$G$52</f>
        <v/>
      </c>
      <c r="I50" s="173">
        <f>ROUND(F50*Прил.10!$D$12,2)</f>
        <v/>
      </c>
      <c r="J50" s="173">
        <f>ROUND(I50*E50,2)</f>
        <v/>
      </c>
    </row>
    <row r="51" ht="14.25" customFormat="1" customHeight="1" s="201">
      <c r="A51" s="222" t="n"/>
      <c r="B51" s="222" t="n"/>
      <c r="C51" s="221" t="inlineStr">
        <is>
          <t>Итого прочие материалы</t>
        </is>
      </c>
      <c r="D51" s="222" t="n"/>
      <c r="E51" s="223" t="n"/>
      <c r="F51" s="224" t="n"/>
      <c r="G51" s="173">
        <f>SUM(G40:G50)</f>
        <v/>
      </c>
      <c r="H51" s="225">
        <f>G51/G52</f>
        <v/>
      </c>
      <c r="I51" s="173" t="n"/>
      <c r="J51" s="173">
        <f>SUM(J40:J50)</f>
        <v/>
      </c>
    </row>
    <row r="52" ht="14.25" customFormat="1" customHeight="1" s="201">
      <c r="A52" s="222" t="n"/>
      <c r="B52" s="222" t="n"/>
      <c r="C52" s="211" t="inlineStr">
        <is>
          <t>Итого по разделу «Материалы»</t>
        </is>
      </c>
      <c r="D52" s="222" t="n"/>
      <c r="E52" s="223" t="n"/>
      <c r="F52" s="224" t="n"/>
      <c r="G52" s="173">
        <f>G39+G51</f>
        <v/>
      </c>
      <c r="H52" s="225" t="n">
        <v>1</v>
      </c>
      <c r="I52" s="224" t="n"/>
      <c r="J52" s="173">
        <f>J39+J51</f>
        <v/>
      </c>
      <c r="K52" s="78" t="n"/>
      <c r="L52" s="149" t="n"/>
    </row>
    <row r="53" ht="14.25" customFormat="1" customHeight="1" s="201">
      <c r="A53" s="222" t="n"/>
      <c r="B53" s="222" t="n"/>
      <c r="C53" s="221" t="inlineStr">
        <is>
          <t>ИТОГО ПО РМ</t>
        </is>
      </c>
      <c r="D53" s="222" t="n"/>
      <c r="E53" s="223" t="n"/>
      <c r="F53" s="224" t="n"/>
      <c r="G53" s="173">
        <f>G14+G29+G52</f>
        <v/>
      </c>
      <c r="H53" s="225" t="n"/>
      <c r="I53" s="224" t="n"/>
      <c r="J53" s="173">
        <f>J14+J29+J52</f>
        <v/>
      </c>
    </row>
    <row r="54" ht="14.25" customFormat="1" customHeight="1" s="201">
      <c r="A54" s="222" t="n"/>
      <c r="B54" s="222" t="n"/>
      <c r="C54" s="221" t="inlineStr">
        <is>
          <t>Накладные расходы</t>
        </is>
      </c>
      <c r="D54" s="222" t="inlineStr">
        <is>
          <t>%</t>
        </is>
      </c>
      <c r="E54" s="99">
        <f>ROUND(G54/(G14+G16),2)</f>
        <v/>
      </c>
      <c r="F54" s="224" t="n"/>
      <c r="G54" s="173" t="n">
        <v>5553.65</v>
      </c>
      <c r="H54" s="225" t="n"/>
      <c r="I54" s="224" t="n"/>
      <c r="J54" s="173">
        <f>ROUND(E54*(J14+J16),2)</f>
        <v/>
      </c>
      <c r="K54" s="100" t="n"/>
    </row>
    <row r="55" ht="14.25" customFormat="1" customHeight="1" s="201">
      <c r="A55" s="222" t="n"/>
      <c r="B55" s="222" t="n"/>
      <c r="C55" s="221" t="inlineStr">
        <is>
          <t>Сметная прибыль</t>
        </is>
      </c>
      <c r="D55" s="222" t="inlineStr">
        <is>
          <t>%</t>
        </is>
      </c>
      <c r="E55" s="99">
        <f>ROUND(G55/(G14+G16),2)</f>
        <v/>
      </c>
      <c r="F55" s="224" t="n"/>
      <c r="G55" s="173" t="n">
        <v>3761.14</v>
      </c>
      <c r="H55" s="225" t="n"/>
      <c r="I55" s="224" t="n"/>
      <c r="J55" s="173">
        <f>ROUND(E55*(J14+J16),2)</f>
        <v/>
      </c>
      <c r="K55" s="100" t="n"/>
    </row>
    <row r="56" ht="14.25" customFormat="1" customHeight="1" s="201">
      <c r="A56" s="222" t="n"/>
      <c r="B56" s="222" t="n"/>
      <c r="C56" s="221" t="inlineStr">
        <is>
          <t>Итого СМР (с НР и СП)</t>
        </is>
      </c>
      <c r="D56" s="222" t="n"/>
      <c r="E56" s="223" t="n"/>
      <c r="F56" s="224" t="n"/>
      <c r="G56" s="173">
        <f>G14+G29+G52+G54+G55</f>
        <v/>
      </c>
      <c r="H56" s="225" t="n"/>
      <c r="I56" s="224" t="n"/>
      <c r="J56" s="173">
        <f>J14+J29+J52+J54+J55</f>
        <v/>
      </c>
      <c r="L56" s="101" t="n"/>
    </row>
    <row r="57" ht="14.25" customFormat="1" customHeight="1" s="201">
      <c r="A57" s="222" t="n"/>
      <c r="B57" s="222" t="n"/>
      <c r="C57" s="221" t="inlineStr">
        <is>
          <t>ВСЕГО СМР + ОБОРУДОВАНИЕ</t>
        </is>
      </c>
      <c r="D57" s="222" t="n"/>
      <c r="E57" s="223" t="n"/>
      <c r="F57" s="224" t="n"/>
      <c r="G57" s="173">
        <f>G56+G34</f>
        <v/>
      </c>
      <c r="H57" s="225" t="n"/>
      <c r="I57" s="224" t="n"/>
      <c r="J57" s="173">
        <f>J56+J34</f>
        <v/>
      </c>
      <c r="L57" s="100" t="n"/>
    </row>
    <row r="58" ht="14.25" customFormat="1" customHeight="1" s="201">
      <c r="A58" s="222" t="n"/>
      <c r="B58" s="222" t="n"/>
      <c r="C58" s="221" t="inlineStr">
        <is>
          <t>ИТОГО ПОКАЗАТЕЛЬ НА ЕД. ИЗМ.</t>
        </is>
      </c>
      <c r="D58" s="222" t="inlineStr">
        <is>
          <t>1 опора</t>
        </is>
      </c>
      <c r="E58" s="102" t="n">
        <v>17</v>
      </c>
      <c r="F58" s="224" t="n"/>
      <c r="G58" s="173">
        <f>G57/E58</f>
        <v/>
      </c>
      <c r="H58" s="225" t="n"/>
      <c r="I58" s="224" t="n"/>
      <c r="J58" s="173">
        <f>J57/E58</f>
        <v/>
      </c>
      <c r="L58" s="149" t="n"/>
    </row>
    <row r="60" ht="14.25" customFormat="1" customHeight="1" s="201">
      <c r="A60" s="199" t="n"/>
    </row>
    <row r="61" ht="14.25" customFormat="1" customHeight="1" s="201">
      <c r="A61" s="191" t="inlineStr">
        <is>
          <t>Составил ______________________       Р.Р. Шагеева</t>
        </is>
      </c>
      <c r="B61" s="201" t="n"/>
    </row>
    <row r="62" ht="14.25" customFormat="1" customHeight="1" s="201">
      <c r="A62" s="202" t="inlineStr">
        <is>
          <t xml:space="preserve">                         (подпись, инициалы, фамилия)</t>
        </is>
      </c>
      <c r="B62" s="201" t="n"/>
    </row>
    <row r="63" ht="14.25" customFormat="1" customHeight="1" s="201">
      <c r="A63" s="191" t="n"/>
      <c r="B63" s="201" t="n"/>
    </row>
    <row r="64" ht="14.25" customFormat="1" customHeight="1" s="201">
      <c r="A64" s="191" t="inlineStr">
        <is>
          <t>Проверил ______________________        А.В. Костянецкая</t>
        </is>
      </c>
      <c r="B64" s="201" t="n"/>
    </row>
    <row r="65" ht="14.25" customFormat="1" customHeight="1" s="201">
      <c r="A65" s="202" t="inlineStr">
        <is>
          <t xml:space="preserve">                        (подпись, инициалы, фамилия)</t>
        </is>
      </c>
      <c r="B65" s="201" t="n"/>
    </row>
  </sheetData>
  <mergeCells count="19">
    <mergeCell ref="H9:H10"/>
    <mergeCell ref="B15:H15"/>
    <mergeCell ref="C9:C10"/>
    <mergeCell ref="E9:E10"/>
    <mergeCell ref="A7:H7"/>
    <mergeCell ref="B30:J30"/>
    <mergeCell ref="B9:B10"/>
    <mergeCell ref="D9:D10"/>
    <mergeCell ref="B18:H18"/>
    <mergeCell ref="B36:J36"/>
    <mergeCell ref="B12:H12"/>
    <mergeCell ref="F9:G9"/>
    <mergeCell ref="A4:H4"/>
    <mergeCell ref="B17:H17"/>
    <mergeCell ref="A9:A10"/>
    <mergeCell ref="A6:C6"/>
    <mergeCell ref="B31:J31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5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190" min="1" max="1"/>
    <col width="14.85546875" customWidth="1" style="190" min="2" max="2"/>
    <col width="39.140625" customWidth="1" style="190" min="3" max="3"/>
    <col width="8.28515625" customWidth="1" style="190" min="4" max="4"/>
    <col width="13.5703125" customWidth="1" style="190" min="5" max="5"/>
    <col width="12.42578125" customWidth="1" style="190" min="6" max="6"/>
    <col width="14.140625" customWidth="1" style="190" min="7" max="7"/>
  </cols>
  <sheetData>
    <row r="1">
      <c r="A1" s="238" t="inlineStr">
        <is>
          <t>Приложение №6</t>
        </is>
      </c>
    </row>
    <row r="2" ht="21.75" customHeight="1" s="190">
      <c r="A2" s="238" t="n"/>
      <c r="B2" s="238" t="n"/>
      <c r="C2" s="238" t="n"/>
      <c r="D2" s="238" t="n"/>
      <c r="E2" s="238" t="n"/>
      <c r="F2" s="238" t="n"/>
      <c r="G2" s="238" t="n"/>
    </row>
    <row r="3">
      <c r="A3" s="215" t="inlineStr">
        <is>
          <t>Расчет стоимости оборудования</t>
        </is>
      </c>
    </row>
    <row r="4" ht="25.5" customHeight="1" s="190">
      <c r="A4" s="237">
        <f>'Прил.1 Сравнит табл'!B7</f>
        <v/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" customHeight="1" s="190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22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246" t="n"/>
    </row>
    <row r="7">
      <c r="A7" s="248" t="n"/>
      <c r="B7" s="248" t="n"/>
      <c r="C7" s="248" t="n"/>
      <c r="D7" s="248" t="n"/>
      <c r="E7" s="248" t="n"/>
      <c r="F7" s="222" t="inlineStr">
        <is>
          <t>на ед. изм.</t>
        </is>
      </c>
      <c r="G7" s="222" t="inlineStr">
        <is>
          <t>общая</t>
        </is>
      </c>
    </row>
    <row r="8">
      <c r="A8" s="222" t="n">
        <v>1</v>
      </c>
      <c r="B8" s="222" t="n">
        <v>2</v>
      </c>
      <c r="C8" s="222" t="n">
        <v>3</v>
      </c>
      <c r="D8" s="222" t="n">
        <v>4</v>
      </c>
      <c r="E8" s="222" t="n">
        <v>5</v>
      </c>
      <c r="F8" s="222" t="n">
        <v>6</v>
      </c>
      <c r="G8" s="222" t="n">
        <v>7</v>
      </c>
    </row>
    <row r="9" ht="15" customHeight="1" s="190">
      <c r="A9" s="180" t="n"/>
      <c r="B9" s="221" t="inlineStr">
        <is>
          <t>ИНЖЕНЕРНОЕ ОБОРУДОВАНИЕ</t>
        </is>
      </c>
      <c r="C9" s="245" t="n"/>
      <c r="D9" s="245" t="n"/>
      <c r="E9" s="245" t="n"/>
      <c r="F9" s="245" t="n"/>
      <c r="G9" s="246" t="n"/>
    </row>
    <row r="10" ht="27" customHeight="1" s="190">
      <c r="A10" s="222" t="n"/>
      <c r="B10" s="211" t="n"/>
      <c r="C10" s="221" t="inlineStr">
        <is>
          <t>ИТОГО ИНЖЕНЕРНОЕ ОБОРУДОВАНИЕ</t>
        </is>
      </c>
      <c r="D10" s="211" t="n"/>
      <c r="E10" s="9" t="n"/>
      <c r="F10" s="224" t="n"/>
      <c r="G10" s="224" t="n">
        <v>0</v>
      </c>
    </row>
    <row r="11">
      <c r="A11" s="222" t="n"/>
      <c r="B11" s="221" t="inlineStr">
        <is>
          <t>ТЕХНОЛОГИЧЕСКОЕ ОБОРУДОВАНИЕ</t>
        </is>
      </c>
      <c r="C11" s="245" t="n"/>
      <c r="D11" s="245" t="n"/>
      <c r="E11" s="245" t="n"/>
      <c r="F11" s="245" t="n"/>
      <c r="G11" s="246" t="n"/>
    </row>
    <row r="12">
      <c r="A12" s="222" t="n"/>
      <c r="B12" s="13" t="n"/>
      <c r="C12" s="13" t="n"/>
      <c r="D12" s="13" t="n"/>
      <c r="E12" s="14" t="n"/>
      <c r="F12" s="224" t="n"/>
      <c r="G12" s="224" t="n"/>
    </row>
    <row r="13" ht="25.5" customHeight="1" s="190">
      <c r="A13" s="222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24" t="n"/>
      <c r="G13" s="173" t="n">
        <v>0</v>
      </c>
    </row>
    <row r="14" ht="19.5" customHeight="1" s="190">
      <c r="A14" s="222" t="n"/>
      <c r="B14" s="221" t="n"/>
      <c r="C14" s="221" t="inlineStr">
        <is>
          <t>Всего по разделу «Оборудование»</t>
        </is>
      </c>
      <c r="D14" s="221" t="n"/>
      <c r="E14" s="236" t="n"/>
      <c r="F14" s="224" t="n"/>
      <c r="G14" s="173">
        <f>G10+G13</f>
        <v/>
      </c>
    </row>
    <row r="15">
      <c r="A15" s="199" t="n"/>
      <c r="B15" s="200" t="n"/>
      <c r="C15" s="199" t="n"/>
      <c r="D15" s="199" t="n"/>
      <c r="E15" s="199" t="n"/>
      <c r="F15" s="199" t="n"/>
      <c r="G15" s="199" t="n"/>
    </row>
    <row r="16" s="190">
      <c r="A16" s="191" t="inlineStr">
        <is>
          <t>Составил ______________________       Р.Р. Шагеева</t>
        </is>
      </c>
      <c r="B16" s="201" t="n"/>
      <c r="D16" s="199" t="n"/>
      <c r="E16" s="199" t="n"/>
      <c r="F16" s="199" t="n"/>
      <c r="G16" s="199" t="n"/>
    </row>
    <row r="17" s="190">
      <c r="A17" s="202" t="inlineStr">
        <is>
          <t xml:space="preserve">                         (подпись, инициалы, фамилия)</t>
        </is>
      </c>
      <c r="B17" s="201" t="n"/>
      <c r="D17" s="199" t="n"/>
      <c r="E17" s="199" t="n"/>
      <c r="F17" s="199" t="n"/>
      <c r="G17" s="199" t="n"/>
    </row>
    <row r="18" s="190">
      <c r="A18" s="191" t="n"/>
      <c r="B18" s="201" t="n"/>
      <c r="C18" s="201" t="n"/>
      <c r="D18" s="199" t="n"/>
      <c r="E18" s="199" t="n"/>
      <c r="F18" s="199" t="n"/>
      <c r="G18" s="199" t="n"/>
    </row>
    <row r="19" s="190">
      <c r="A19" s="191" t="inlineStr">
        <is>
          <t>Проверил ______________________        А.В. Костянецкая</t>
        </is>
      </c>
      <c r="B19" s="201" t="n"/>
      <c r="C19" s="201" t="n"/>
      <c r="D19" s="199" t="n"/>
      <c r="E19" s="199" t="n"/>
      <c r="F19" s="199" t="n"/>
      <c r="G19" s="199" t="n"/>
    </row>
    <row r="20" s="190">
      <c r="A20" s="202" t="inlineStr">
        <is>
          <t xml:space="preserve">                        (подпись, инициалы, фамилия)</t>
        </is>
      </c>
      <c r="B20" s="201" t="n"/>
      <c r="C20" s="201" t="n"/>
      <c r="D20" s="199" t="n"/>
      <c r="E20" s="199" t="n"/>
      <c r="F20" s="199" t="n"/>
      <c r="G20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90" min="1" max="1"/>
    <col width="29.7109375" customWidth="1" style="190" min="2" max="2"/>
    <col width="35" customWidth="1" style="190" min="3" max="3"/>
    <col width="27.5703125" customWidth="1" style="190" min="4" max="4"/>
    <col width="24.85546875" customWidth="1" style="190" min="5" max="5"/>
    <col width="8.85546875" customWidth="1" style="190" min="6" max="6"/>
  </cols>
  <sheetData>
    <row r="1">
      <c r="B1" s="191" t="n"/>
      <c r="C1" s="191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90">
      <c r="A3" s="215" t="inlineStr">
        <is>
          <t>Расчет показателя УНЦ</t>
        </is>
      </c>
    </row>
    <row r="4" ht="24.75" customHeight="1" s="190">
      <c r="A4" s="215" t="n"/>
      <c r="B4" s="215" t="n"/>
      <c r="C4" s="215" t="n"/>
      <c r="D4" s="215" t="n"/>
    </row>
    <row r="5" ht="36" customHeight="1" s="190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 s="190">
      <c r="A6" s="220">
        <f>'Прил.1 Сравнит табл'!B9</f>
        <v/>
      </c>
      <c r="D6" s="220" t="n"/>
    </row>
    <row r="7">
      <c r="A7" s="191" t="n"/>
      <c r="B7" s="191" t="n"/>
      <c r="C7" s="191" t="n"/>
      <c r="D7" s="191" t="n"/>
    </row>
    <row r="8" ht="14.45" customHeight="1" s="190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 ht="15" customHeight="1" s="190">
      <c r="A9" s="248" t="n"/>
      <c r="B9" s="248" t="n"/>
      <c r="C9" s="248" t="n"/>
      <c r="D9" s="248" t="n"/>
    </row>
    <row r="10">
      <c r="A10" s="222" t="n">
        <v>1</v>
      </c>
      <c r="B10" s="222" t="n">
        <v>2</v>
      </c>
      <c r="C10" s="222" t="n">
        <v>3</v>
      </c>
      <c r="D10" s="222" t="n">
        <v>4</v>
      </c>
    </row>
    <row r="11" ht="41.45" customHeight="1" s="190">
      <c r="A11" s="222" t="inlineStr">
        <is>
          <t>М1-04</t>
        </is>
      </c>
      <c r="B11" s="222" t="inlineStr">
        <is>
          <t>УНЦ на устройство защиты опор ВЛ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191">
        <f>'Прил.1 Сравнит табл'!B30</f>
        <v/>
      </c>
      <c r="B13" s="201" t="n"/>
      <c r="C13" s="201" t="n"/>
      <c r="D13" s="199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99" t="n"/>
    </row>
    <row r="15">
      <c r="A15" s="191" t="n"/>
      <c r="B15" s="201" t="n"/>
      <c r="C15" s="201" t="n"/>
      <c r="D15" s="199" t="n"/>
    </row>
    <row r="16">
      <c r="A16" s="191" t="inlineStr">
        <is>
          <t>Проверил ______________________        А.В. Костянецкая</t>
        </is>
      </c>
      <c r="B16" s="201" t="n"/>
      <c r="C16" s="201" t="n"/>
      <c r="D16" s="199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190" min="2" max="2"/>
    <col width="37" customWidth="1" style="190" min="3" max="3"/>
    <col width="32" customWidth="1" style="190" min="4" max="4"/>
  </cols>
  <sheetData>
    <row r="4" ht="15.75" customHeight="1" s="190">
      <c r="B4" s="204" t="inlineStr">
        <is>
          <t>Приложение № 10</t>
        </is>
      </c>
    </row>
    <row r="5" ht="18.75" customHeight="1" s="190">
      <c r="B5" s="40" t="n"/>
    </row>
    <row r="6" ht="15.75" customHeight="1" s="190">
      <c r="B6" s="207" t="inlineStr">
        <is>
          <t>Используемые индексы изменений сметной стоимости и нормы сопутствующих затрат</t>
        </is>
      </c>
    </row>
    <row r="7" ht="18.75" customHeight="1" s="190">
      <c r="B7" s="108" t="n"/>
    </row>
    <row r="8" ht="47.25" customHeight="1" s="190">
      <c r="B8" s="209" t="inlineStr">
        <is>
          <t>Наименование индекса / норм сопутствующих затрат</t>
        </is>
      </c>
      <c r="C8" s="209" t="inlineStr">
        <is>
          <t>Дата применения и обоснование индекса / норм сопутствующих затрат</t>
        </is>
      </c>
      <c r="D8" s="209" t="inlineStr">
        <is>
          <t>Размер индекса / норма сопутствующих затрат</t>
        </is>
      </c>
    </row>
    <row r="9" ht="15.75" customHeight="1" s="190">
      <c r="B9" s="209" t="n">
        <v>1</v>
      </c>
      <c r="C9" s="209" t="n">
        <v>2</v>
      </c>
      <c r="D9" s="209" t="n">
        <v>3</v>
      </c>
    </row>
    <row r="10" ht="45" customHeight="1" s="190">
      <c r="B10" s="209" t="inlineStr">
        <is>
          <t xml:space="preserve">Индекс изменения сметной стоимости на 1 квартал 2023 года. ОЗП </t>
        </is>
      </c>
      <c r="C10" s="209" t="inlineStr">
        <is>
          <t>Письмо Минстроя России от 01.04.2023г. №17772-ИФ/09 прил.9</t>
        </is>
      </c>
      <c r="D10" s="209" t="n">
        <v>46.83</v>
      </c>
    </row>
    <row r="11" ht="29.25" customHeight="1" s="190">
      <c r="B11" s="209" t="inlineStr">
        <is>
          <t>Индекс изменения сметной стоимости на 1 квартал 2023 года. ЭМ</t>
        </is>
      </c>
      <c r="C11" s="209" t="inlineStr">
        <is>
          <t>Письмо Минстроя России от 01.04.2023г. №17772-ИФ/09 прил.9</t>
        </is>
      </c>
      <c r="D11" s="209" t="n">
        <v>11.96</v>
      </c>
    </row>
    <row r="12" ht="29.25" customHeight="1" s="190">
      <c r="B12" s="209" t="inlineStr">
        <is>
          <t>Индекс изменения сметной стоимости на 1 квартал 2023 года. МАТ</t>
        </is>
      </c>
      <c r="C12" s="209" t="inlineStr">
        <is>
          <t>Письмо Минстроя России от 01.04.2023г. №17772-ИФ/09 прил.9</t>
        </is>
      </c>
      <c r="D12" s="209" t="n">
        <v>9.84</v>
      </c>
    </row>
    <row r="13" ht="30.75" customHeight="1" s="190">
      <c r="B13" s="209" t="inlineStr">
        <is>
          <t>Индекс изменения сметной стоимости на 1 квартал 2023 года. ОБ</t>
        </is>
      </c>
      <c r="C13" s="178" t="inlineStr">
        <is>
          <t>Письмо Минстроя России от 23.02.2023г. №9791-ИФ/09 прил.6</t>
        </is>
      </c>
      <c r="D13" s="209" t="n">
        <v>6.26</v>
      </c>
    </row>
    <row r="14" ht="89.25" customHeight="1" s="190">
      <c r="B14" s="209" t="inlineStr">
        <is>
          <t>Временные здания и сооружения</t>
        </is>
      </c>
      <c r="C14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79" t="n">
        <v>0.033</v>
      </c>
    </row>
    <row r="15" ht="78.75" customHeight="1" s="190">
      <c r="B15" s="209" t="inlineStr">
        <is>
          <t>Дополнительные затраты при производстве строительно-монтажных работ в зимнее время</t>
        </is>
      </c>
      <c r="C15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79" t="n">
        <v>0.01</v>
      </c>
    </row>
    <row r="16" ht="34.5" customHeight="1" s="190">
      <c r="B16" s="209" t="inlineStr">
        <is>
          <t>Пусконаладочные работы</t>
        </is>
      </c>
      <c r="C16" s="209" t="n"/>
      <c r="D16" s="209" t="inlineStr">
        <is>
          <t>Расчет</t>
        </is>
      </c>
    </row>
    <row r="17" ht="31.5" customHeight="1" s="190">
      <c r="B17" s="209" t="inlineStr">
        <is>
          <t>Строительный контроль</t>
        </is>
      </c>
      <c r="C17" s="209" t="inlineStr">
        <is>
          <t>Постановление Правительства РФ от 21.06.10 г. № 468</t>
        </is>
      </c>
      <c r="D17" s="179" t="n">
        <v>0.0214</v>
      </c>
    </row>
    <row r="18" ht="31.5" customHeight="1" s="190">
      <c r="B18" s="209" t="inlineStr">
        <is>
          <t>Авторский надзор - 0,2%</t>
        </is>
      </c>
      <c r="C18" s="209" t="inlineStr">
        <is>
          <t>Приказ от 4.08.2020 № 421/пр п.173</t>
        </is>
      </c>
      <c r="D18" s="179" t="n">
        <v>0.002</v>
      </c>
    </row>
    <row r="19" ht="24" customHeight="1" s="190">
      <c r="B19" s="209" t="inlineStr">
        <is>
          <t>Непредвиденные расходы</t>
        </is>
      </c>
      <c r="C19" s="209" t="inlineStr">
        <is>
          <t>Приказ от 4.08.2020 № 421/пр п.179</t>
        </is>
      </c>
      <c r="D19" s="179" t="n">
        <v>0.03</v>
      </c>
    </row>
    <row r="20" ht="18.75" customHeight="1" s="190">
      <c r="B20" s="108" t="n"/>
    </row>
    <row r="21" ht="18.75" customHeight="1" s="190">
      <c r="B21" s="108" t="n"/>
    </row>
    <row r="22" ht="18.75" customHeight="1" s="190">
      <c r="B22" s="108" t="n"/>
    </row>
    <row r="23" ht="18.75" customHeight="1" s="190">
      <c r="B23" s="108" t="n"/>
    </row>
    <row r="26">
      <c r="B26" s="191" t="inlineStr">
        <is>
          <t>Составил ______________________       Р.Р. Шагеева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191" t="n"/>
      <c r="C28" s="201" t="n"/>
    </row>
    <row r="29">
      <c r="B29" s="191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40" sqref="D40"/>
    </sheetView>
  </sheetViews>
  <sheetFormatPr baseColWidth="8" defaultRowHeight="15"/>
  <cols>
    <col width="9.140625" customWidth="1" style="190" min="1" max="1"/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  <col width="9.140625" customWidth="1" style="190" min="7" max="7"/>
  </cols>
  <sheetData>
    <row r="2" ht="18" customHeight="1" s="190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90">
      <c r="A7" s="25" t="inlineStr">
        <is>
          <t>1.1</t>
        </is>
      </c>
      <c r="B7" s="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50" t="n">
        <v>47872.94</v>
      </c>
      <c r="F7" s="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90">
      <c r="A8" s="25" t="inlineStr">
        <is>
          <t>1.2</t>
        </is>
      </c>
      <c r="B8" s="51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50">
        <f>1973/12</f>
        <v/>
      </c>
      <c r="F8" s="51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1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50" t="n">
        <v>1</v>
      </c>
      <c r="F9" s="51" t="n"/>
      <c r="G9" s="32" t="n"/>
    </row>
    <row r="10">
      <c r="A10" s="25" t="inlineStr">
        <is>
          <t>1.4</t>
        </is>
      </c>
      <c r="B10" s="51" t="inlineStr">
        <is>
          <t>Средний разряд работ</t>
        </is>
      </c>
      <c r="C10" s="28" t="n"/>
      <c r="D10" s="28" t="n"/>
      <c r="E10" s="33" t="n">
        <v>3.7</v>
      </c>
      <c r="F10" s="51" t="inlineStr">
        <is>
          <t>РТМ</t>
        </is>
      </c>
      <c r="G10" s="32" t="n"/>
    </row>
    <row r="11" ht="75" customHeight="1" s="190">
      <c r="A11" s="25" t="inlineStr">
        <is>
          <t>1.5</t>
        </is>
      </c>
      <c r="B11" s="51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1.293</v>
      </c>
      <c r="F11" s="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9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9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2025-01-24T12:10:49Z</dcterms:modified>
  <cp:lastModifiedBy>Danil</cp:lastModifiedBy>
  <cp:lastPrinted>2023-11-27T07:46:24Z</cp:lastPrinted>
</cp:coreProperties>
</file>