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0.00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00"/>
      <sz val="11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23" fillId="4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5" fillId="0" borderId="1" applyAlignment="1" pivotButton="0" quotePrefix="0" xfId="0">
      <alignment vertical="center" wrapText="1"/>
    </xf>
    <xf numFmtId="4" fontId="15" fillId="0" borderId="1" applyAlignment="1" pivotButton="0" quotePrefix="0" xfId="0">
      <alignment vertical="center" wrapText="1"/>
    </xf>
    <xf numFmtId="4" fontId="21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center" vertical="center" wrapText="1"/>
    </xf>
    <xf numFmtId="4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2" applyAlignment="1" pivotButton="0" quotePrefix="0" xfId="0">
      <alignment horizontal="center" vertical="center" wrapText="1"/>
    </xf>
    <xf numFmtId="4" fontId="16" fillId="0" borderId="6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opLeftCell="A16" zoomScale="70" zoomScaleNormal="70" workbookViewId="0">
      <selection activeCell="C27" sqref="C27"/>
    </sheetView>
  </sheetViews>
  <sheetFormatPr baseColWidth="8" defaultColWidth="9.140625" defaultRowHeight="15.75"/>
  <cols>
    <col width="9.140625" customWidth="1" style="244" min="1" max="2"/>
    <col width="51.7109375" customWidth="1" style="244" min="3" max="3"/>
    <col width="47" customWidth="1" style="244" min="4" max="4"/>
    <col width="37.42578125" customWidth="1" style="244" min="5" max="5"/>
    <col width="9.140625" customWidth="1" style="244" min="6" max="6"/>
  </cols>
  <sheetData>
    <row r="3">
      <c r="B3" s="266" t="inlineStr">
        <is>
          <t>Приложение № 1</t>
        </is>
      </c>
    </row>
    <row r="4">
      <c r="B4" s="267" t="inlineStr">
        <is>
          <t>Сравнительная таблица отбора объекта-представителя</t>
        </is>
      </c>
    </row>
    <row r="5" ht="84" customHeight="1" s="242">
      <c r="B5" s="27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42">
      <c r="B6" s="160" t="n"/>
      <c r="C6" s="160" t="n"/>
      <c r="D6" s="160" t="n"/>
    </row>
    <row r="7">
      <c r="B7" s="268" t="inlineStr">
        <is>
          <t>Наименование разрабатываемого показателя УНЦ — Демонтаж ВЛ 0,4 кВ одна цепь</t>
        </is>
      </c>
    </row>
    <row r="8" ht="31.5" customHeight="1" s="242">
      <c r="B8" s="269" t="inlineStr">
        <is>
          <t>Сопоставимый уровень цен: 3 кв. 2018 г</t>
        </is>
      </c>
    </row>
    <row r="9" ht="15.75" customHeight="1" s="242">
      <c r="B9" s="269" t="inlineStr">
        <is>
          <t>Единица измерения  — 1 км</t>
        </is>
      </c>
    </row>
    <row r="10">
      <c r="B10" s="269" t="n"/>
    </row>
    <row r="11">
      <c r="B11" s="273" t="inlineStr">
        <is>
          <t>№ п/п</t>
        </is>
      </c>
      <c r="C11" s="273" t="inlineStr">
        <is>
          <t>Параметр</t>
        </is>
      </c>
      <c r="D11" s="273" t="inlineStr">
        <is>
          <t xml:space="preserve">Объект-представитель </t>
        </is>
      </c>
      <c r="E11" s="145" t="n"/>
    </row>
    <row r="12" ht="96.75" customHeight="1" s="242">
      <c r="B12" s="273" t="n">
        <v>1</v>
      </c>
      <c r="C12" s="280" t="inlineStr">
        <is>
          <t>Наименование объекта-представителя</t>
        </is>
      </c>
      <c r="D12" s="221" t="inlineStr">
        <is>
          <t>ВЛ 0,4 СТ-5-373</t>
        </is>
      </c>
    </row>
    <row r="13">
      <c r="B13" s="273" t="n">
        <v>2</v>
      </c>
      <c r="C13" s="280" t="inlineStr">
        <is>
          <t>Наименование субъекта Российской Федерации</t>
        </is>
      </c>
      <c r="D13" s="221" t="inlineStr">
        <is>
          <t>Краснодарский край</t>
        </is>
      </c>
    </row>
    <row r="14">
      <c r="B14" s="273" t="n">
        <v>3</v>
      </c>
      <c r="C14" s="280" t="inlineStr">
        <is>
          <t>Климатический район и подрайон</t>
        </is>
      </c>
      <c r="D14" s="79" t="inlineStr">
        <is>
          <t>IIIБ</t>
        </is>
      </c>
    </row>
    <row r="15">
      <c r="B15" s="273" t="n">
        <v>4</v>
      </c>
      <c r="C15" s="280" t="inlineStr">
        <is>
          <t>Мощность объекта</t>
        </is>
      </c>
      <c r="D15" s="221" t="n">
        <v>1</v>
      </c>
    </row>
    <row r="16" ht="116.25" customHeight="1" s="242">
      <c r="B16" s="273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Зажим ZVZ 481 - 8 шт.
Кронштейн У4 3 шт.
Заземляющий проводник ЗП2М - 6,8 м.
Зажим ZP-2 - 9 шт.</t>
        </is>
      </c>
    </row>
    <row r="17" ht="79.5" customHeight="1" s="242">
      <c r="B17" s="273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>
        <f>SUM(D18:D21)</f>
        <v/>
      </c>
      <c r="E17" s="159" t="n"/>
    </row>
    <row r="18">
      <c r="B18" s="144" t="inlineStr">
        <is>
          <t>6.1</t>
        </is>
      </c>
      <c r="C18" s="280" t="inlineStr">
        <is>
          <t>строительно-монтажные работы</t>
        </is>
      </c>
      <c r="D18" s="152">
        <f>'Прил.2 Расч стоим'!F14</f>
        <v/>
      </c>
    </row>
    <row r="19" ht="15.75" customHeight="1" s="242">
      <c r="B19" s="144" t="inlineStr">
        <is>
          <t>6.2</t>
        </is>
      </c>
      <c r="C19" s="280" t="inlineStr">
        <is>
          <t>оборудование и инвентарь</t>
        </is>
      </c>
      <c r="D19" s="152" t="n"/>
    </row>
    <row r="20" ht="16.5" customHeight="1" s="242">
      <c r="B20" s="144" t="inlineStr">
        <is>
          <t>6.3</t>
        </is>
      </c>
      <c r="C20" s="280" t="inlineStr">
        <is>
          <t>пусконаладочные работы</t>
        </is>
      </c>
      <c r="D20" s="152" t="n"/>
    </row>
    <row r="21" ht="35.25" customHeight="1" s="242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73" t="n">
        <v>7</v>
      </c>
      <c r="C22" s="143" t="inlineStr">
        <is>
          <t>Сопоставимый уровень цен</t>
        </is>
      </c>
      <c r="D22" s="165" t="inlineStr">
        <is>
          <t>3 кв. 2018 г</t>
        </is>
      </c>
      <c r="E22" s="141" t="n"/>
    </row>
    <row r="23" ht="123" customHeight="1" s="242">
      <c r="B23" s="273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>
        <f>D17</f>
        <v/>
      </c>
      <c r="E23" s="159" t="n"/>
    </row>
    <row r="24" ht="60.75" customHeight="1" s="242">
      <c r="B24" s="273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>
        <f>D23/D15</f>
        <v/>
      </c>
      <c r="E24" s="141" t="n"/>
    </row>
    <row r="25" ht="48" customHeight="1" s="242">
      <c r="B25" s="273" t="n">
        <v>10</v>
      </c>
      <c r="C25" s="280" t="inlineStr">
        <is>
          <t>Примечание</t>
        </is>
      </c>
      <c r="D25" s="273" t="n"/>
    </row>
    <row r="26">
      <c r="B26" s="140" t="n"/>
      <c r="C26" s="139" t="n"/>
      <c r="D26" s="139" t="n"/>
    </row>
    <row r="27" ht="37.5" customHeight="1" s="242">
      <c r="B27" s="138" t="n"/>
    </row>
    <row r="28">
      <c r="B28" s="244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4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4" min="1" max="1"/>
    <col width="9.140625" customWidth="1" style="244" min="2" max="2"/>
    <col width="35.28515625" customWidth="1" style="244" min="3" max="3"/>
    <col width="13.85546875" customWidth="1" style="244" min="4" max="4"/>
    <col width="24.85546875" customWidth="1" style="244" min="5" max="5"/>
    <col width="15.5703125" customWidth="1" style="244" min="6" max="6"/>
    <col width="14.85546875" customWidth="1" style="244" min="7" max="7"/>
    <col width="16.7109375" customWidth="1" style="244" min="8" max="8"/>
    <col width="13" customWidth="1" style="244" min="9" max="10"/>
    <col width="18" customWidth="1" style="244" min="11" max="11"/>
    <col width="9.140625" customWidth="1" style="244" min="12" max="12"/>
  </cols>
  <sheetData>
    <row r="3">
      <c r="B3" s="266" t="inlineStr">
        <is>
          <t>Приложение № 2</t>
        </is>
      </c>
      <c r="K3" s="138" t="n"/>
    </row>
    <row r="4">
      <c r="B4" s="267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>
      <c r="B6" s="269">
        <f>'Прил.1 Сравнит табл'!B7:D7</f>
        <v/>
      </c>
    </row>
    <row r="7">
      <c r="B7" s="269">
        <f>'Прил.1 Сравнит табл'!B9:D9</f>
        <v/>
      </c>
    </row>
    <row r="8" ht="18.75" customHeight="1" s="242">
      <c r="B8" s="119" t="n"/>
    </row>
    <row r="9" ht="15.75" customHeight="1" s="242">
      <c r="B9" s="273" t="inlineStr">
        <is>
          <t>№ п/п</t>
        </is>
      </c>
      <c r="C9" s="27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3" t="inlineStr">
        <is>
          <t>Объект-представитель 1</t>
        </is>
      </c>
      <c r="E9" s="364" t="n"/>
      <c r="F9" s="364" t="n"/>
      <c r="G9" s="364" t="n"/>
      <c r="H9" s="364" t="n"/>
      <c r="I9" s="364" t="n"/>
      <c r="J9" s="365" t="n"/>
    </row>
    <row r="10" ht="15.75" customHeight="1" s="242">
      <c r="B10" s="366" t="n"/>
      <c r="C10" s="366" t="n"/>
      <c r="D10" s="273" t="inlineStr">
        <is>
          <t>Номер сметы</t>
        </is>
      </c>
      <c r="E10" s="273" t="inlineStr">
        <is>
          <t>Наименование сметы</t>
        </is>
      </c>
      <c r="F10" s="273" t="inlineStr">
        <is>
          <t>Сметная стоимость в уровне цен 3 кв. 2018 г., тыс. руб.</t>
        </is>
      </c>
      <c r="G10" s="364" t="n"/>
      <c r="H10" s="364" t="n"/>
      <c r="I10" s="364" t="n"/>
      <c r="J10" s="365" t="n"/>
    </row>
    <row r="11" ht="31.5" customHeight="1" s="242">
      <c r="B11" s="367" t="n"/>
      <c r="C11" s="367" t="n"/>
      <c r="D11" s="367" t="n"/>
      <c r="E11" s="367" t="n"/>
      <c r="F11" s="273" t="inlineStr">
        <is>
          <t>Строительные работы</t>
        </is>
      </c>
      <c r="G11" s="273" t="inlineStr">
        <is>
          <t>Монтажные работы</t>
        </is>
      </c>
      <c r="H11" s="273" t="inlineStr">
        <is>
          <t>Оборудование</t>
        </is>
      </c>
      <c r="I11" s="273" t="inlineStr">
        <is>
          <t>Прочее</t>
        </is>
      </c>
      <c r="J11" s="273" t="inlineStr">
        <is>
          <t>Всего</t>
        </is>
      </c>
    </row>
    <row r="12" ht="15" customHeight="1" s="242">
      <c r="B12" s="239" t="n"/>
      <c r="C12" s="239" t="inlineStr">
        <is>
          <t>Демонтаж ВЛ 0,4 кВ одна цепь</t>
        </is>
      </c>
      <c r="D12" s="239" t="n"/>
      <c r="E12" s="239" t="n"/>
      <c r="F12" s="152" t="n">
        <v>21.2316954</v>
      </c>
      <c r="G12" s="365" t="n"/>
      <c r="H12" s="239" t="n"/>
      <c r="I12" s="239" t="n"/>
      <c r="J12" s="240">
        <f>F12</f>
        <v/>
      </c>
    </row>
    <row r="13" ht="15" customHeight="1" s="242">
      <c r="B13" s="276" t="inlineStr">
        <is>
          <t>Всего по объекту:</t>
        </is>
      </c>
      <c r="C13" s="364" t="n"/>
      <c r="D13" s="364" t="n"/>
      <c r="E13" s="365" t="n"/>
      <c r="F13" s="161" t="n"/>
      <c r="G13" s="161" t="n"/>
      <c r="H13" s="161" t="n"/>
      <c r="I13" s="161" t="n"/>
      <c r="J13" s="161" t="n"/>
    </row>
    <row r="14" ht="15.75" customHeight="1" s="242">
      <c r="B14" s="276" t="inlineStr">
        <is>
          <t>Всего по объекту в сопоставимом уровне цен 3 кв. 2018г:</t>
        </is>
      </c>
      <c r="C14" s="364" t="n"/>
      <c r="D14" s="364" t="n"/>
      <c r="E14" s="365" t="n"/>
      <c r="F14" s="368">
        <f>F12</f>
        <v/>
      </c>
      <c r="G14" s="365" t="n"/>
      <c r="H14" s="161" t="n"/>
      <c r="I14" s="161" t="n"/>
      <c r="J14" s="241">
        <f>J12</f>
        <v/>
      </c>
    </row>
    <row r="15" ht="15" customHeight="1" s="242"/>
    <row r="16" ht="15" customHeight="1" s="242"/>
    <row r="17" ht="15" customHeight="1" s="242"/>
    <row r="18" ht="15" customHeight="1" s="242">
      <c r="C18" s="235" t="inlineStr">
        <is>
          <t>Составил ______________________     Д.А. Самуйленко</t>
        </is>
      </c>
      <c r="D18" s="236" t="n"/>
      <c r="E18" s="236" t="n"/>
    </row>
    <row r="19" ht="15" customHeight="1" s="242">
      <c r="C19" s="238" t="inlineStr">
        <is>
          <t xml:space="preserve">                         (подпись, инициалы, фамилия)</t>
        </is>
      </c>
      <c r="D19" s="236" t="n"/>
      <c r="E19" s="236" t="n"/>
    </row>
    <row r="20" ht="15" customHeight="1" s="242">
      <c r="C20" s="235" t="n"/>
      <c r="D20" s="236" t="n"/>
      <c r="E20" s="236" t="n"/>
    </row>
    <row r="21" ht="15" customHeight="1" s="242">
      <c r="C21" s="235" t="inlineStr">
        <is>
          <t>Проверил ______________________        А.В. Костянецкая</t>
        </is>
      </c>
      <c r="D21" s="236" t="n"/>
      <c r="E21" s="236" t="n"/>
    </row>
    <row r="22" ht="15" customHeight="1" s="242">
      <c r="C22" s="238" t="inlineStr">
        <is>
          <t xml:space="preserve">                        (подпись, инициалы, фамилия)</t>
        </is>
      </c>
      <c r="D22" s="236" t="n"/>
      <c r="E22" s="236" t="n"/>
    </row>
    <row r="26" ht="15" customHeight="1" s="242"/>
    <row r="28" ht="15" customHeight="1" s="24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64"/>
  <sheetViews>
    <sheetView view="pageBreakPreview" topLeftCell="A46" workbookViewId="0">
      <selection activeCell="C61" sqref="C61"/>
    </sheetView>
  </sheetViews>
  <sheetFormatPr baseColWidth="8" defaultColWidth="9.140625" defaultRowHeight="15.75"/>
  <cols>
    <col width="9.140625" customWidth="1" style="244" min="1" max="1"/>
    <col width="12.5703125" customWidth="1" style="244" min="2" max="2"/>
    <col width="22.42578125" customWidth="1" style="244" min="3" max="3"/>
    <col width="49.7109375" customWidth="1" style="244" min="4" max="4"/>
    <col width="10.140625" customWidth="1" style="244" min="5" max="5"/>
    <col width="20.7109375" customWidth="1" style="244" min="6" max="6"/>
    <col width="20" customWidth="1" style="244" min="7" max="7"/>
    <col width="16.7109375" customWidth="1" style="244" min="8" max="8"/>
    <col width="9.140625" customWidth="1" style="244" min="9" max="9"/>
    <col width="15.5703125" customWidth="1" style="244" min="10" max="10"/>
    <col width="15" customWidth="1" style="244" min="11" max="11"/>
    <col width="9.140625" customWidth="1" style="244" min="12" max="12"/>
  </cols>
  <sheetData>
    <row r="2">
      <c r="A2" s="266" t="inlineStr">
        <is>
          <t xml:space="preserve">Приложение № 3 </t>
        </is>
      </c>
    </row>
    <row r="3">
      <c r="A3" s="267" t="inlineStr">
        <is>
          <t>Объектная ресурсная ведомость</t>
        </is>
      </c>
    </row>
    <row r="4">
      <c r="A4" s="285" t="n"/>
    </row>
    <row r="5">
      <c r="A5" s="269" t="n"/>
    </row>
    <row r="6">
      <c r="A6" s="284" t="inlineStr">
        <is>
          <t>Наименование разрабатываемого показателя УНЦ — Демонтаж ВЛ 0,4 кВ одна цепь</t>
        </is>
      </c>
    </row>
    <row r="7" s="242">
      <c r="A7" s="284" t="n"/>
      <c r="B7" s="284" t="n"/>
      <c r="C7" s="284" t="n"/>
      <c r="D7" s="284" t="n"/>
      <c r="E7" s="284" t="n"/>
      <c r="F7" s="284" t="n"/>
      <c r="G7" s="284" t="n"/>
      <c r="H7" s="284" t="n"/>
      <c r="I7" s="244" t="n"/>
      <c r="J7" s="244" t="n"/>
      <c r="K7" s="244" t="n"/>
      <c r="L7" s="244" t="n"/>
    </row>
    <row r="8">
      <c r="A8" s="284" t="n"/>
      <c r="B8" s="284" t="n"/>
      <c r="C8" s="284" t="n"/>
      <c r="D8" s="284" t="n"/>
      <c r="E8" s="284" t="n"/>
      <c r="F8" s="284" t="n"/>
      <c r="G8" s="284" t="n"/>
      <c r="H8" s="284" t="n"/>
    </row>
    <row r="9" ht="38.25" customHeight="1" s="242">
      <c r="A9" s="273" t="inlineStr">
        <is>
          <t>п/п</t>
        </is>
      </c>
      <c r="B9" s="273" t="inlineStr">
        <is>
          <t>№ЛСР</t>
        </is>
      </c>
      <c r="C9" s="273" t="inlineStr">
        <is>
          <t>Код ресурса</t>
        </is>
      </c>
      <c r="D9" s="273" t="inlineStr">
        <is>
          <t>Наименование ресурса</t>
        </is>
      </c>
      <c r="E9" s="273" t="inlineStr">
        <is>
          <t>Ед. изм.</t>
        </is>
      </c>
      <c r="F9" s="273" t="inlineStr">
        <is>
          <t>Кол-во единиц по данным объекта-представителя</t>
        </is>
      </c>
      <c r="G9" s="273" t="inlineStr">
        <is>
          <t>Сметная стоимость в ценах на 01.01.2000 (руб.)</t>
        </is>
      </c>
      <c r="H9" s="365" t="n"/>
    </row>
    <row r="10" ht="40.5" customHeight="1" s="242">
      <c r="A10" s="367" t="n"/>
      <c r="B10" s="367" t="n"/>
      <c r="C10" s="367" t="n"/>
      <c r="D10" s="367" t="n"/>
      <c r="E10" s="367" t="n"/>
      <c r="F10" s="367" t="n"/>
      <c r="G10" s="273" t="inlineStr">
        <is>
          <t>на ед.изм.</t>
        </is>
      </c>
      <c r="H10" s="273" t="inlineStr">
        <is>
          <t>общая</t>
        </is>
      </c>
    </row>
    <row r="11">
      <c r="A11" s="257" t="n">
        <v>1</v>
      </c>
      <c r="B11" s="257" t="n"/>
      <c r="C11" s="257" t="n">
        <v>2</v>
      </c>
      <c r="D11" s="257" t="inlineStr">
        <is>
          <t>З</t>
        </is>
      </c>
      <c r="E11" s="257" t="n">
        <v>4</v>
      </c>
      <c r="F11" s="257" t="n">
        <v>5</v>
      </c>
      <c r="G11" s="257" t="n">
        <v>6</v>
      </c>
      <c r="H11" s="257" t="n">
        <v>7</v>
      </c>
    </row>
    <row r="12" customFormat="1" s="229">
      <c r="A12" s="281" t="inlineStr">
        <is>
          <t>Затраты труда рабочих</t>
        </is>
      </c>
      <c r="B12" s="364" t="n"/>
      <c r="C12" s="364" t="n"/>
      <c r="D12" s="364" t="n"/>
      <c r="E12" s="365" t="n"/>
      <c r="F12" s="369" t="n">
        <v>80.64</v>
      </c>
      <c r="G12" s="10" t="n"/>
      <c r="H12" s="369">
        <f>SUM(H13:H16)</f>
        <v/>
      </c>
    </row>
    <row r="13">
      <c r="A13" s="173" t="n">
        <v>1</v>
      </c>
      <c r="B13" s="213" t="n"/>
      <c r="C13" s="216" t="inlineStr">
        <is>
          <t>1-3-3</t>
        </is>
      </c>
      <c r="D13" s="294" t="inlineStr">
        <is>
          <t>Затраты труда рабочих (средний разряд работы 3,3)</t>
        </is>
      </c>
      <c r="E13" s="291" t="inlineStr">
        <is>
          <t>чел.-ч</t>
        </is>
      </c>
      <c r="F13" s="370" t="n">
        <v>58.5</v>
      </c>
      <c r="G13" s="223" t="n">
        <v>8.859999999999999</v>
      </c>
      <c r="H13" s="223">
        <f>ROUND(F13*G13,2)</f>
        <v/>
      </c>
    </row>
    <row r="14">
      <c r="A14" s="173" t="n">
        <v>2</v>
      </c>
      <c r="B14" s="213" t="n"/>
      <c r="C14" s="216" t="inlineStr">
        <is>
          <t>1-3-9</t>
        </is>
      </c>
      <c r="D14" s="294" t="inlineStr">
        <is>
          <t>Затраты труда рабочих (средний разряд работы 3,9)</t>
        </is>
      </c>
      <c r="E14" s="291" t="inlineStr">
        <is>
          <t>чел.-ч</t>
        </is>
      </c>
      <c r="F14" s="370" t="n">
        <v>11.42</v>
      </c>
      <c r="G14" s="223" t="n">
        <v>9.51</v>
      </c>
      <c r="H14" s="223">
        <f>ROUND(F14*G14,2)</f>
        <v/>
      </c>
    </row>
    <row r="15">
      <c r="A15" s="173" t="n">
        <v>3</v>
      </c>
      <c r="B15" s="213" t="n"/>
      <c r="C15" s="216" t="inlineStr">
        <is>
          <t>1-2-5</t>
        </is>
      </c>
      <c r="D15" s="294" t="inlineStr">
        <is>
          <t>Затраты труда рабочих (средний разряд работы 2,5)</t>
        </is>
      </c>
      <c r="E15" s="291" t="inlineStr">
        <is>
          <t>чел.-ч</t>
        </is>
      </c>
      <c r="F15" s="370" t="n">
        <v>7.48</v>
      </c>
      <c r="G15" s="223" t="n">
        <v>8.17</v>
      </c>
      <c r="H15" s="223">
        <f>ROUND(F15*G15,2)</f>
        <v/>
      </c>
    </row>
    <row r="16">
      <c r="A16" s="173" t="n">
        <v>4</v>
      </c>
      <c r="B16" s="213" t="n"/>
      <c r="C16" s="216" t="inlineStr">
        <is>
          <t>1-2-9</t>
        </is>
      </c>
      <c r="D16" s="294" t="inlineStr">
        <is>
          <t>Затраты труда рабочих (средний разряд работы 2,9)</t>
        </is>
      </c>
      <c r="E16" s="291" t="inlineStr">
        <is>
          <t>чел.-ч</t>
        </is>
      </c>
      <c r="F16" s="370" t="n">
        <v>3.24</v>
      </c>
      <c r="G16" s="223" t="n">
        <v>8.460000000000001</v>
      </c>
      <c r="H16" s="223">
        <f>ROUND(F16*G16,2)</f>
        <v/>
      </c>
    </row>
    <row r="17">
      <c r="A17" s="277" t="inlineStr">
        <is>
          <t>Затраты труда машинистов</t>
        </is>
      </c>
      <c r="B17" s="364" t="n"/>
      <c r="C17" s="364" t="n"/>
      <c r="D17" s="364" t="n"/>
      <c r="E17" s="365" t="n"/>
      <c r="F17" s="281" t="n"/>
      <c r="G17" s="149" t="n"/>
      <c r="H17" s="369">
        <f>H18</f>
        <v/>
      </c>
    </row>
    <row r="18">
      <c r="A18" s="291" t="n">
        <v>5</v>
      </c>
      <c r="B18" s="279" t="n"/>
      <c r="C18" s="216" t="n">
        <v>2</v>
      </c>
      <c r="D18" s="294" t="inlineStr">
        <is>
          <t>Затраты труда машинистов</t>
        </is>
      </c>
      <c r="E18" s="291" t="inlineStr">
        <is>
          <t>чел.-ч</t>
        </is>
      </c>
      <c r="F18" s="371" t="n">
        <v>26.28425</v>
      </c>
      <c r="G18" s="209" t="n"/>
      <c r="H18" s="223" t="n">
        <v>375.64</v>
      </c>
    </row>
    <row r="19" customFormat="1" s="229">
      <c r="A19" s="281" t="inlineStr">
        <is>
          <t>Машины и механизмы</t>
        </is>
      </c>
      <c r="B19" s="364" t="n"/>
      <c r="C19" s="364" t="n"/>
      <c r="D19" s="364" t="n"/>
      <c r="E19" s="365" t="n"/>
      <c r="F19" s="281" t="n"/>
      <c r="G19" s="149" t="n"/>
      <c r="H19" s="369">
        <f>SUM(H20:H30)</f>
        <v/>
      </c>
    </row>
    <row r="20" ht="25.5" customHeight="1" s="242">
      <c r="A20" s="291" t="n">
        <v>6</v>
      </c>
      <c r="B20" s="279" t="n"/>
      <c r="C20" s="216" t="inlineStr">
        <is>
          <t>91.04.01-031</t>
        </is>
      </c>
      <c r="D20" s="294" t="inlineStr">
        <is>
          <t>Машины бурильно-крановые на автомобиле, глубина бурения 3,5 м</t>
        </is>
      </c>
      <c r="E20" s="291" t="inlineStr">
        <is>
          <t>маш.-ч</t>
        </is>
      </c>
      <c r="F20" s="291" t="n">
        <v>13.2</v>
      </c>
      <c r="G20" s="296" t="n">
        <v>138.54</v>
      </c>
      <c r="H20" s="223">
        <f>ROUND(F20*G20,2)</f>
        <v/>
      </c>
      <c r="I20" s="153" t="n"/>
      <c r="J20" s="163" t="n"/>
      <c r="L20" s="153" t="n"/>
    </row>
    <row r="21">
      <c r="A21" s="291" t="n">
        <v>7</v>
      </c>
      <c r="B21" s="279" t="n"/>
      <c r="C21" s="216" t="inlineStr">
        <is>
          <t>91.06.06-011</t>
        </is>
      </c>
      <c r="D21" s="294" t="inlineStr">
        <is>
          <t>Автогидроподъемники, высота подъема 12 м</t>
        </is>
      </c>
      <c r="E21" s="291" t="inlineStr">
        <is>
          <t>маш.-ч</t>
        </is>
      </c>
      <c r="F21" s="291" t="n">
        <v>4.27</v>
      </c>
      <c r="G21" s="296" t="n">
        <v>82.22</v>
      </c>
      <c r="H21" s="223">
        <f>ROUND(F21*G21,2)</f>
        <v/>
      </c>
      <c r="I21" s="153" t="n"/>
    </row>
    <row r="22">
      <c r="A22" s="291" t="n">
        <v>8</v>
      </c>
      <c r="B22" s="279" t="n"/>
      <c r="C22" s="216" t="inlineStr">
        <is>
          <t>91.05.05-014</t>
        </is>
      </c>
      <c r="D22" s="294" t="inlineStr">
        <is>
          <t>Краны на автомобильном ходу, грузоподъемность 10 т</t>
        </is>
      </c>
      <c r="E22" s="291" t="inlineStr">
        <is>
          <t>маш.-ч</t>
        </is>
      </c>
      <c r="F22" s="291" t="n">
        <v>3.02</v>
      </c>
      <c r="G22" s="296" t="n">
        <v>111.99</v>
      </c>
      <c r="H22" s="223">
        <f>ROUND(F22*G22,2)</f>
        <v/>
      </c>
      <c r="I22" s="153" t="n"/>
    </row>
    <row r="23" ht="25.5" customHeight="1" s="242">
      <c r="A23" s="291" t="n">
        <v>9</v>
      </c>
      <c r="B23" s="279" t="n"/>
      <c r="C23" s="216" t="inlineStr">
        <is>
          <t>91.15.03-014</t>
        </is>
      </c>
      <c r="D23" s="294" t="inlineStr">
        <is>
          <t>Тракторы на пневмоколесном ходу, мощность 59 кВт (80 л.с.)</t>
        </is>
      </c>
      <c r="E23" s="291" t="inlineStr">
        <is>
          <t>маш.-ч</t>
        </is>
      </c>
      <c r="F23" s="291" t="n">
        <v>4.08</v>
      </c>
      <c r="G23" s="296" t="n">
        <v>74.61</v>
      </c>
      <c r="H23" s="223">
        <f>ROUND(F23*G23,2)</f>
        <v/>
      </c>
      <c r="I23" s="153" t="n"/>
      <c r="J23" s="163" t="n"/>
      <c r="L23" s="153" t="n"/>
    </row>
    <row r="24" ht="25.5" customHeight="1" s="242">
      <c r="A24" s="291" t="n">
        <v>10</v>
      </c>
      <c r="B24" s="279" t="n"/>
      <c r="C24" s="216" t="inlineStr">
        <is>
          <t>91.21.22-195</t>
        </is>
      </c>
      <c r="D24" s="294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24" s="291" t="inlineStr">
        <is>
          <t>маш.-ч</t>
        </is>
      </c>
      <c r="F24" s="291" t="n">
        <v>2.44</v>
      </c>
      <c r="G24" s="296" t="n">
        <v>91.13</v>
      </c>
      <c r="H24" s="223">
        <f>ROUND(F24*G24,2)</f>
        <v/>
      </c>
      <c r="I24" s="153" t="n"/>
      <c r="L24" s="153" t="n"/>
    </row>
    <row r="25" ht="38.25" customHeight="1" s="242">
      <c r="A25" s="173" t="n">
        <v>11</v>
      </c>
      <c r="B25" s="279" t="n"/>
      <c r="C25" s="216" t="inlineStr">
        <is>
          <t>91.18.01-007</t>
        </is>
      </c>
      <c r="D25" s="29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5" s="291" t="inlineStr">
        <is>
          <t>маш.-ч</t>
        </is>
      </c>
      <c r="F25" s="291" t="n">
        <v>2.44</v>
      </c>
      <c r="G25" s="296" t="n">
        <v>90</v>
      </c>
      <c r="H25" s="223">
        <f>ROUND(F25*G25,2)</f>
        <v/>
      </c>
      <c r="I25" s="164" t="n"/>
    </row>
    <row r="26">
      <c r="A26" s="291" t="n">
        <v>12</v>
      </c>
      <c r="B26" s="279" t="n"/>
      <c r="C26" s="216" t="inlineStr">
        <is>
          <t>91.14.02-001</t>
        </is>
      </c>
      <c r="D26" s="294" t="inlineStr">
        <is>
          <t>Автомобили бортовые, грузоподъемность до 5 т</t>
        </is>
      </c>
      <c r="E26" s="291" t="inlineStr">
        <is>
          <t>маш.-ч</t>
        </is>
      </c>
      <c r="F26" s="291" t="n">
        <v>3.01</v>
      </c>
      <c r="G26" s="296" t="n">
        <v>65.70999999999999</v>
      </c>
      <c r="H26" s="223">
        <f>ROUND(F26*G26,2)</f>
        <v/>
      </c>
      <c r="I26" s="153" t="n"/>
    </row>
    <row r="27" ht="25.5" customHeight="1" s="242">
      <c r="A27" s="291" t="n">
        <v>13</v>
      </c>
      <c r="B27" s="279" t="n"/>
      <c r="C27" s="216" t="inlineStr">
        <is>
          <t>91.06.03-057</t>
        </is>
      </c>
      <c r="D27" s="294" t="inlineStr">
        <is>
          <t>Лебедки электрические тяговым усилием 122,62 кН (12,5 т)</t>
        </is>
      </c>
      <c r="E27" s="291" t="inlineStr">
        <is>
          <t>маш.-ч</t>
        </is>
      </c>
      <c r="F27" s="291" t="n">
        <v>2.09</v>
      </c>
      <c r="G27" s="296" t="n">
        <v>80.73999999999999</v>
      </c>
      <c r="H27" s="223">
        <f>ROUND(F27*G27,2)</f>
        <v/>
      </c>
      <c r="I27" s="153" t="n"/>
    </row>
    <row r="28">
      <c r="A28" s="291" t="n">
        <v>14</v>
      </c>
      <c r="B28" s="279" t="n"/>
      <c r="C28" s="216" t="inlineStr">
        <is>
          <t>91.15.01-001</t>
        </is>
      </c>
      <c r="D28" s="294" t="inlineStr">
        <is>
          <t>Прицепы тракторные 2 т</t>
        </is>
      </c>
      <c r="E28" s="291" t="inlineStr">
        <is>
          <t>маш.-ч</t>
        </is>
      </c>
      <c r="F28" s="291" t="n">
        <v>4.08</v>
      </c>
      <c r="G28" s="296" t="n">
        <v>4.01</v>
      </c>
      <c r="H28" s="223">
        <f>ROUND(F28*G28,2)</f>
        <v/>
      </c>
      <c r="I28" s="153" t="n"/>
    </row>
    <row r="29" ht="25.5" customHeight="1" s="242">
      <c r="A29" s="291" t="n">
        <v>15</v>
      </c>
      <c r="B29" s="279" t="n"/>
      <c r="C29" s="216" t="inlineStr">
        <is>
          <t>91.17.04-036</t>
        </is>
      </c>
      <c r="D29" s="294" t="inlineStr">
        <is>
          <t>Агрегаты сварочные передвижные с дизельным двигателем, номинальный сварочный ток 250-400 А</t>
        </is>
      </c>
      <c r="E29" s="291" t="inlineStr">
        <is>
          <t>маш.-ч</t>
        </is>
      </c>
      <c r="F29" s="291" t="n">
        <v>0.76</v>
      </c>
      <c r="G29" s="296" t="n">
        <v>14</v>
      </c>
      <c r="H29" s="223">
        <f>ROUND(F29*G29,2)</f>
        <v/>
      </c>
      <c r="I29" s="153" t="n"/>
    </row>
    <row r="30">
      <c r="A30" s="291" t="n">
        <v>16</v>
      </c>
      <c r="B30" s="279" t="n"/>
      <c r="C30" s="216" t="inlineStr">
        <is>
          <t>91.06.01-002</t>
        </is>
      </c>
      <c r="D30" s="294" t="inlineStr">
        <is>
          <t>Домкраты гидравлические, грузоподъемность 6,3-25 т</t>
        </is>
      </c>
      <c r="E30" s="291" t="inlineStr">
        <is>
          <t>маш.-ч</t>
        </is>
      </c>
      <c r="F30" s="291" t="n">
        <v>1.71</v>
      </c>
      <c r="G30" s="296" t="n">
        <v>0.48</v>
      </c>
      <c r="H30" s="223">
        <f>ROUND(F30*G30,2)</f>
        <v/>
      </c>
      <c r="I30" s="153" t="n"/>
    </row>
    <row r="31">
      <c r="A31" s="278" t="inlineStr">
        <is>
          <t>Материалы</t>
        </is>
      </c>
      <c r="B31" s="364" t="n"/>
      <c r="C31" s="364" t="n"/>
      <c r="D31" s="364" t="n"/>
      <c r="E31" s="365" t="n"/>
      <c r="F31" s="278" t="n"/>
      <c r="G31" s="208" t="n"/>
      <c r="H31" s="369">
        <f>SUM(H32:H57)</f>
        <v/>
      </c>
    </row>
    <row r="32">
      <c r="A32" s="173" t="n">
        <v>17</v>
      </c>
      <c r="B32" s="279" t="n"/>
      <c r="C32" s="216" t="inlineStr">
        <is>
          <t>20.1.02.23-0121</t>
        </is>
      </c>
      <c r="D32" s="294" t="inlineStr">
        <is>
          <t>Проводник заземляющий П-750</t>
        </is>
      </c>
      <c r="E32" s="291" t="inlineStr">
        <is>
          <t>шт</t>
        </is>
      </c>
      <c r="F32" s="291" t="n">
        <v>12</v>
      </c>
      <c r="G32" s="223" t="n">
        <v>158.95</v>
      </c>
      <c r="H32" s="223">
        <f>ROUND(F32*G32,2)</f>
        <v/>
      </c>
    </row>
    <row r="33">
      <c r="A33" s="173" t="n">
        <v>18</v>
      </c>
      <c r="B33" s="279" t="n"/>
      <c r="C33" s="216" t="inlineStr">
        <is>
          <t>20.1.01.01-0003</t>
        </is>
      </c>
      <c r="D33" s="294" t="inlineStr">
        <is>
          <t>Зажимы анкерные РА 1500, без кронштейна</t>
        </is>
      </c>
      <c r="E33" s="291" t="inlineStr">
        <is>
          <t>100 шт</t>
        </is>
      </c>
      <c r="F33" s="291" t="n">
        <v>0.14</v>
      </c>
      <c r="G33" s="223" t="n">
        <v>9540</v>
      </c>
      <c r="H33" s="223">
        <f>ROUND(F33*G33,2)</f>
        <v/>
      </c>
    </row>
    <row r="34" ht="25.5" customHeight="1" s="242">
      <c r="A34" s="173" t="n">
        <v>19</v>
      </c>
      <c r="B34" s="279" t="n"/>
      <c r="C34" s="216" t="inlineStr">
        <is>
          <t>20.1.01.08-0013</t>
        </is>
      </c>
      <c r="D34" s="294" t="inlineStr">
        <is>
          <t>Зажим ответвительный с прокалыванием изоляции (СИП): N 640</t>
        </is>
      </c>
      <c r="E34" s="291" t="inlineStr">
        <is>
          <t>100 шт</t>
        </is>
      </c>
      <c r="F34" s="291" t="n">
        <v>0.19</v>
      </c>
      <c r="G34" s="223" t="n">
        <v>7182</v>
      </c>
      <c r="H34" s="223">
        <f>ROUND(F34*G34,2)</f>
        <v/>
      </c>
      <c r="I34" s="164" t="n"/>
      <c r="K34" s="153" t="n"/>
    </row>
    <row r="35" ht="38.25" customHeight="1" s="242">
      <c r="A35" s="173" t="n">
        <v>20</v>
      </c>
      <c r="B35" s="279" t="n"/>
      <c r="C35" s="216" t="inlineStr">
        <is>
          <t>20.1.01.08-0011</t>
        </is>
      </c>
      <c r="D35" s="294" t="inlineStr">
        <is>
          <t>Зажим ответвительный с прокалыванием изоляции (СИП): CDR/CN-1S95UK</t>
        </is>
      </c>
      <c r="E35" s="291" t="inlineStr">
        <is>
          <t>100 шт</t>
        </is>
      </c>
      <c r="F35" s="291" t="n">
        <v>0.08</v>
      </c>
      <c r="G35" s="223" t="n">
        <v>12697</v>
      </c>
      <c r="H35" s="223">
        <f>ROUND(F35*G35,2)</f>
        <v/>
      </c>
      <c r="I35" s="164" t="n"/>
    </row>
    <row r="36">
      <c r="A36" s="173" t="n">
        <v>21</v>
      </c>
      <c r="B36" s="279" t="n"/>
      <c r="C36" s="216" t="inlineStr">
        <is>
          <t>20.2.06.05-0018</t>
        </is>
      </c>
      <c r="D36" s="294" t="inlineStr">
        <is>
          <t>Кронштейн</t>
        </is>
      </c>
      <c r="E36" s="291" t="inlineStr">
        <is>
          <t>шт</t>
        </is>
      </c>
      <c r="F36" s="291" t="n">
        <v>3</v>
      </c>
      <c r="G36" s="223" t="n">
        <v>337.37</v>
      </c>
      <c r="H36" s="223">
        <f>ROUND(F36*G36,2)</f>
        <v/>
      </c>
    </row>
    <row r="37" ht="25.5" customHeight="1" s="242">
      <c r="A37" s="173" t="n">
        <v>22</v>
      </c>
      <c r="B37" s="279" t="n"/>
      <c r="C37" s="216" t="inlineStr">
        <is>
          <t>20.1.01.08-0015</t>
        </is>
      </c>
      <c r="D37" s="294" t="inlineStr">
        <is>
          <t>Зажим ответвительный с прокалыванием изоляции (СИП): RDP25/CN</t>
        </is>
      </c>
      <c r="E37" s="291" t="inlineStr">
        <is>
          <t>100 шт</t>
        </is>
      </c>
      <c r="F37" s="291" t="n">
        <v>0.09</v>
      </c>
      <c r="G37" s="223" t="n">
        <v>9230</v>
      </c>
      <c r="H37" s="223">
        <f>ROUND(F37*G37,2)</f>
        <v/>
      </c>
      <c r="I37" s="164" t="n"/>
    </row>
    <row r="38" ht="38.25" customHeight="1" s="242">
      <c r="A38" s="173" t="n">
        <v>23</v>
      </c>
      <c r="B38" s="279" t="n"/>
      <c r="C38" s="216" t="inlineStr">
        <is>
          <t>25.2.02.11-0021</t>
        </is>
      </c>
      <c r="D38" s="294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38" s="291" t="inlineStr">
        <is>
          <t>шт</t>
        </is>
      </c>
      <c r="F38" s="291" t="n">
        <v>0.5</v>
      </c>
      <c r="G38" s="223" t="n">
        <v>943.0599999999999</v>
      </c>
      <c r="H38" s="223">
        <f>ROUND(F38*G38,2)</f>
        <v/>
      </c>
      <c r="I38" s="164" t="n"/>
    </row>
    <row r="39">
      <c r="A39" s="173" t="n">
        <v>24</v>
      </c>
      <c r="B39" s="279" t="n"/>
      <c r="C39" s="216" t="inlineStr">
        <is>
          <t>20.1.01.07-0004</t>
        </is>
      </c>
      <c r="D39" s="294" t="inlineStr">
        <is>
          <t>Зажим опорный АА-4-3</t>
        </is>
      </c>
      <c r="E39" s="291" t="inlineStr">
        <is>
          <t>шт</t>
        </is>
      </c>
      <c r="F39" s="291" t="n">
        <v>13</v>
      </c>
      <c r="G39" s="223" t="n">
        <v>36.76</v>
      </c>
      <c r="H39" s="223">
        <f>ROUND(F39*G39,2)</f>
        <v/>
      </c>
    </row>
    <row r="40">
      <c r="A40" s="173" t="n">
        <v>25</v>
      </c>
      <c r="B40" s="279" t="n"/>
      <c r="C40" s="216" t="inlineStr">
        <is>
          <t>25.2.02.04-0011</t>
        </is>
      </c>
      <c r="D40" s="294" t="inlineStr">
        <is>
          <t>Кронштейн анкерный (СИП), марка CA 1500</t>
        </is>
      </c>
      <c r="E40" s="291" t="inlineStr">
        <is>
          <t>шт</t>
        </is>
      </c>
      <c r="F40" s="291" t="n">
        <v>10</v>
      </c>
      <c r="G40" s="223" t="n">
        <v>34.91</v>
      </c>
      <c r="H40" s="223">
        <f>ROUND(F40*G40,2)</f>
        <v/>
      </c>
    </row>
    <row r="41" ht="51" customHeight="1" s="242">
      <c r="A41" s="173" t="n">
        <v>26</v>
      </c>
      <c r="B41" s="279" t="n"/>
      <c r="C41" s="216" t="inlineStr">
        <is>
          <t>08.2.02.01-0008</t>
        </is>
      </c>
      <c r="D41" s="294" t="inlineStr">
        <is>
          <t>Канат двойной свивки ЛК-З, конструкции 6х25(1+6+6+12)+1 о.с., без покрытия, из проволок марки В, маркировочная группа 1570 н/мм2 и менее, диаметр 19,5 мм</t>
        </is>
      </c>
      <c r="E41" s="291" t="inlineStr">
        <is>
          <t>10 м</t>
        </is>
      </c>
      <c r="F41" s="291" t="n">
        <v>1</v>
      </c>
      <c r="G41" s="223" t="n">
        <v>310.58</v>
      </c>
      <c r="H41" s="223">
        <f>ROUND(F41*G41,2)</f>
        <v/>
      </c>
      <c r="I41" s="164" t="n"/>
    </row>
    <row r="42">
      <c r="A42" s="173" t="n">
        <v>27</v>
      </c>
      <c r="B42" s="279" t="n"/>
      <c r="C42" s="216" t="inlineStr">
        <is>
          <t>20.2.02.04-0006</t>
        </is>
      </c>
      <c r="D42" s="294" t="inlineStr">
        <is>
          <t>Колпачки полиэтиленовые</t>
        </is>
      </c>
      <c r="E42" s="291" t="inlineStr">
        <is>
          <t>100 шт</t>
        </is>
      </c>
      <c r="F42" s="291" t="n">
        <v>0.48</v>
      </c>
      <c r="G42" s="223" t="n">
        <v>610</v>
      </c>
      <c r="H42" s="223">
        <f>ROUND(F42*G42,2)</f>
        <v/>
      </c>
    </row>
    <row r="43" ht="25.5" customHeight="1" s="242">
      <c r="A43" s="173" t="n">
        <v>28</v>
      </c>
      <c r="B43" s="279" t="n"/>
      <c r="C43" s="216" t="inlineStr">
        <is>
          <t>08.4.03.02-0006</t>
        </is>
      </c>
      <c r="D43" s="294" t="inlineStr">
        <is>
          <t>Сталь арматурная, горячекатаная, гладкая, класс А-I, диаметр 16-18 мм</t>
        </is>
      </c>
      <c r="E43" s="291" t="inlineStr">
        <is>
          <t>т</t>
        </is>
      </c>
      <c r="F43" s="291" t="n">
        <v>0.0416</v>
      </c>
      <c r="G43" s="223" t="n">
        <v>5650</v>
      </c>
      <c r="H43" s="223">
        <f>ROUND(F43*G43,2)</f>
        <v/>
      </c>
      <c r="I43" s="164" t="n"/>
    </row>
    <row r="44" ht="38.25" customHeight="1" s="242">
      <c r="A44" s="173" t="n">
        <v>29</v>
      </c>
      <c r="B44" s="279" t="n"/>
      <c r="C44" s="216" t="inlineStr">
        <is>
          <t>25.2.02.04-0003</t>
        </is>
      </c>
      <c r="D44" s="294" t="inlineStr">
        <is>
          <t>Комплект промежуточной подвески в составе кронштейн предельная нагрузка 12-20 кН, зажим сечение 16-95 мм2</t>
        </is>
      </c>
      <c r="E44" s="291" t="inlineStr">
        <is>
          <t>компл</t>
        </is>
      </c>
      <c r="F44" s="291" t="n">
        <v>1</v>
      </c>
      <c r="G44" s="223" t="n">
        <v>168.71</v>
      </c>
      <c r="H44" s="223">
        <f>ROUND(F44*G44,2)</f>
        <v/>
      </c>
      <c r="I44" s="164" t="n"/>
    </row>
    <row r="45" ht="25.5" customFormat="1" customHeight="1" s="229">
      <c r="A45" s="173" t="n">
        <v>30</v>
      </c>
      <c r="B45" s="279" t="n"/>
      <c r="C45" s="216" t="inlineStr">
        <is>
          <t>25.2.02.11-0051</t>
        </is>
      </c>
      <c r="D45" s="294" t="inlineStr">
        <is>
          <t>Скрепа для фиксации на промежуточных опорах, размер 20 мм</t>
        </is>
      </c>
      <c r="E45" s="291" t="inlineStr">
        <is>
          <t>100 шт</t>
        </is>
      </c>
      <c r="F45" s="291" t="n">
        <v>0.25</v>
      </c>
      <c r="G45" s="223" t="n">
        <v>582</v>
      </c>
      <c r="H45" s="223">
        <f>ROUND(F45*G45,2)</f>
        <v/>
      </c>
      <c r="I45" s="164" t="n"/>
    </row>
    <row r="46" ht="25.5" customHeight="1" s="242">
      <c r="A46" s="173" t="n">
        <v>31</v>
      </c>
      <c r="B46" s="279" t="n"/>
      <c r="C46" s="216" t="inlineStr">
        <is>
          <t>08.4.03.02-0004</t>
        </is>
      </c>
      <c r="D46" s="294" t="inlineStr">
        <is>
          <t>Сталь арматурная, горячекатаная, гладкая, класс А-I, диаметр 12 мм</t>
        </is>
      </c>
      <c r="E46" s="291" t="inlineStr">
        <is>
          <t>т</t>
        </is>
      </c>
      <c r="F46" s="291" t="n">
        <v>0.02</v>
      </c>
      <c r="G46" s="223" t="n">
        <v>6508.75</v>
      </c>
      <c r="H46" s="223">
        <f>ROUND(F46*G46,2)</f>
        <v/>
      </c>
      <c r="I46" s="164" t="n"/>
    </row>
    <row r="47">
      <c r="A47" s="173" t="n">
        <v>32</v>
      </c>
      <c r="B47" s="279" t="n"/>
      <c r="C47" s="216" t="inlineStr">
        <is>
          <t>20.1.01.11-0021</t>
        </is>
      </c>
      <c r="D47" s="294" t="inlineStr">
        <is>
          <t>Зажим соединительный: плашечный ПС-1-1</t>
        </is>
      </c>
      <c r="E47" s="291" t="inlineStr">
        <is>
          <t>шт</t>
        </is>
      </c>
      <c r="F47" s="291" t="n">
        <v>13</v>
      </c>
      <c r="G47" s="223" t="n">
        <v>8.6</v>
      </c>
      <c r="H47" s="223">
        <f>ROUND(F47*G47,2)</f>
        <v/>
      </c>
    </row>
    <row r="48">
      <c r="A48" s="173" t="n">
        <v>33</v>
      </c>
      <c r="B48" s="279" t="n"/>
      <c r="C48" s="216" t="inlineStr">
        <is>
          <t>20.2.05.01-0001</t>
        </is>
      </c>
      <c r="D48" s="294" t="inlineStr">
        <is>
          <t>Бандаж дистанционный марки SO 79.5</t>
        </is>
      </c>
      <c r="E48" s="291" t="inlineStr">
        <is>
          <t>100 шт</t>
        </is>
      </c>
      <c r="F48" s="291" t="n">
        <v>0.01</v>
      </c>
      <c r="G48" s="223" t="n">
        <v>5201</v>
      </c>
      <c r="H48" s="223">
        <f>ROUND(F48*G48,2)</f>
        <v/>
      </c>
    </row>
    <row r="49" ht="25.5" customHeight="1" s="242">
      <c r="A49" s="173" t="n">
        <v>34</v>
      </c>
      <c r="B49" s="279" t="n"/>
      <c r="C49" s="216" t="inlineStr">
        <is>
          <t>14.4.02.04-0015</t>
        </is>
      </c>
      <c r="D49" s="294" t="inlineStr">
        <is>
          <t>Краска масляная для внутренних работ МА-015, черная густотертая</t>
        </is>
      </c>
      <c r="E49" s="291" t="inlineStr">
        <is>
          <t>т</t>
        </is>
      </c>
      <c r="F49" s="291" t="n">
        <v>0.0032</v>
      </c>
      <c r="G49" s="223" t="n">
        <v>15707</v>
      </c>
      <c r="H49" s="223">
        <f>ROUND(F49*G49,2)</f>
        <v/>
      </c>
      <c r="I49" s="164" t="n"/>
      <c r="K49" s="153" t="n"/>
    </row>
    <row r="50" ht="25.5" customHeight="1" s="242">
      <c r="A50" s="173" t="n">
        <v>35</v>
      </c>
      <c r="B50" s="279" t="n"/>
      <c r="C50" s="216" t="inlineStr">
        <is>
          <t>25.2.02.09-0011</t>
        </is>
      </c>
      <c r="D50" s="294" t="inlineStr">
        <is>
          <t>Хомут стяжной, диаметр 10-45 мм, длина 175 мм, разрушающая нагрузка 0,3 кН</t>
        </is>
      </c>
      <c r="E50" s="291" t="inlineStr">
        <is>
          <t>100 шт</t>
        </is>
      </c>
      <c r="F50" s="291" t="n">
        <v>0.17</v>
      </c>
      <c r="G50" s="223" t="n">
        <v>194</v>
      </c>
      <c r="H50" s="223">
        <f>ROUND(F50*G50,2)</f>
        <v/>
      </c>
      <c r="I50" s="164" t="n"/>
      <c r="K50" s="153" t="n"/>
    </row>
    <row r="51">
      <c r="A51" s="173" t="n">
        <v>36</v>
      </c>
      <c r="B51" s="279" t="n"/>
      <c r="C51" s="216" t="inlineStr">
        <is>
          <t>20.2.02.04-0012</t>
        </is>
      </c>
      <c r="D51" s="294" t="inlineStr">
        <is>
          <t>Колпачок изолирующий СЕСТ 16-150</t>
        </is>
      </c>
      <c r="E51" s="291" t="inlineStr">
        <is>
          <t>100 шт</t>
        </is>
      </c>
      <c r="F51" s="291" t="n">
        <v>0.04</v>
      </c>
      <c r="G51" s="223" t="n">
        <v>763</v>
      </c>
      <c r="H51" s="223">
        <f>ROUND(F51*G51,2)</f>
        <v/>
      </c>
    </row>
    <row r="52">
      <c r="A52" s="173" t="n">
        <v>37</v>
      </c>
      <c r="B52" s="279" t="n"/>
      <c r="C52" s="216" t="inlineStr">
        <is>
          <t>01.3.01.06-0038</t>
        </is>
      </c>
      <c r="D52" s="294" t="inlineStr">
        <is>
          <t>Смазка защитная электросетевая</t>
        </is>
      </c>
      <c r="E52" s="291" t="inlineStr">
        <is>
          <t>кг</t>
        </is>
      </c>
      <c r="F52" s="291" t="n">
        <v>0.8</v>
      </c>
      <c r="G52" s="223" t="n">
        <v>14.4</v>
      </c>
      <c r="H52" s="223">
        <f>ROUND(F52*G52,2)</f>
        <v/>
      </c>
    </row>
    <row r="53">
      <c r="A53" s="173" t="n">
        <v>38</v>
      </c>
      <c r="B53" s="279" t="n"/>
      <c r="C53" s="216" t="inlineStr">
        <is>
          <t>20.1.01.11-0003</t>
        </is>
      </c>
      <c r="D53" s="294" t="inlineStr">
        <is>
          <t>Зажим: плашечный соединительный ПА 1-1</t>
        </is>
      </c>
      <c r="E53" s="291" t="inlineStr">
        <is>
          <t>шт</t>
        </is>
      </c>
      <c r="F53" s="291" t="n">
        <v>4</v>
      </c>
      <c r="G53" s="223" t="n">
        <v>2.4</v>
      </c>
      <c r="H53" s="223">
        <f>ROUND(F53*G53,2)</f>
        <v/>
      </c>
    </row>
    <row r="54">
      <c r="A54" s="173" t="n">
        <v>39</v>
      </c>
      <c r="B54" s="279" t="n"/>
      <c r="C54" s="216" t="inlineStr">
        <is>
          <t>14.4.03.03-0102</t>
        </is>
      </c>
      <c r="D54" s="294" t="inlineStr">
        <is>
          <t>Лак битумный БТ-577</t>
        </is>
      </c>
      <c r="E54" s="291" t="inlineStr">
        <is>
          <t>т</t>
        </is>
      </c>
      <c r="F54" s="291" t="n">
        <v>0.0008</v>
      </c>
      <c r="G54" s="223" t="n">
        <v>9550.01</v>
      </c>
      <c r="H54" s="223">
        <f>ROUND(F54*G54,2)</f>
        <v/>
      </c>
    </row>
    <row r="55">
      <c r="A55" s="173" t="n">
        <v>40</v>
      </c>
      <c r="B55" s="279" t="n"/>
      <c r="C55" s="216" t="inlineStr">
        <is>
          <t>01.3.01.06-0046</t>
        </is>
      </c>
      <c r="D55" s="294" t="inlineStr">
        <is>
          <t>Смазка солидол жировой марки «Ж»</t>
        </is>
      </c>
      <c r="E55" s="291" t="inlineStr">
        <is>
          <t>т</t>
        </is>
      </c>
      <c r="F55" s="291" t="n">
        <v>0.0002</v>
      </c>
      <c r="G55" s="223" t="n">
        <v>9661.5</v>
      </c>
      <c r="H55" s="223">
        <f>ROUND(F55*G55,2)</f>
        <v/>
      </c>
    </row>
    <row r="56">
      <c r="A56" s="173" t="n">
        <v>41</v>
      </c>
      <c r="B56" s="279" t="n"/>
      <c r="C56" s="216" t="inlineStr">
        <is>
          <t>01.7.11.07-0032</t>
        </is>
      </c>
      <c r="D56" s="294" t="inlineStr">
        <is>
          <t>Электроды сварочные Э42, диаметр 4 мм</t>
        </is>
      </c>
      <c r="E56" s="291" t="inlineStr">
        <is>
          <t>т</t>
        </is>
      </c>
      <c r="F56" s="291" t="n">
        <v>0.0001</v>
      </c>
      <c r="G56" s="223" t="n">
        <v>10315.01</v>
      </c>
      <c r="H56" s="223">
        <f>ROUND(F56*G56,2)</f>
        <v/>
      </c>
    </row>
    <row r="57">
      <c r="A57" s="173" t="n">
        <v>42</v>
      </c>
      <c r="B57" s="279" t="n"/>
      <c r="C57" s="216" t="inlineStr">
        <is>
          <t>01.7.20.08-0051</t>
        </is>
      </c>
      <c r="D57" s="294" t="inlineStr">
        <is>
          <t>Ветошь</t>
        </is>
      </c>
      <c r="E57" s="291" t="inlineStr">
        <is>
          <t>кг</t>
        </is>
      </c>
      <c r="F57" s="291" t="n">
        <v>0.16</v>
      </c>
      <c r="G57" s="223" t="n">
        <v>1.82</v>
      </c>
      <c r="H57" s="223">
        <f>ROUND(F57*G57,2)</f>
        <v/>
      </c>
    </row>
    <row r="60">
      <c r="B60" s="244" t="inlineStr">
        <is>
          <t>Составил ______________________     Д.А. Самуйленко</t>
        </is>
      </c>
    </row>
    <row r="61">
      <c r="B61" s="138" t="inlineStr">
        <is>
          <t xml:space="preserve">                         (подпись, инициалы, фамилия)</t>
        </is>
      </c>
    </row>
    <row r="63">
      <c r="B63" s="244" t="inlineStr">
        <is>
          <t>Проверил ______________________        А.В. Костянецкая</t>
        </is>
      </c>
    </row>
    <row r="64">
      <c r="B64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4:H4"/>
    <mergeCell ref="A9:A10"/>
    <mergeCell ref="A2:H2"/>
    <mergeCell ref="A19:E19"/>
    <mergeCell ref="A31:E31"/>
    <mergeCell ref="G9:H9"/>
    <mergeCell ref="A17:E17"/>
    <mergeCell ref="A6:H6"/>
  </mergeCells>
  <pageMargins left="0.7" right="0.7" top="0.75" bottom="0.75" header="0.3" footer="0.3"/>
  <pageSetup orientation="portrait" paperSize="9" scale="54"/>
  <rowBreaks count="1" manualBreakCount="1">
    <brk id="4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42" min="1" max="1"/>
    <col width="36.28515625" customWidth="1" style="242" min="2" max="2"/>
    <col width="18.85546875" customWidth="1" style="242" min="3" max="3"/>
    <col width="18.28515625" customWidth="1" style="242" min="4" max="4"/>
    <col width="18.85546875" customWidth="1" style="242" min="5" max="5"/>
    <col width="13.42578125" customWidth="1" style="242" min="7" max="7"/>
    <col width="13.5703125" customWidth="1" style="242" min="12" max="12"/>
  </cols>
  <sheetData>
    <row r="1">
      <c r="B1" s="235" t="n"/>
      <c r="C1" s="235" t="n"/>
      <c r="D1" s="235" t="n"/>
      <c r="E1" s="235" t="n"/>
    </row>
    <row r="2">
      <c r="B2" s="235" t="n"/>
      <c r="C2" s="235" t="n"/>
      <c r="D2" s="235" t="n"/>
      <c r="E2" s="304" t="inlineStr">
        <is>
          <t>Приложение № 4</t>
        </is>
      </c>
    </row>
    <row r="3">
      <c r="B3" s="235" t="n"/>
      <c r="C3" s="235" t="n"/>
      <c r="D3" s="235" t="n"/>
      <c r="E3" s="235" t="n"/>
    </row>
    <row r="4">
      <c r="B4" s="235" t="n"/>
      <c r="C4" s="235" t="n"/>
      <c r="D4" s="235" t="n"/>
      <c r="E4" s="235" t="n"/>
    </row>
    <row r="5">
      <c r="B5" s="259" t="inlineStr">
        <is>
          <t>Ресурсная модель</t>
        </is>
      </c>
    </row>
    <row r="6">
      <c r="B6" s="158" t="n"/>
      <c r="C6" s="235" t="n"/>
      <c r="D6" s="235" t="n"/>
      <c r="E6" s="235" t="n"/>
    </row>
    <row r="7">
      <c r="B7" s="286" t="inlineStr">
        <is>
          <t>Наименование разрабатываемого показателя УНЦ — Демонтаж ВЛ 0,4 кВ одна цепь</t>
        </is>
      </c>
    </row>
    <row r="8">
      <c r="B8" s="287" t="inlineStr">
        <is>
          <t>Единица измерения  — 1 км</t>
        </is>
      </c>
    </row>
    <row r="9">
      <c r="B9" s="158" t="n"/>
      <c r="C9" s="235" t="n"/>
      <c r="D9" s="235" t="n"/>
      <c r="E9" s="235" t="n"/>
    </row>
    <row r="10" ht="51" customHeight="1" s="242">
      <c r="B10" s="291" t="inlineStr">
        <is>
          <t>Наименование</t>
        </is>
      </c>
      <c r="C10" s="291" t="inlineStr">
        <is>
          <t>Сметная стоимость в ценах на 01.01.2023
 (руб.)</t>
        </is>
      </c>
      <c r="D10" s="291" t="inlineStr">
        <is>
          <t>Удельный вес, 
(в СМР)</t>
        </is>
      </c>
      <c r="E10" s="29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ОБ'!J28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ОБ'!J35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ОБ'!J37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ОБ'!J46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ОБ'!J47</f>
        <v/>
      </c>
      <c r="D17" s="26">
        <f>C17/$C$24</f>
        <v/>
      </c>
      <c r="E17" s="26">
        <f>C17/$C$40</f>
        <v/>
      </c>
      <c r="G17" s="372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5">
        <f>'Прил.5 Расчет СМР и ОБ'!D53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5">
        <f>'Прил.5 Расчет СМР и ОБ'!D51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42">
      <c r="B25" s="24" t="inlineStr">
        <is>
          <t>ВСЕГО стоимость оборудования, в том числе</t>
        </is>
      </c>
      <c r="C25" s="155">
        <f>'Прил.5 Расчет СМР и ОБ'!J42</f>
        <v/>
      </c>
      <c r="D25" s="26" t="n"/>
      <c r="E25" s="26">
        <f>C25/$C$40</f>
        <v/>
      </c>
    </row>
    <row r="26" ht="25.5" customHeight="1" s="242">
      <c r="B26" s="24" t="inlineStr">
        <is>
          <t>стоимость оборудования технологического</t>
        </is>
      </c>
      <c r="C26" s="155">
        <f>'Прил.5 Расчет СМР и ОБ'!J43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9">
        <f>'Прил.5 Расчет СМР и ОБ'!J56</f>
        <v/>
      </c>
      <c r="D27" s="26" t="n"/>
      <c r="E27" s="26">
        <f>C27/$C$40</f>
        <v/>
      </c>
      <c r="G27" s="156" t="n"/>
    </row>
    <row r="28" ht="33" customHeight="1" s="242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2">
      <c r="B29" s="24" t="inlineStr">
        <is>
          <t>Временные здания и сооружения - 2,5%</t>
        </is>
      </c>
      <c r="C29" s="189">
        <f>ROUND(C24*2.5%,2)</f>
        <v/>
      </c>
      <c r="D29" s="24" t="n"/>
      <c r="E29" s="26">
        <f>C29/$C$40</f>
        <v/>
      </c>
    </row>
    <row r="30" ht="38.25" customHeight="1" s="242">
      <c r="B30" s="24" t="inlineStr">
        <is>
          <t>Дополнительные затраты при производстве строительно-монтажных работ в зимнее время - 1,9%</t>
        </is>
      </c>
      <c r="C30" s="189">
        <f>ROUND((C24+C29)*1.9%,2)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70" t="n">
        <v>0</v>
      </c>
      <c r="D31" s="24" t="n"/>
      <c r="E31" s="26">
        <f>C31/$C$40</f>
        <v/>
      </c>
    </row>
    <row r="32" ht="25.5" customHeight="1" s="242">
      <c r="B32" s="24" t="inlineStr">
        <is>
          <t>Затраты по перевозке работников к месту работы и обратно</t>
        </is>
      </c>
      <c r="C32" s="189" t="n">
        <v>0</v>
      </c>
      <c r="D32" s="24" t="n"/>
      <c r="E32" s="26">
        <f>C32/$C$40</f>
        <v/>
      </c>
    </row>
    <row r="33" ht="25.5" customHeight="1" s="242">
      <c r="B33" s="24" t="inlineStr">
        <is>
          <t>Затраты, связанные с осуществлением работ вахтовым методом</t>
        </is>
      </c>
      <c r="C33" s="189">
        <f>ROUND(C27*0%,2)</f>
        <v/>
      </c>
      <c r="D33" s="24" t="n"/>
      <c r="E33" s="26">
        <f>C33/$C$40</f>
        <v/>
      </c>
    </row>
    <row r="34" ht="51" customHeight="1" s="242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9" t="n">
        <v>0</v>
      </c>
      <c r="D34" s="24" t="n"/>
      <c r="E34" s="26">
        <f>C34/$C$40</f>
        <v/>
      </c>
    </row>
    <row r="35" ht="76.5" customHeight="1" s="242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9">
        <f>ROUND(C27*0%,2)</f>
        <v/>
      </c>
      <c r="D35" s="24" t="n"/>
      <c r="E35" s="26">
        <f>C35/$C$40</f>
        <v/>
      </c>
    </row>
    <row r="36" ht="25.5" customHeight="1" s="242">
      <c r="B36" s="24" t="inlineStr">
        <is>
          <t>Строительный контроль и содержание службы заказчика - 2,14%</t>
        </is>
      </c>
      <c r="C36" s="189">
        <f>ROUND((C27+C32+C33+C34+C35+C29+C31+C30)*2.14%,2)</f>
        <v/>
      </c>
      <c r="D36" s="24" t="n"/>
      <c r="E36" s="26">
        <f>C36/$C$40</f>
        <v/>
      </c>
      <c r="G36" s="214" t="n"/>
      <c r="L36" s="156" t="n"/>
    </row>
    <row r="37">
      <c r="B37" s="24" t="inlineStr">
        <is>
          <t>Авторский надзор - 0,2%</t>
        </is>
      </c>
      <c r="C37" s="189">
        <f>ROUND((C27+C32+C33+C34+C35+C29+C31+C30)*0.2%,2)</f>
        <v/>
      </c>
      <c r="D37" s="24" t="n"/>
      <c r="E37" s="26">
        <f>C37/$C$40</f>
        <v/>
      </c>
      <c r="G37" s="215" t="n"/>
      <c r="L37" s="156" t="n"/>
    </row>
    <row r="38" ht="38.25" customHeight="1" s="242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42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ОБ'!E57</f>
        <v/>
      </c>
      <c r="D41" s="24" t="n"/>
      <c r="E41" s="24" t="n"/>
    </row>
    <row r="42">
      <c r="B42" s="212" t="n"/>
      <c r="C42" s="235" t="n"/>
      <c r="D42" s="235" t="n"/>
      <c r="E42" s="235" t="n"/>
    </row>
    <row r="43">
      <c r="B43" s="212" t="inlineStr">
        <is>
          <t>Составил ____________________________  Д.А. Самуйленко</t>
        </is>
      </c>
      <c r="C43" s="235" t="n"/>
      <c r="D43" s="235" t="n"/>
      <c r="E43" s="235" t="n"/>
    </row>
    <row r="44">
      <c r="B44" s="212" t="inlineStr">
        <is>
          <t xml:space="preserve">(должность, подпись, инициалы, фамилия) </t>
        </is>
      </c>
      <c r="C44" s="235" t="n"/>
      <c r="D44" s="235" t="n"/>
      <c r="E44" s="235" t="n"/>
    </row>
    <row r="45">
      <c r="B45" s="212" t="n"/>
      <c r="C45" s="235" t="n"/>
      <c r="D45" s="235" t="n"/>
      <c r="E45" s="235" t="n"/>
    </row>
    <row r="46">
      <c r="B46" s="212" t="inlineStr">
        <is>
          <t>Проверил ____________________________ А.В. Костянецкая</t>
        </is>
      </c>
      <c r="C46" s="235" t="n"/>
      <c r="D46" s="235" t="n"/>
      <c r="E46" s="235" t="n"/>
    </row>
    <row r="47">
      <c r="B47" s="287" t="inlineStr">
        <is>
          <t>(должность, подпись, инициалы, фамилия)</t>
        </is>
      </c>
      <c r="D47" s="235" t="n"/>
      <c r="E47" s="235" t="n"/>
    </row>
    <row r="49">
      <c r="B49" s="235" t="n"/>
      <c r="C49" s="235" t="n"/>
      <c r="D49" s="235" t="n"/>
      <c r="E49" s="235" t="n"/>
    </row>
    <row r="50">
      <c r="B50" s="235" t="n"/>
      <c r="C50" s="235" t="n"/>
      <c r="D50" s="235" t="n"/>
      <c r="E50" s="23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3"/>
  <sheetViews>
    <sheetView tabSelected="1" view="pageBreakPreview" topLeftCell="A27" zoomScale="85" workbookViewId="0">
      <selection activeCell="E62" sqref="E62"/>
    </sheetView>
  </sheetViews>
  <sheetFormatPr baseColWidth="8" defaultColWidth="9.140625" defaultRowHeight="15" outlineLevelRow="1"/>
  <cols>
    <col width="5.7109375" customWidth="1" style="236" min="1" max="1"/>
    <col width="22.5703125" customWidth="1" style="236" min="2" max="2"/>
    <col width="39.140625" customWidth="1" style="236" min="3" max="3"/>
    <col width="13.5703125" customWidth="1" style="236" min="4" max="4"/>
    <col width="12.7109375" customWidth="1" style="236" min="5" max="5"/>
    <col width="14.5703125" customWidth="1" style="236" min="6" max="6"/>
    <col width="15.85546875" customWidth="1" style="236" min="7" max="7"/>
    <col width="12.7109375" customWidth="1" style="236" min="8" max="8"/>
    <col width="15.85546875" customWidth="1" style="236" min="9" max="9"/>
    <col width="17.5703125" customWidth="1" style="236" min="10" max="10"/>
    <col width="10.85546875" customWidth="1" style="236" min="11" max="11"/>
    <col width="13.85546875" customWidth="1" style="236" min="12" max="12"/>
  </cols>
  <sheetData>
    <row r="1">
      <c r="M1" s="236" t="n"/>
      <c r="N1" s="236" t="n"/>
    </row>
    <row r="2" ht="15.75" customHeight="1" s="242">
      <c r="H2" s="288" t="inlineStr">
        <is>
          <t>Приложение №5</t>
        </is>
      </c>
      <c r="M2" s="236" t="n"/>
      <c r="N2" s="236" t="n"/>
    </row>
    <row r="3">
      <c r="M3" s="236" t="n"/>
      <c r="N3" s="236" t="n"/>
    </row>
    <row r="4" ht="12.75" customFormat="1" customHeight="1" s="235">
      <c r="A4" s="259" t="inlineStr">
        <is>
          <t>Расчет стоимости СМР и оборудования</t>
        </is>
      </c>
    </row>
    <row r="5" ht="12.75" customFormat="1" customHeight="1" s="235">
      <c r="A5" s="259" t="n"/>
      <c r="B5" s="259" t="n"/>
      <c r="C5" s="312" t="n"/>
      <c r="D5" s="259" t="n"/>
      <c r="E5" s="259" t="n"/>
      <c r="F5" s="259" t="n"/>
      <c r="G5" s="259" t="n"/>
      <c r="H5" s="259" t="n"/>
      <c r="I5" s="259" t="n"/>
      <c r="J5" s="259" t="n"/>
    </row>
    <row r="6" ht="12.75" customFormat="1" customHeight="1" s="235">
      <c r="A6" s="136" t="inlineStr">
        <is>
          <t>Наименование разрабатываемого показателя УНЦ</t>
        </is>
      </c>
      <c r="B6" s="135" t="n"/>
      <c r="C6" s="135" t="n"/>
      <c r="D6" s="262" t="inlineStr">
        <is>
          <t>Демонтаж ВЛ 0,4 кВ одна цепь</t>
        </is>
      </c>
    </row>
    <row r="7" ht="12.75" customFormat="1" customHeight="1" s="235">
      <c r="A7" s="262" t="inlineStr">
        <is>
          <t>Единица измерения  — 1 км</t>
        </is>
      </c>
      <c r="I7" s="286" t="n"/>
      <c r="J7" s="286" t="n"/>
    </row>
    <row r="8" ht="13.5" customFormat="1" customHeight="1" s="235">
      <c r="A8" s="262" t="n"/>
    </row>
    <row r="9" ht="27" customHeight="1" s="242">
      <c r="A9" s="291" t="inlineStr">
        <is>
          <t>№ пп.</t>
        </is>
      </c>
      <c r="B9" s="291" t="inlineStr">
        <is>
          <t>Код ресурса</t>
        </is>
      </c>
      <c r="C9" s="291" t="inlineStr">
        <is>
          <t>Наименование</t>
        </is>
      </c>
      <c r="D9" s="291" t="inlineStr">
        <is>
          <t>Ед. изм.</t>
        </is>
      </c>
      <c r="E9" s="291" t="inlineStr">
        <is>
          <t>Кол-во единиц по проектным данным</t>
        </is>
      </c>
      <c r="F9" s="291" t="inlineStr">
        <is>
          <t>Сметная стоимость в ценах на 01.01.2000 (руб.)</t>
        </is>
      </c>
      <c r="G9" s="365" t="n"/>
      <c r="H9" s="291" t="inlineStr">
        <is>
          <t>Удельный вес, %</t>
        </is>
      </c>
      <c r="I9" s="291" t="inlineStr">
        <is>
          <t>Сметная стоимость в ценах на 01.01.2023 (руб.)</t>
        </is>
      </c>
      <c r="J9" s="365" t="n"/>
      <c r="M9" s="236" t="n"/>
      <c r="N9" s="236" t="n"/>
    </row>
    <row r="10" ht="28.5" customHeight="1" s="242">
      <c r="A10" s="367" t="n"/>
      <c r="B10" s="367" t="n"/>
      <c r="C10" s="367" t="n"/>
      <c r="D10" s="367" t="n"/>
      <c r="E10" s="367" t="n"/>
      <c r="F10" s="291" t="inlineStr">
        <is>
          <t>на ед. изм.</t>
        </is>
      </c>
      <c r="G10" s="291" t="inlineStr">
        <is>
          <t>общая</t>
        </is>
      </c>
      <c r="H10" s="367" t="n"/>
      <c r="I10" s="291" t="inlineStr">
        <is>
          <t>на ед. изм.</t>
        </is>
      </c>
      <c r="J10" s="291" t="inlineStr">
        <is>
          <t>общая</t>
        </is>
      </c>
      <c r="M10" s="236" t="n"/>
      <c r="N10" s="236" t="n"/>
    </row>
    <row r="11">
      <c r="A11" s="291" t="n">
        <v>1</v>
      </c>
      <c r="B11" s="291" t="n">
        <v>2</v>
      </c>
      <c r="C11" s="291" t="n">
        <v>3</v>
      </c>
      <c r="D11" s="291" t="n">
        <v>4</v>
      </c>
      <c r="E11" s="291" t="n">
        <v>5</v>
      </c>
      <c r="F11" s="291" t="n">
        <v>6</v>
      </c>
      <c r="G11" s="291" t="n">
        <v>7</v>
      </c>
      <c r="H11" s="291" t="n">
        <v>8</v>
      </c>
      <c r="I11" s="292" t="n">
        <v>9</v>
      </c>
      <c r="J11" s="292" t="n">
        <v>10</v>
      </c>
      <c r="M11" s="236" t="n"/>
      <c r="N11" s="236" t="n"/>
    </row>
    <row r="12">
      <c r="A12" s="291" t="n"/>
      <c r="B12" s="277" t="inlineStr">
        <is>
          <t>Затраты труда рабочих-строителей</t>
        </is>
      </c>
      <c r="C12" s="364" t="n"/>
      <c r="D12" s="364" t="n"/>
      <c r="E12" s="364" t="n"/>
      <c r="F12" s="364" t="n"/>
      <c r="G12" s="364" t="n"/>
      <c r="H12" s="365" t="n"/>
      <c r="I12" s="181" t="n"/>
      <c r="J12" s="181" t="n"/>
    </row>
    <row r="13" ht="25.5" customHeight="1" s="242">
      <c r="A13" s="291" t="n">
        <v>1</v>
      </c>
      <c r="B13" s="216" t="inlineStr">
        <is>
          <t>1-3-3</t>
        </is>
      </c>
      <c r="C13" s="294" t="inlineStr">
        <is>
          <t>Затраты труда рабочих-строителей среднего разряда (3,3)</t>
        </is>
      </c>
      <c r="D13" s="291" t="inlineStr">
        <is>
          <t>чел.-ч.</t>
        </is>
      </c>
      <c r="E13" s="373" t="n">
        <v>80.748306997743</v>
      </c>
      <c r="F13" s="223" t="n">
        <v>8.859999999999999</v>
      </c>
      <c r="G13" s="223" t="n">
        <v>715.4299999999999</v>
      </c>
      <c r="H13" s="297">
        <f>G13/G14</f>
        <v/>
      </c>
      <c r="I13" s="223">
        <f>ФОТр.тек.!E13</f>
        <v/>
      </c>
      <c r="J13" s="223">
        <f>ROUND(I13*E13,2)</f>
        <v/>
      </c>
    </row>
    <row r="14" ht="25.5" customFormat="1" customHeight="1" s="236">
      <c r="A14" s="291" t="n"/>
      <c r="B14" s="291" t="n"/>
      <c r="C14" s="277" t="inlineStr">
        <is>
          <t>Итого по разделу "Затраты труда рабочих-строителей"</t>
        </is>
      </c>
      <c r="D14" s="291" t="inlineStr">
        <is>
          <t>чел.-ч.</t>
        </is>
      </c>
      <c r="E14" s="373">
        <f>SUM(E13:E13)</f>
        <v/>
      </c>
      <c r="F14" s="223" t="n"/>
      <c r="G14" s="223">
        <f>SUM(G13:G13)</f>
        <v/>
      </c>
      <c r="H14" s="298" t="n">
        <v>1</v>
      </c>
      <c r="I14" s="181" t="n"/>
      <c r="J14" s="223">
        <f>SUM(J13:J13)</f>
        <v/>
      </c>
    </row>
    <row r="15" ht="38.25" customFormat="1" customHeight="1" s="236">
      <c r="A15" s="291" t="n"/>
      <c r="B15" s="291" t="n"/>
      <c r="C15" s="277" t="inlineStr">
        <is>
          <t>Итого по разделу "Затраты труда рабочих-строителей" 
(с коэффициентом на демонтаж 0,7)</t>
        </is>
      </c>
      <c r="D15" s="291" t="inlineStr">
        <is>
          <t>чел.-ч.</t>
        </is>
      </c>
      <c r="E15" s="295" t="n"/>
      <c r="F15" s="296" t="n"/>
      <c r="G15" s="223">
        <f>SUM(G14)*0.7</f>
        <v/>
      </c>
      <c r="H15" s="298" t="n">
        <v>1</v>
      </c>
      <c r="I15" s="181" t="n"/>
      <c r="J15" s="223">
        <f>SUM(J13)*0.7</f>
        <v/>
      </c>
    </row>
    <row r="16" ht="14.25" customFormat="1" customHeight="1" s="236">
      <c r="A16" s="291" t="n"/>
      <c r="B16" s="294" t="inlineStr">
        <is>
          <t>Затраты труда машинистов</t>
        </is>
      </c>
      <c r="C16" s="364" t="n"/>
      <c r="D16" s="364" t="n"/>
      <c r="E16" s="364" t="n"/>
      <c r="F16" s="364" t="n"/>
      <c r="G16" s="364" t="n"/>
      <c r="H16" s="365" t="n"/>
      <c r="I16" s="181" t="n"/>
      <c r="J16" s="181" t="n"/>
    </row>
    <row r="17" ht="14.25" customFormat="1" customHeight="1" s="236">
      <c r="A17" s="291" t="n">
        <v>2</v>
      </c>
      <c r="B17" s="291" t="n">
        <v>2</v>
      </c>
      <c r="C17" s="294" t="inlineStr">
        <is>
          <t>Затраты труда машинистов</t>
        </is>
      </c>
      <c r="D17" s="291" t="inlineStr">
        <is>
          <t>чел.-ч.</t>
        </is>
      </c>
      <c r="E17" s="373" t="n">
        <v>26.28425</v>
      </c>
      <c r="F17" s="223" t="n">
        <v>14.291448300788</v>
      </c>
      <c r="G17" s="223" t="n">
        <v>375.64</v>
      </c>
      <c r="H17" s="298" t="n">
        <v>1</v>
      </c>
      <c r="I17" s="223">
        <f>ROUND(F17*Прил.10!D11,2)</f>
        <v/>
      </c>
      <c r="J17" s="223">
        <f>ROUND(I17*E17,2)</f>
        <v/>
      </c>
    </row>
    <row r="18" ht="25.5" customFormat="1" customHeight="1" s="236">
      <c r="A18" s="291" t="n"/>
      <c r="B18" s="291" t="n"/>
      <c r="C18" s="190" t="inlineStr">
        <is>
          <t>Затраты труда машинистов 
(с коэффициентом на демонтаж 0,7)</t>
        </is>
      </c>
      <c r="D18" s="184" t="n"/>
      <c r="E18" s="184" t="n"/>
      <c r="F18" s="184" t="n"/>
      <c r="G18" s="189">
        <f>G17*0.7</f>
        <v/>
      </c>
      <c r="H18" s="185">
        <f>H17</f>
        <v/>
      </c>
      <c r="I18" s="186" t="n"/>
      <c r="J18" s="189">
        <f>J17*0.7</f>
        <v/>
      </c>
    </row>
    <row r="19" ht="14.25" customFormat="1" customHeight="1" s="236">
      <c r="A19" s="291" t="n"/>
      <c r="B19" s="277" t="inlineStr">
        <is>
          <t>Машины и механизмы</t>
        </is>
      </c>
      <c r="C19" s="364" t="n"/>
      <c r="D19" s="364" t="n"/>
      <c r="E19" s="364" t="n"/>
      <c r="F19" s="364" t="n"/>
      <c r="G19" s="364" t="n"/>
      <c r="H19" s="365" t="n"/>
      <c r="I19" s="181" t="n"/>
      <c r="J19" s="181" t="n"/>
    </row>
    <row r="20" ht="14.25" customFormat="1" customHeight="1" s="236">
      <c r="A20" s="291" t="n"/>
      <c r="B20" s="294" t="inlineStr">
        <is>
          <t>Основные машины и механизмы</t>
        </is>
      </c>
      <c r="C20" s="364" t="n"/>
      <c r="D20" s="364" t="n"/>
      <c r="E20" s="364" t="n"/>
      <c r="F20" s="364" t="n"/>
      <c r="G20" s="364" t="n"/>
      <c r="H20" s="365" t="n"/>
      <c r="I20" s="181" t="n"/>
      <c r="J20" s="181" t="n"/>
    </row>
    <row r="21" ht="25.5" customFormat="1" customHeight="1" s="236">
      <c r="A21" s="291" t="n">
        <v>3</v>
      </c>
      <c r="B21" s="216" t="inlineStr">
        <is>
          <t>91.04.01-031</t>
        </is>
      </c>
      <c r="C21" s="294" t="inlineStr">
        <is>
          <t>Машины бурильно-крановые на автомобиле, глубина бурения 3,5 м</t>
        </is>
      </c>
      <c r="D21" s="291" t="inlineStr">
        <is>
          <t>маш.-ч</t>
        </is>
      </c>
      <c r="E21" s="373" t="n">
        <v>13.2</v>
      </c>
      <c r="F21" s="296" t="n">
        <v>138.54</v>
      </c>
      <c r="G21" s="223">
        <f>ROUND(E21*F21,2)</f>
        <v/>
      </c>
      <c r="H21" s="297">
        <f>G21/$G$36</f>
        <v/>
      </c>
      <c r="I21" s="223">
        <f>ROUND(F21*Прил.10!$D$12,2)</f>
        <v/>
      </c>
      <c r="J21" s="223">
        <f>ROUND(I21*E21,2)</f>
        <v/>
      </c>
    </row>
    <row r="22" ht="25.5" customFormat="1" customHeight="1" s="236">
      <c r="A22" s="291" t="n">
        <v>4</v>
      </c>
      <c r="B22" s="216" t="inlineStr">
        <is>
          <t>91.06.06-011</t>
        </is>
      </c>
      <c r="C22" s="294" t="inlineStr">
        <is>
          <t>Автогидроподъемники, высота подъема 12 м</t>
        </is>
      </c>
      <c r="D22" s="291" t="inlineStr">
        <is>
          <t>маш.-ч</t>
        </is>
      </c>
      <c r="E22" s="373" t="n">
        <v>4.27</v>
      </c>
      <c r="F22" s="296" t="n">
        <v>82.22</v>
      </c>
      <c r="G22" s="223">
        <f>ROUND(E22*F22,2)</f>
        <v/>
      </c>
      <c r="H22" s="297">
        <f>G22/$G$36</f>
        <v/>
      </c>
      <c r="I22" s="223">
        <f>ROUND(F22*Прил.10!$D$12,2)</f>
        <v/>
      </c>
      <c r="J22" s="223">
        <f>ROUND(I22*E22,2)</f>
        <v/>
      </c>
    </row>
    <row r="23" ht="25.5" customFormat="1" customHeight="1" s="236">
      <c r="A23" s="291" t="n">
        <v>5</v>
      </c>
      <c r="B23" s="216" t="inlineStr">
        <is>
          <t>91.05.05-014</t>
        </is>
      </c>
      <c r="C23" s="294" t="inlineStr">
        <is>
          <t>Краны на автомобильном ходу, грузоподъемность 10 т</t>
        </is>
      </c>
      <c r="D23" s="291" t="inlineStr">
        <is>
          <t>маш.-ч</t>
        </is>
      </c>
      <c r="E23" s="373" t="n">
        <v>3.02</v>
      </c>
      <c r="F23" s="296" t="n">
        <v>111.99</v>
      </c>
      <c r="G23" s="223">
        <f>ROUND(E23*F23,2)</f>
        <v/>
      </c>
      <c r="H23" s="297">
        <f>G23/$G$36</f>
        <v/>
      </c>
      <c r="I23" s="223">
        <f>ROUND(F23*Прил.10!$D$12,2)</f>
        <v/>
      </c>
      <c r="J23" s="223">
        <f>ROUND(I23*E23,2)</f>
        <v/>
      </c>
    </row>
    <row r="24" ht="25.5" customFormat="1" customHeight="1" s="236">
      <c r="A24" s="291" t="n">
        <v>6</v>
      </c>
      <c r="B24" s="216" t="inlineStr">
        <is>
          <t>91.15.03-014</t>
        </is>
      </c>
      <c r="C24" s="294" t="inlineStr">
        <is>
          <t>Тракторы на пневмоколесном ходу, мощность 59 кВт (80 л.с.)</t>
        </is>
      </c>
      <c r="D24" s="291" t="inlineStr">
        <is>
          <t>маш.-ч</t>
        </is>
      </c>
      <c r="E24" s="373" t="n">
        <v>4.08</v>
      </c>
      <c r="F24" s="296" t="n">
        <v>74.61</v>
      </c>
      <c r="G24" s="223">
        <f>ROUND(E24*F24,2)</f>
        <v/>
      </c>
      <c r="H24" s="297">
        <f>G24/$G$36</f>
        <v/>
      </c>
      <c r="I24" s="223">
        <f>ROUND(F24*Прил.10!$D$12,2)</f>
        <v/>
      </c>
      <c r="J24" s="223">
        <f>ROUND(I24*E24,2)</f>
        <v/>
      </c>
    </row>
    <row r="25" ht="51.75" customFormat="1" customHeight="1" s="236">
      <c r="A25" s="291" t="n">
        <v>7</v>
      </c>
      <c r="B25" s="216" t="inlineStr">
        <is>
          <t>91.21.22-195</t>
        </is>
      </c>
      <c r="C25" s="294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25" s="291" t="inlineStr">
        <is>
          <t>маш.-ч</t>
        </is>
      </c>
      <c r="E25" s="373" t="n">
        <v>2.44</v>
      </c>
      <c r="F25" s="296" t="n">
        <v>91.13</v>
      </c>
      <c r="G25" s="223">
        <f>ROUND(E25*F25,2)</f>
        <v/>
      </c>
      <c r="H25" s="297">
        <f>G25/$G$36</f>
        <v/>
      </c>
      <c r="I25" s="223">
        <f>ROUND(F25*Прил.10!$D$12,2)</f>
        <v/>
      </c>
      <c r="J25" s="223">
        <f>ROUND(I25*E25,2)</f>
        <v/>
      </c>
    </row>
    <row r="26" ht="51" customFormat="1" customHeight="1" s="236">
      <c r="A26" s="291" t="n">
        <v>8</v>
      </c>
      <c r="B26" s="216" t="inlineStr">
        <is>
          <t>91.18.01-007</t>
        </is>
      </c>
      <c r="C26" s="29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6" s="291" t="inlineStr">
        <is>
          <t>маш.-ч</t>
        </is>
      </c>
      <c r="E26" s="373" t="n">
        <v>2.44</v>
      </c>
      <c r="F26" s="296" t="n">
        <v>90</v>
      </c>
      <c r="G26" s="223">
        <f>ROUND(E26*F26,2)</f>
        <v/>
      </c>
      <c r="H26" s="297">
        <f>G26/$G$36</f>
        <v/>
      </c>
      <c r="I26" s="223">
        <f>ROUND(F26*Прил.10!$D$12,2)</f>
        <v/>
      </c>
      <c r="J26" s="223">
        <f>ROUND(I26*E26,2)</f>
        <v/>
      </c>
    </row>
    <row r="27" ht="14.25" customFormat="1" customHeight="1" s="236">
      <c r="A27" s="291" t="n"/>
      <c r="B27" s="291" t="n"/>
      <c r="C27" s="294" t="inlineStr">
        <is>
          <t>Итого основные машины и механизмы</t>
        </is>
      </c>
      <c r="D27" s="291" t="n"/>
      <c r="E27" s="373" t="n"/>
      <c r="F27" s="223" t="n"/>
      <c r="G27" s="223">
        <f>SUM(G21:G26)</f>
        <v/>
      </c>
      <c r="H27" s="298">
        <f>G27/G36</f>
        <v/>
      </c>
      <c r="I27" s="127" t="n"/>
      <c r="J27" s="223">
        <f>SUM(J21:J26)</f>
        <v/>
      </c>
    </row>
    <row r="28" ht="25.5" customFormat="1" customHeight="1" s="236">
      <c r="A28" s="291" t="n"/>
      <c r="B28" s="291" t="n"/>
      <c r="C28" s="190" t="inlineStr">
        <is>
          <t>Итого основные машины и механизмы 
(с коэффициентом на демонтаж 0,7)</t>
        </is>
      </c>
      <c r="D28" s="291" t="n"/>
      <c r="E28" s="374" t="n"/>
      <c r="F28" s="295" t="n"/>
      <c r="G28" s="223">
        <f>G27*0.7</f>
        <v/>
      </c>
      <c r="H28" s="297">
        <f>G28/G37</f>
        <v/>
      </c>
      <c r="I28" s="223" t="n"/>
      <c r="J28" s="223">
        <f>J27*0.7</f>
        <v/>
      </c>
    </row>
    <row r="29" hidden="1" outlineLevel="1" ht="25.5" customFormat="1" customHeight="1" s="236">
      <c r="A29" s="291" t="n">
        <v>9</v>
      </c>
      <c r="B29" s="216" t="inlineStr">
        <is>
          <t>91.14.02-001</t>
        </is>
      </c>
      <c r="C29" s="294" t="inlineStr">
        <is>
          <t>Автомобили бортовые, грузоподъемность до 5 т</t>
        </is>
      </c>
      <c r="D29" s="291" t="inlineStr">
        <is>
          <t>маш.-ч</t>
        </is>
      </c>
      <c r="E29" s="373" t="n">
        <v>3.01</v>
      </c>
      <c r="F29" s="296" t="n">
        <v>65.70999999999999</v>
      </c>
      <c r="G29" s="223">
        <f>ROUND(E29*F29,2)</f>
        <v/>
      </c>
      <c r="H29" s="297">
        <f>G29/$G$36</f>
        <v/>
      </c>
      <c r="I29" s="223">
        <f>ROUND(F29*Прил.10!$D$12,2)</f>
        <v/>
      </c>
      <c r="J29" s="223">
        <f>ROUND(I29*E29,2)</f>
        <v/>
      </c>
    </row>
    <row r="30" hidden="1" outlineLevel="1" ht="25.5" customFormat="1" customHeight="1" s="236">
      <c r="A30" s="291" t="n">
        <v>10</v>
      </c>
      <c r="B30" s="216" t="inlineStr">
        <is>
          <t>91.06.03-057</t>
        </is>
      </c>
      <c r="C30" s="294" t="inlineStr">
        <is>
          <t>Лебедки электрические тяговым усилием 122,62 кН (12,5 т)</t>
        </is>
      </c>
      <c r="D30" s="291" t="inlineStr">
        <is>
          <t>маш.-ч</t>
        </is>
      </c>
      <c r="E30" s="373" t="n">
        <v>2.09</v>
      </c>
      <c r="F30" s="296" t="n">
        <v>80.73999999999999</v>
      </c>
      <c r="G30" s="223">
        <f>ROUND(E30*F30,2)</f>
        <v/>
      </c>
      <c r="H30" s="297">
        <f>G30/$G$36</f>
        <v/>
      </c>
      <c r="I30" s="223">
        <f>ROUND(F30*Прил.10!$D$12,2)</f>
        <v/>
      </c>
      <c r="J30" s="223">
        <f>ROUND(I30*E30,2)</f>
        <v/>
      </c>
    </row>
    <row r="31" hidden="1" outlineLevel="1" ht="14.25" customFormat="1" customHeight="1" s="236">
      <c r="A31" s="291" t="n">
        <v>11</v>
      </c>
      <c r="B31" s="216" t="inlineStr">
        <is>
          <t>91.15.01-001</t>
        </is>
      </c>
      <c r="C31" s="294" t="inlineStr">
        <is>
          <t>Прицепы тракторные 2 т</t>
        </is>
      </c>
      <c r="D31" s="291" t="inlineStr">
        <is>
          <t>маш.-ч</t>
        </is>
      </c>
      <c r="E31" s="373" t="n">
        <v>4.08</v>
      </c>
      <c r="F31" s="296" t="n">
        <v>4.01</v>
      </c>
      <c r="G31" s="223">
        <f>ROUND(E31*F31,2)</f>
        <v/>
      </c>
      <c r="H31" s="297">
        <f>G31/$G$36</f>
        <v/>
      </c>
      <c r="I31" s="223">
        <f>ROUND(F31*Прил.10!$D$12,2)</f>
        <v/>
      </c>
      <c r="J31" s="223">
        <f>ROUND(I31*E31,2)</f>
        <v/>
      </c>
    </row>
    <row r="32" hidden="1" outlineLevel="1" ht="38.25" customFormat="1" customHeight="1" s="236">
      <c r="A32" s="291" t="n">
        <v>12</v>
      </c>
      <c r="B32" s="216" t="inlineStr">
        <is>
          <t>91.17.04-036</t>
        </is>
      </c>
      <c r="C32" s="294" t="inlineStr">
        <is>
          <t>Агрегаты сварочные передвижные с дизельным двигателем, номинальный сварочный ток 250-400 А</t>
        </is>
      </c>
      <c r="D32" s="291" t="inlineStr">
        <is>
          <t>маш.-ч</t>
        </is>
      </c>
      <c r="E32" s="373" t="n">
        <v>0.76</v>
      </c>
      <c r="F32" s="296" t="n">
        <v>14</v>
      </c>
      <c r="G32" s="223">
        <f>ROUND(E32*F32,2)</f>
        <v/>
      </c>
      <c r="H32" s="297">
        <f>G32/$G$36</f>
        <v/>
      </c>
      <c r="I32" s="223">
        <f>ROUND(F32*Прил.10!$D$12,2)</f>
        <v/>
      </c>
      <c r="J32" s="223">
        <f>ROUND(I32*E32,2)</f>
        <v/>
      </c>
    </row>
    <row r="33" hidden="1" outlineLevel="1" ht="25.5" customFormat="1" customHeight="1" s="236">
      <c r="A33" s="291" t="n">
        <v>13</v>
      </c>
      <c r="B33" s="216" t="inlineStr">
        <is>
          <t>91.06.01-002</t>
        </is>
      </c>
      <c r="C33" s="294" t="inlineStr">
        <is>
          <t>Домкраты гидравлические, грузоподъемность 6,3-25 т</t>
        </is>
      </c>
      <c r="D33" s="291" t="inlineStr">
        <is>
          <t>маш.-ч</t>
        </is>
      </c>
      <c r="E33" s="373" t="n">
        <v>1.71</v>
      </c>
      <c r="F33" s="296" t="n">
        <v>0.48</v>
      </c>
      <c r="G33" s="223">
        <f>ROUND(E33*F33,2)</f>
        <v/>
      </c>
      <c r="H33" s="297">
        <f>G33/$G$36</f>
        <v/>
      </c>
      <c r="I33" s="223">
        <f>ROUND(F33*Прил.10!$D$12,2)</f>
        <v/>
      </c>
      <c r="J33" s="223">
        <f>ROUND(I33*E33,2)</f>
        <v/>
      </c>
    </row>
    <row r="34" collapsed="1" ht="14.25" customFormat="1" customHeight="1" s="236">
      <c r="A34" s="291" t="n"/>
      <c r="B34" s="291" t="n"/>
      <c r="C34" s="294" t="inlineStr">
        <is>
          <t>Итого прочие машины и механизмы</t>
        </is>
      </c>
      <c r="D34" s="291" t="n"/>
      <c r="E34" s="295" t="n"/>
      <c r="F34" s="223" t="n"/>
      <c r="G34" s="127">
        <f>SUM(G29:G33)</f>
        <v/>
      </c>
      <c r="H34" s="297">
        <f>G34/G36</f>
        <v/>
      </c>
      <c r="I34" s="223" t="n"/>
      <c r="J34" s="127">
        <f>SUM(J29:J33)</f>
        <v/>
      </c>
    </row>
    <row r="35" ht="25.5" customFormat="1" customHeight="1" s="236">
      <c r="A35" s="291" t="n"/>
      <c r="B35" s="291" t="n"/>
      <c r="C35" s="190" t="inlineStr">
        <is>
          <t>Итого прочие машины и механизмы 
(с коэффициентом на демонтаж 0,7)</t>
        </is>
      </c>
      <c r="D35" s="291" t="n"/>
      <c r="E35" s="295" t="n"/>
      <c r="F35" s="223" t="n"/>
      <c r="G35" s="223">
        <f>G34*0.7</f>
        <v/>
      </c>
      <c r="H35" s="297">
        <f>G35/G37</f>
        <v/>
      </c>
      <c r="I35" s="223" t="n"/>
      <c r="J35" s="223">
        <f>J34*0.7</f>
        <v/>
      </c>
    </row>
    <row r="36" ht="25.5" customFormat="1" customHeight="1" s="236">
      <c r="A36" s="291" t="n"/>
      <c r="B36" s="291" t="n"/>
      <c r="C36" s="277" t="inlineStr">
        <is>
          <t>Итого по разделу «Машины и механизмы»</t>
        </is>
      </c>
      <c r="D36" s="291" t="n"/>
      <c r="E36" s="295" t="n"/>
      <c r="F36" s="223" t="n"/>
      <c r="G36" s="223">
        <f>G34+G27</f>
        <v/>
      </c>
      <c r="H36" s="202" t="n">
        <v>1</v>
      </c>
      <c r="I36" s="203" t="n"/>
      <c r="J36" s="201">
        <f>J34+J27</f>
        <v/>
      </c>
    </row>
    <row r="37" ht="38.25" customFormat="1" customHeight="1" s="236">
      <c r="A37" s="291" t="n"/>
      <c r="B37" s="291" t="n"/>
      <c r="C37" s="198" t="inlineStr">
        <is>
          <t>Итого по разделу «Машины и механизмы»  
(с коэффициентом на демонтаж 0,7)</t>
        </is>
      </c>
      <c r="D37" s="293" t="n"/>
      <c r="E37" s="200" t="n"/>
      <c r="F37" s="201" t="n"/>
      <c r="G37" s="201">
        <f>G28+G35</f>
        <v/>
      </c>
      <c r="H37" s="202" t="n">
        <v>1</v>
      </c>
      <c r="I37" s="203" t="n"/>
      <c r="J37" s="201">
        <f>J28+J35</f>
        <v/>
      </c>
    </row>
    <row r="38" ht="14.25" customFormat="1" customHeight="1" s="236">
      <c r="A38" s="291" t="n"/>
      <c r="B38" s="277" t="inlineStr">
        <is>
          <t>Оборудование</t>
        </is>
      </c>
      <c r="C38" s="364" t="n"/>
      <c r="D38" s="364" t="n"/>
      <c r="E38" s="364" t="n"/>
      <c r="F38" s="364" t="n"/>
      <c r="G38" s="364" t="n"/>
      <c r="H38" s="365" t="n"/>
      <c r="I38" s="181" t="n"/>
      <c r="J38" s="181" t="n"/>
    </row>
    <row r="39">
      <c r="A39" s="291" t="n"/>
      <c r="B39" s="294" t="inlineStr">
        <is>
          <t>Основное оборудование</t>
        </is>
      </c>
      <c r="C39" s="364" t="n"/>
      <c r="D39" s="364" t="n"/>
      <c r="E39" s="364" t="n"/>
      <c r="F39" s="364" t="n"/>
      <c r="G39" s="364" t="n"/>
      <c r="H39" s="365" t="n"/>
      <c r="I39" s="181" t="n"/>
      <c r="J39" s="181" t="n"/>
    </row>
    <row r="40">
      <c r="A40" s="291" t="n"/>
      <c r="B40" s="171" t="n"/>
      <c r="C40" s="172" t="inlineStr">
        <is>
          <t>Итого основное оборудование</t>
        </is>
      </c>
      <c r="D40" s="291" t="n"/>
      <c r="E40" s="373" t="n"/>
      <c r="F40" s="296" t="n"/>
      <c r="G40" s="223" t="n">
        <v>0</v>
      </c>
      <c r="H40" s="298" t="n">
        <v>0</v>
      </c>
      <c r="I40" s="127" t="n"/>
      <c r="J40" s="223" t="n">
        <v>0</v>
      </c>
    </row>
    <row r="41">
      <c r="A41" s="291" t="n"/>
      <c r="B41" s="291" t="n"/>
      <c r="C41" s="294" t="inlineStr">
        <is>
          <t>Итого прочее оборудование</t>
        </is>
      </c>
      <c r="D41" s="291" t="n"/>
      <c r="E41" s="373" t="n"/>
      <c r="F41" s="296" t="n"/>
      <c r="G41" s="223" t="n">
        <v>0</v>
      </c>
      <c r="H41" s="297" t="n">
        <v>0</v>
      </c>
      <c r="I41" s="127" t="n"/>
      <c r="J41" s="223" t="n">
        <v>0</v>
      </c>
    </row>
    <row r="42">
      <c r="A42" s="291" t="n"/>
      <c r="B42" s="291" t="n"/>
      <c r="C42" s="277" t="inlineStr">
        <is>
          <t>Итого по разделу «Оборудование»</t>
        </is>
      </c>
      <c r="D42" s="291" t="n"/>
      <c r="E42" s="295" t="n"/>
      <c r="F42" s="296" t="n"/>
      <c r="G42" s="223">
        <f>G41+G40</f>
        <v/>
      </c>
      <c r="H42" s="298">
        <f>H41+H40</f>
        <v/>
      </c>
      <c r="I42" s="127" t="n"/>
      <c r="J42" s="223">
        <f>J41+J40</f>
        <v/>
      </c>
    </row>
    <row r="43" ht="25.5" customHeight="1" s="242">
      <c r="A43" s="291" t="n"/>
      <c r="B43" s="291" t="n"/>
      <c r="C43" s="294" t="inlineStr">
        <is>
          <t>в том числе технологическое оборудование</t>
        </is>
      </c>
      <c r="D43" s="291" t="n"/>
      <c r="E43" s="374" t="n"/>
      <c r="F43" s="296" t="n"/>
      <c r="G43" s="223" t="n">
        <v>0</v>
      </c>
      <c r="H43" s="298" t="n"/>
      <c r="I43" s="127" t="n"/>
      <c r="J43" s="223">
        <f>J42</f>
        <v/>
      </c>
    </row>
    <row r="44" ht="14.25" customFormat="1" customHeight="1" s="236">
      <c r="A44" s="291" t="n"/>
      <c r="B44" s="277" t="inlineStr">
        <is>
          <t>Материалы</t>
        </is>
      </c>
      <c r="C44" s="364" t="n"/>
      <c r="D44" s="364" t="n"/>
      <c r="E44" s="364" t="n"/>
      <c r="F44" s="364" t="n"/>
      <c r="G44" s="364" t="n"/>
      <c r="H44" s="365" t="n"/>
      <c r="I44" s="205" t="n"/>
      <c r="J44" s="205" t="n"/>
    </row>
    <row r="45" ht="14.25" customFormat="1" customHeight="1" s="236">
      <c r="A45" s="291" t="n"/>
      <c r="B45" s="294" t="inlineStr">
        <is>
          <t>Основные материалы</t>
        </is>
      </c>
      <c r="C45" s="364" t="n"/>
      <c r="D45" s="364" t="n"/>
      <c r="E45" s="364" t="n"/>
      <c r="F45" s="364" t="n"/>
      <c r="G45" s="364" t="n"/>
      <c r="H45" s="365" t="n"/>
      <c r="I45" s="205" t="n"/>
      <c r="J45" s="205" t="n"/>
    </row>
    <row r="46" ht="14.25" customFormat="1" customHeight="1" s="236">
      <c r="A46" s="291" t="n"/>
      <c r="B46" s="216" t="n"/>
      <c r="C46" s="294" t="inlineStr">
        <is>
          <t>Итого основные материалы</t>
        </is>
      </c>
      <c r="D46" s="291" t="n"/>
      <c r="E46" s="373" t="n"/>
      <c r="F46" s="223" t="n"/>
      <c r="G46" s="223" t="n">
        <v>0</v>
      </c>
      <c r="H46" s="297" t="n">
        <v>0</v>
      </c>
      <c r="I46" s="223" t="n"/>
      <c r="J46" s="223" t="n">
        <v>0</v>
      </c>
    </row>
    <row r="47" ht="14.25" customFormat="1" customHeight="1" s="236">
      <c r="A47" s="291" t="n"/>
      <c r="B47" s="291" t="n"/>
      <c r="C47" s="294" t="inlineStr">
        <is>
          <t>Итого прочие материалы</t>
        </is>
      </c>
      <c r="D47" s="291" t="n"/>
      <c r="E47" s="295" t="n"/>
      <c r="F47" s="296" t="n"/>
      <c r="G47" s="223" t="n">
        <v>0</v>
      </c>
      <c r="H47" s="297" t="n">
        <v>0</v>
      </c>
      <c r="I47" s="223" t="n"/>
      <c r="J47" s="223" t="n">
        <v>0</v>
      </c>
    </row>
    <row r="48" ht="14.25" customFormat="1" customHeight="1" s="236">
      <c r="A48" s="291" t="n"/>
      <c r="B48" s="291" t="n"/>
      <c r="C48" s="277" t="inlineStr">
        <is>
          <t>Итого по разделу «Материалы»</t>
        </is>
      </c>
      <c r="D48" s="291" t="n"/>
      <c r="E48" s="295" t="n"/>
      <c r="F48" s="296" t="n"/>
      <c r="G48" s="223">
        <f>G46+G47</f>
        <v/>
      </c>
      <c r="H48" s="297" t="n">
        <v>0</v>
      </c>
      <c r="I48" s="223" t="n"/>
      <c r="J48" s="223">
        <f>J46+J47</f>
        <v/>
      </c>
    </row>
    <row r="49" ht="14.25" customFormat="1" customHeight="1" s="236">
      <c r="A49" s="291" t="n"/>
      <c r="B49" s="291" t="n"/>
      <c r="C49" s="294" t="inlineStr">
        <is>
          <t>ИТОГО ПО РМ</t>
        </is>
      </c>
      <c r="D49" s="291" t="n"/>
      <c r="E49" s="295" t="n"/>
      <c r="F49" s="296" t="n"/>
      <c r="G49" s="223">
        <f>G14+G36</f>
        <v/>
      </c>
      <c r="H49" s="297" t="n"/>
      <c r="I49" s="223" t="n"/>
      <c r="J49" s="223">
        <f>J14+J36+J48</f>
        <v/>
      </c>
    </row>
    <row r="50" ht="25.5" customFormat="1" customHeight="1" s="236">
      <c r="A50" s="291" t="n"/>
      <c r="B50" s="291" t="n"/>
      <c r="C50" s="294" t="inlineStr">
        <is>
          <t>ИТОГО ПО РМ
(с коэффициентом на демонтаж 0,7)</t>
        </is>
      </c>
      <c r="D50" s="291" t="n"/>
      <c r="E50" s="295" t="n"/>
      <c r="F50" s="296" t="n"/>
      <c r="G50" s="223">
        <f>G15+G37</f>
        <v/>
      </c>
      <c r="H50" s="297" t="n"/>
      <c r="I50" s="223" t="n"/>
      <c r="J50" s="223">
        <f>J14*0.7+J36*0.7+J48</f>
        <v/>
      </c>
    </row>
    <row r="51" ht="14.25" customFormat="1" customHeight="1" s="236">
      <c r="A51" s="291" t="n"/>
      <c r="B51" s="291" t="n"/>
      <c r="C51" s="294" t="inlineStr">
        <is>
          <t>Накладные расходы</t>
        </is>
      </c>
      <c r="D51" s="133">
        <f>ROUND(G51/(G$17+$G$14),2)</f>
        <v/>
      </c>
      <c r="E51" s="295" t="n"/>
      <c r="F51" s="296" t="n"/>
      <c r="G51" s="223" t="n">
        <v>1317.46</v>
      </c>
      <c r="H51" s="298" t="n"/>
      <c r="I51" s="223" t="n"/>
      <c r="J51" s="223">
        <f>ROUND(D51*(J14+J17),2)</f>
        <v/>
      </c>
    </row>
    <row r="52" ht="25.5" customFormat="1" customHeight="1" s="236">
      <c r="A52" s="291" t="n"/>
      <c r="B52" s="291" t="n"/>
      <c r="C52" s="294" t="inlineStr">
        <is>
          <t>Накладные расходы 
(с коэффициентом на демонтаж 0,7)</t>
        </is>
      </c>
      <c r="D52" s="204">
        <f>ROUND(G52/(G$18+$G$15),2)</f>
        <v/>
      </c>
      <c r="E52" s="295" t="n"/>
      <c r="F52" s="296" t="n"/>
      <c r="G52" s="223">
        <f>G51*0.7</f>
        <v/>
      </c>
      <c r="H52" s="298" t="n"/>
      <c r="I52" s="223" t="n"/>
      <c r="J52" s="223">
        <f>ROUND(D52*(J15+J18),2)</f>
        <v/>
      </c>
    </row>
    <row r="53" ht="14.25" customFormat="1" customHeight="1" s="236">
      <c r="A53" s="291" t="n"/>
      <c r="B53" s="291" t="n"/>
      <c r="C53" s="294" t="inlineStr">
        <is>
          <t>Сметная прибыль</t>
        </is>
      </c>
      <c r="D53" s="133">
        <f>ROUND(G53/(G$14+G$17),2)</f>
        <v/>
      </c>
      <c r="E53" s="295" t="n"/>
      <c r="F53" s="296" t="n"/>
      <c r="G53" s="223" t="n">
        <v>752.83</v>
      </c>
      <c r="H53" s="298" t="n"/>
      <c r="I53" s="223" t="n"/>
      <c r="J53" s="223">
        <f>ROUND(D53*(J14+J17),2)</f>
        <v/>
      </c>
    </row>
    <row r="54" ht="25.5" customFormat="1" customHeight="1" s="236">
      <c r="A54" s="291" t="n"/>
      <c r="B54" s="291" t="n"/>
      <c r="C54" s="294" t="inlineStr">
        <is>
          <t>Сметная прибыль 
(с коэффициентом на демонтаж 0,7)</t>
        </is>
      </c>
      <c r="D54" s="204">
        <f>ROUND(G54/(G$15+G$18),2)</f>
        <v/>
      </c>
      <c r="E54" s="295" t="n"/>
      <c r="F54" s="296" t="n"/>
      <c r="G54" s="223">
        <f>G53*0.7</f>
        <v/>
      </c>
      <c r="H54" s="298" t="n"/>
      <c r="I54" s="223" t="n"/>
      <c r="J54" s="223">
        <f>ROUND(D54*(J15+J18),2)</f>
        <v/>
      </c>
    </row>
    <row r="55" ht="25.5" customFormat="1" customHeight="1" s="236">
      <c r="A55" s="291" t="n"/>
      <c r="B55" s="291" t="n"/>
      <c r="C55" s="294" t="inlineStr">
        <is>
          <t>Итого СМР (с НР и СП) 
(с коэффициентом на демонтаж 0,7)</t>
        </is>
      </c>
      <c r="D55" s="291" t="n"/>
      <c r="E55" s="295" t="n"/>
      <c r="F55" s="296" t="n"/>
      <c r="G55" s="223">
        <f>G50+G52+G54</f>
        <v/>
      </c>
      <c r="H55" s="298" t="n"/>
      <c r="I55" s="223" t="n"/>
      <c r="J55" s="223">
        <f>ROUND((J50+J52+J54),2)</f>
        <v/>
      </c>
    </row>
    <row r="56" ht="25.5" customFormat="1" customHeight="1" s="236">
      <c r="A56" s="291" t="n"/>
      <c r="B56" s="291" t="n"/>
      <c r="C56" s="294" t="inlineStr">
        <is>
          <t>ВСЕГО СМР + ОБОРУДОВАНИЕ 
(с коэффициентом на демонтаж 0,7)</t>
        </is>
      </c>
      <c r="D56" s="291" t="n"/>
      <c r="E56" s="295" t="n"/>
      <c r="F56" s="296" t="n"/>
      <c r="G56" s="223">
        <f>G55</f>
        <v/>
      </c>
      <c r="H56" s="298" t="n"/>
      <c r="I56" s="223" t="n"/>
      <c r="J56" s="223">
        <f>J55</f>
        <v/>
      </c>
    </row>
    <row r="57" ht="34.5" customFormat="1" customHeight="1" s="236">
      <c r="A57" s="291" t="n"/>
      <c r="B57" s="291" t="n"/>
      <c r="C57" s="294" t="inlineStr">
        <is>
          <t>ИТОГО ПОКАЗАТЕЛЬ НА ЕД. ИЗМ.</t>
        </is>
      </c>
      <c r="D57" s="291" t="inlineStr">
        <is>
          <t>1 км</t>
        </is>
      </c>
      <c r="E57" s="374" t="n">
        <v>1</v>
      </c>
      <c r="F57" s="296" t="n"/>
      <c r="G57" s="223">
        <f>G56/E57</f>
        <v/>
      </c>
      <c r="H57" s="298" t="n"/>
      <c r="I57" s="223" t="n"/>
      <c r="J57" s="201">
        <f>J56/E57</f>
        <v/>
      </c>
    </row>
    <row r="59" ht="14.25" customFormat="1" customHeight="1" s="236">
      <c r="A59" s="235" t="inlineStr">
        <is>
          <t>Составил ______________________     Д.А. Самуйленко</t>
        </is>
      </c>
    </row>
    <row r="60" ht="14.25" customFormat="1" customHeight="1" s="236">
      <c r="A60" s="238" t="inlineStr">
        <is>
          <t xml:space="preserve">                         (подпись, инициалы, фамилия)</t>
        </is>
      </c>
    </row>
    <row r="61" ht="14.25" customFormat="1" customHeight="1" s="236">
      <c r="A61" s="235" t="n"/>
    </row>
    <row r="62" ht="14.25" customFormat="1" customHeight="1" s="236">
      <c r="A62" s="235" t="inlineStr">
        <is>
          <t>Проверил ______________________        А.В. Костянецкая</t>
        </is>
      </c>
    </row>
    <row r="63" ht="14.25" customFormat="1" customHeight="1" s="236">
      <c r="A63" s="23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H2:J2"/>
    <mergeCell ref="B20:H20"/>
    <mergeCell ref="B45:H45"/>
    <mergeCell ref="C9:C10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44:H44"/>
    <mergeCell ref="B38:H38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2" min="1" max="1"/>
    <col width="17.5703125" customWidth="1" style="242" min="2" max="2"/>
    <col width="39.140625" customWidth="1" style="242" min="3" max="3"/>
    <col width="10.7109375" customWidth="1" style="311" min="4" max="4"/>
    <col width="13.85546875" customWidth="1" style="242" min="5" max="5"/>
    <col width="13.28515625" customWidth="1" style="242" min="6" max="6"/>
    <col width="14.140625" customWidth="1" style="242" min="7" max="7"/>
  </cols>
  <sheetData>
    <row r="1">
      <c r="A1" s="304" t="inlineStr">
        <is>
          <t>Приложение №6</t>
        </is>
      </c>
    </row>
    <row r="2" ht="21.75" customHeight="1" s="242">
      <c r="A2" s="304" t="n"/>
      <c r="B2" s="304" t="n"/>
      <c r="C2" s="304" t="n"/>
      <c r="D2" s="313" t="n"/>
      <c r="E2" s="304" t="n"/>
      <c r="F2" s="304" t="n"/>
      <c r="G2" s="304" t="n"/>
    </row>
    <row r="3">
      <c r="A3" s="259" t="inlineStr">
        <is>
          <t>Расчет стоимости оборудования</t>
        </is>
      </c>
    </row>
    <row r="4" ht="25.5" customHeight="1" s="242">
      <c r="A4" s="262" t="inlineStr">
        <is>
          <t>Наименование разрабатываемого показателя УНЦ — Демонтаж ВЛ 0,4 кВ одна цепь</t>
        </is>
      </c>
    </row>
    <row r="5">
      <c r="A5" s="235" t="n"/>
      <c r="B5" s="235" t="n"/>
      <c r="C5" s="235" t="n"/>
      <c r="D5" s="313" t="n"/>
      <c r="E5" s="235" t="n"/>
      <c r="F5" s="235" t="n"/>
      <c r="G5" s="235" t="n"/>
    </row>
    <row r="6" ht="30" customHeight="1" s="242">
      <c r="A6" s="309" t="inlineStr">
        <is>
          <t>№ пп.</t>
        </is>
      </c>
      <c r="B6" s="309" t="inlineStr">
        <is>
          <t>Код ресурса</t>
        </is>
      </c>
      <c r="C6" s="309" t="inlineStr">
        <is>
          <t>Наименование</t>
        </is>
      </c>
      <c r="D6" s="309" t="inlineStr">
        <is>
          <t>Ед. изм.</t>
        </is>
      </c>
      <c r="E6" s="291" t="inlineStr">
        <is>
          <t>Кол-во единиц по проектным данным</t>
        </is>
      </c>
      <c r="F6" s="309" t="inlineStr">
        <is>
          <t>Сметная стоимость в ценах на 01.01.2000 (руб.)</t>
        </is>
      </c>
      <c r="G6" s="365" t="n"/>
    </row>
    <row r="7">
      <c r="A7" s="367" t="n"/>
      <c r="B7" s="367" t="n"/>
      <c r="C7" s="367" t="n"/>
      <c r="D7" s="367" t="n"/>
      <c r="E7" s="367" t="n"/>
      <c r="F7" s="291" t="inlineStr">
        <is>
          <t>на ед. изм.</t>
        </is>
      </c>
      <c r="G7" s="291" t="inlineStr">
        <is>
          <t>общая</t>
        </is>
      </c>
    </row>
    <row r="8">
      <c r="A8" s="291" t="n">
        <v>1</v>
      </c>
      <c r="B8" s="291" t="n">
        <v>2</v>
      </c>
      <c r="C8" s="291" t="n">
        <v>3</v>
      </c>
      <c r="D8" s="291" t="n">
        <v>4</v>
      </c>
      <c r="E8" s="291" t="n">
        <v>5</v>
      </c>
      <c r="F8" s="291" t="n">
        <v>6</v>
      </c>
      <c r="G8" s="291" t="n">
        <v>7</v>
      </c>
    </row>
    <row r="9" ht="15" customHeight="1" s="242">
      <c r="A9" s="24" t="n"/>
      <c r="B9" s="294" t="inlineStr">
        <is>
          <t>ИНЖЕНЕРНОЕ ОБОРУДОВАНИЕ</t>
        </is>
      </c>
      <c r="C9" s="364" t="n"/>
      <c r="D9" s="364" t="n"/>
      <c r="E9" s="364" t="n"/>
      <c r="F9" s="364" t="n"/>
      <c r="G9" s="365" t="n"/>
    </row>
    <row r="10" ht="27" customHeight="1" s="242">
      <c r="A10" s="291" t="n"/>
      <c r="B10" s="277" t="n"/>
      <c r="C10" s="294" t="inlineStr">
        <is>
          <t>ИТОГО ИНЖЕНЕРНОЕ ОБОРУДОВАНИЕ</t>
        </is>
      </c>
      <c r="D10" s="299" t="n"/>
      <c r="E10" s="103" t="n"/>
      <c r="F10" s="296" t="n"/>
      <c r="G10" s="296" t="n">
        <v>0</v>
      </c>
    </row>
    <row r="11">
      <c r="A11" s="291" t="n"/>
      <c r="B11" s="294" t="inlineStr">
        <is>
          <t>ТЕХНОЛОГИЧЕСКОЕ ОБОРУДОВАНИЕ</t>
        </is>
      </c>
      <c r="C11" s="364" t="n"/>
      <c r="D11" s="364" t="n"/>
      <c r="E11" s="364" t="n"/>
      <c r="F11" s="364" t="n"/>
      <c r="G11" s="365" t="n"/>
    </row>
    <row r="12" ht="25.5" customHeight="1" s="242">
      <c r="A12" s="291" t="n"/>
      <c r="B12" s="294" t="n"/>
      <c r="C12" s="294" t="inlineStr">
        <is>
          <t>ИТОГО ТЕХНОЛОГИЧЕСКОЕ ОБОРУДОВАНИЕ</t>
        </is>
      </c>
      <c r="D12" s="291" t="n"/>
      <c r="E12" s="308" t="n"/>
      <c r="F12" s="296" t="n"/>
      <c r="G12" s="223" t="n">
        <v>0</v>
      </c>
    </row>
    <row r="13" ht="19.5" customHeight="1" s="242">
      <c r="A13" s="291" t="n"/>
      <c r="B13" s="294" t="n"/>
      <c r="C13" s="294" t="inlineStr">
        <is>
          <t>Всего по разделу «Оборудование»</t>
        </is>
      </c>
      <c r="D13" s="291" t="n"/>
      <c r="E13" s="308" t="n"/>
      <c r="F13" s="296" t="n"/>
      <c r="G13" s="223">
        <f>G10+G12</f>
        <v/>
      </c>
    </row>
    <row r="14">
      <c r="A14" s="237" t="n"/>
      <c r="B14" s="104" t="n"/>
      <c r="C14" s="237" t="n"/>
      <c r="D14" s="169" t="n"/>
      <c r="E14" s="237" t="n"/>
      <c r="F14" s="237" t="n"/>
      <c r="G14" s="237" t="n"/>
    </row>
    <row r="15">
      <c r="A15" s="235" t="inlineStr">
        <is>
          <t>Составил ______________________    Д.А. Самуйленко</t>
        </is>
      </c>
      <c r="B15" s="236" t="n"/>
      <c r="C15" s="236" t="n"/>
      <c r="D15" s="169" t="n"/>
      <c r="E15" s="237" t="n"/>
      <c r="F15" s="237" t="n"/>
      <c r="G15" s="237" t="n"/>
    </row>
    <row r="16">
      <c r="A16" s="238" t="inlineStr">
        <is>
          <t xml:space="preserve">                         (подпись, инициалы, фамилия)</t>
        </is>
      </c>
      <c r="B16" s="236" t="n"/>
      <c r="C16" s="236" t="n"/>
      <c r="D16" s="169" t="n"/>
      <c r="E16" s="237" t="n"/>
      <c r="F16" s="237" t="n"/>
      <c r="G16" s="237" t="n"/>
    </row>
    <row r="17">
      <c r="A17" s="235" t="n"/>
      <c r="B17" s="236" t="n"/>
      <c r="C17" s="236" t="n"/>
      <c r="D17" s="169" t="n"/>
      <c r="E17" s="237" t="n"/>
      <c r="F17" s="237" t="n"/>
      <c r="G17" s="237" t="n"/>
    </row>
    <row r="18">
      <c r="A18" s="235" t="inlineStr">
        <is>
          <t>Проверил ______________________        А.В. Костянецкая</t>
        </is>
      </c>
      <c r="B18" s="236" t="n"/>
      <c r="C18" s="236" t="n"/>
      <c r="D18" s="169" t="n"/>
      <c r="E18" s="237" t="n"/>
      <c r="F18" s="237" t="n"/>
      <c r="G18" s="237" t="n"/>
    </row>
    <row r="19">
      <c r="A19" s="238" t="inlineStr">
        <is>
          <t xml:space="preserve">                        (подпись, инициалы, фамилия)</t>
        </is>
      </c>
      <c r="B19" s="236" t="n"/>
      <c r="C19" s="236" t="n"/>
      <c r="D19" s="169" t="n"/>
      <c r="E19" s="237" t="n"/>
      <c r="F19" s="237" t="n"/>
      <c r="G19" s="23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9.42578125" customWidth="1" style="242" min="1" max="1"/>
    <col width="16.42578125" customWidth="1" style="242" min="2" max="2"/>
    <col width="37.140625" customWidth="1" style="242" min="3" max="3"/>
    <col width="49" customWidth="1" style="242" min="4" max="4"/>
    <col width="9.140625" customWidth="1" style="242" min="5" max="5"/>
  </cols>
  <sheetData>
    <row r="1" ht="15.75" customHeight="1" s="242">
      <c r="A1" s="244" t="n"/>
      <c r="B1" s="244" t="n"/>
      <c r="C1" s="244" t="n"/>
      <c r="D1" s="244" t="inlineStr">
        <is>
          <t>Приложение №7</t>
        </is>
      </c>
    </row>
    <row r="2" ht="15.75" customHeight="1" s="242">
      <c r="A2" s="244" t="n"/>
      <c r="B2" s="244" t="n"/>
      <c r="C2" s="244" t="n"/>
      <c r="D2" s="244" t="n"/>
    </row>
    <row r="3" ht="15.75" customHeight="1" s="242">
      <c r="A3" s="244" t="n"/>
      <c r="B3" s="229" t="inlineStr">
        <is>
          <t>Расчет показателя УНЦ</t>
        </is>
      </c>
      <c r="C3" s="244" t="n"/>
      <c r="D3" s="244" t="n"/>
    </row>
    <row r="4" ht="15.75" customHeight="1" s="242">
      <c r="A4" s="244" t="n"/>
      <c r="B4" s="244" t="n"/>
      <c r="C4" s="244" t="n"/>
      <c r="D4" s="244" t="n"/>
    </row>
    <row r="5" ht="15.75" customHeight="1" s="242">
      <c r="A5" s="310" t="inlineStr">
        <is>
          <t xml:space="preserve">Наименование разрабатываемого показателя УНЦ - </t>
        </is>
      </c>
      <c r="D5" s="310">
        <f>'Прил.5 Расчет СМР и ОБ'!D6:J6</f>
        <v/>
      </c>
    </row>
    <row r="6" ht="15.75" customHeight="1" s="242">
      <c r="A6" s="244" t="inlineStr">
        <is>
          <t>Единица измерения  — 1 км</t>
        </is>
      </c>
      <c r="B6" s="244" t="n"/>
      <c r="C6" s="244" t="n"/>
      <c r="D6" s="244" t="n"/>
    </row>
    <row r="7" ht="15.75" customHeight="1" s="242">
      <c r="A7" s="244" t="n"/>
      <c r="B7" s="244" t="n"/>
      <c r="C7" s="244" t="n"/>
      <c r="D7" s="244" t="n"/>
    </row>
    <row r="8">
      <c r="A8" s="273" t="inlineStr">
        <is>
          <t>Код показателя</t>
        </is>
      </c>
      <c r="B8" s="273" t="inlineStr">
        <is>
          <t>Наименование показателя</t>
        </is>
      </c>
      <c r="C8" s="273" t="inlineStr">
        <is>
          <t>Наименование РМ, входящих в состав показателя</t>
        </is>
      </c>
      <c r="D8" s="273" t="inlineStr">
        <is>
          <t>Норматив цены на 01.01.2023, тыс.руб.</t>
        </is>
      </c>
    </row>
    <row r="9">
      <c r="A9" s="367" t="n"/>
      <c r="B9" s="367" t="n"/>
      <c r="C9" s="367" t="n"/>
      <c r="D9" s="367" t="n"/>
    </row>
    <row r="10" ht="15.75" customHeight="1" s="242">
      <c r="A10" s="273" t="n">
        <v>1</v>
      </c>
      <c r="B10" s="273" t="n">
        <v>2</v>
      </c>
      <c r="C10" s="273" t="n">
        <v>3</v>
      </c>
      <c r="D10" s="273" t="n">
        <v>4</v>
      </c>
    </row>
    <row r="11" ht="47.25" customHeight="1" s="242">
      <c r="A11" s="273" t="inlineStr">
        <is>
          <t>М2-01-1</t>
        </is>
      </c>
      <c r="B11" s="273" t="inlineStr">
        <is>
          <t>УНЦ на демонтаж ВЛ 0,4-750 кВ</t>
        </is>
      </c>
      <c r="C11" s="233">
        <f>D5</f>
        <v/>
      </c>
      <c r="D11" s="250">
        <f>'Прил.4 РМ'!C41/1000</f>
        <v/>
      </c>
    </row>
    <row r="13">
      <c r="A13" s="235" t="inlineStr">
        <is>
          <t>Составил ______________________     Д.А. Самуйленко</t>
        </is>
      </c>
      <c r="B13" s="236" t="n"/>
      <c r="C13" s="236" t="n"/>
      <c r="D13" s="237" t="n"/>
    </row>
    <row r="14">
      <c r="A14" s="238" t="inlineStr">
        <is>
          <t xml:space="preserve">                         (подпись, инициалы, фамилия)</t>
        </is>
      </c>
      <c r="B14" s="236" t="n"/>
      <c r="C14" s="236" t="n"/>
      <c r="D14" s="237" t="n"/>
    </row>
    <row r="15">
      <c r="A15" s="235" t="n"/>
      <c r="B15" s="236" t="n"/>
      <c r="C15" s="236" t="n"/>
      <c r="D15" s="237" t="n"/>
    </row>
    <row r="16">
      <c r="A16" s="235" t="inlineStr">
        <is>
          <t>Проверил ______________________        А.В. Костянецкая</t>
        </is>
      </c>
      <c r="B16" s="236" t="n"/>
      <c r="C16" s="236" t="n"/>
      <c r="D16" s="237" t="n"/>
    </row>
    <row r="17">
      <c r="A17" s="238" t="inlineStr">
        <is>
          <t xml:space="preserve">                        (подпись, инициалы, фамилия)</t>
        </is>
      </c>
      <c r="B17" s="236" t="n"/>
      <c r="C17" s="236" t="n"/>
      <c r="D17" s="23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1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2" min="2" max="2"/>
    <col width="37" customWidth="1" style="242" min="3" max="3"/>
    <col width="32" customWidth="1" style="242" min="4" max="4"/>
  </cols>
  <sheetData>
    <row r="4" ht="15.75" customHeight="1" s="242">
      <c r="B4" s="266" t="inlineStr">
        <is>
          <t>Приложение № 10</t>
        </is>
      </c>
    </row>
    <row r="5" ht="18.75" customHeight="1" s="242">
      <c r="B5" s="118" t="n"/>
    </row>
    <row r="6" ht="15.75" customHeight="1" s="242">
      <c r="B6" s="267" t="inlineStr">
        <is>
          <t>Используемые индексы изменений сметной стоимости и нормы сопутствующих затрат</t>
        </is>
      </c>
    </row>
    <row r="7">
      <c r="B7" s="311" t="n"/>
    </row>
    <row r="8">
      <c r="B8" s="311" t="n"/>
      <c r="C8" s="311" t="n"/>
      <c r="D8" s="311" t="n"/>
      <c r="E8" s="311" t="n"/>
    </row>
    <row r="9" ht="47.25" customHeight="1" s="242">
      <c r="B9" s="273" t="inlineStr">
        <is>
          <t>Наименование индекса / норм сопутствующих затрат</t>
        </is>
      </c>
      <c r="C9" s="273" t="inlineStr">
        <is>
          <t>Дата применения и обоснование индекса / норм сопутствующих затрат</t>
        </is>
      </c>
      <c r="D9" s="273" t="inlineStr">
        <is>
          <t>Размер индекса / норма сопутствующих затрат</t>
        </is>
      </c>
    </row>
    <row r="10" ht="15.75" customHeight="1" s="242">
      <c r="B10" s="273" t="n">
        <v>1</v>
      </c>
      <c r="C10" s="273" t="n">
        <v>2</v>
      </c>
      <c r="D10" s="273" t="n">
        <v>3</v>
      </c>
    </row>
    <row r="11" ht="45" customHeight="1" s="242">
      <c r="B11" s="273" t="inlineStr">
        <is>
          <t xml:space="preserve">Индекс изменения сметной стоимости на 1 квартал 2023 года. ОЗП </t>
        </is>
      </c>
      <c r="C11" s="273" t="inlineStr">
        <is>
          <t>Письмо Минстроя России от 30.03.2023г. №17106-ИФ/09  прил.1</t>
        </is>
      </c>
      <c r="D11" s="273" t="n">
        <v>44.29</v>
      </c>
    </row>
    <row r="12" ht="29.25" customHeight="1" s="242">
      <c r="B12" s="273" t="inlineStr">
        <is>
          <t>Индекс изменения сметной стоимости на 1 квартал 2023 года. ЭМ</t>
        </is>
      </c>
      <c r="C12" s="273" t="inlineStr">
        <is>
          <t>Письмо Минстроя России от 30.03.2023г. №17106-ИФ/09  прил.1</t>
        </is>
      </c>
      <c r="D12" s="273" t="n">
        <v>11.72</v>
      </c>
    </row>
    <row r="13" ht="29.25" customHeight="1" s="242">
      <c r="B13" s="273" t="inlineStr">
        <is>
          <t>Индекс изменения сметной стоимости на 1 квартал 2023 года. МАТ</t>
        </is>
      </c>
      <c r="C13" s="273" t="inlineStr">
        <is>
          <t>Письмо Минстроя России от 30.03.2023г. №17106-ИФ/09  прил.1</t>
        </is>
      </c>
      <c r="D13" s="273" t="n">
        <v>7.74</v>
      </c>
    </row>
    <row r="14" ht="30.75" customHeight="1" s="242">
      <c r="B14" s="273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73" t="n">
        <v>6.26</v>
      </c>
    </row>
    <row r="15" ht="89.25" customHeight="1" s="242">
      <c r="B15" s="273" t="inlineStr">
        <is>
          <t>Временные здания и сооружения</t>
        </is>
      </c>
      <c r="C15" s="27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 s="242">
      <c r="B16" s="273" t="inlineStr">
        <is>
          <t>Дополнительные затраты при производстве строительно-монтажных работ в зимнее время</t>
        </is>
      </c>
      <c r="C16" s="27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0.019</v>
      </c>
    </row>
    <row r="17" ht="31.5" customHeight="1" s="242">
      <c r="B17" s="273" t="inlineStr">
        <is>
          <t>Строительный контроль</t>
        </is>
      </c>
      <c r="C17" s="273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42">
      <c r="B18" s="273" t="inlineStr">
        <is>
          <t>Авторский надзор - 0,2%</t>
        </is>
      </c>
      <c r="C18" s="273" t="inlineStr">
        <is>
          <t>Приказ от 4.08.2020 № 421/пр п.173</t>
        </is>
      </c>
      <c r="D18" s="120" t="n">
        <v>0.002</v>
      </c>
    </row>
    <row r="19" ht="24" customHeight="1" s="242">
      <c r="B19" s="273" t="inlineStr">
        <is>
          <t>Непредвиденные расходы</t>
        </is>
      </c>
      <c r="C19" s="273" t="inlineStr">
        <is>
          <t>Приказ от 4.08.2020 № 421/пр п.179</t>
        </is>
      </c>
      <c r="D19" s="120" t="n">
        <v>0.03</v>
      </c>
    </row>
    <row r="20" ht="18.75" customHeight="1" s="242">
      <c r="B20" s="119" t="n"/>
    </row>
    <row r="21" ht="18.75" customHeight="1" s="242">
      <c r="B21" s="119" t="n"/>
    </row>
    <row r="22" ht="18.75" customHeight="1" s="242">
      <c r="B22" s="119" t="n"/>
    </row>
    <row r="23" ht="18.75" customHeight="1" s="242">
      <c r="B23" s="119" t="n"/>
    </row>
    <row r="26">
      <c r="B26" s="235" t="inlineStr">
        <is>
          <t>Составил ______________________        Д.А. Самуйленко</t>
        </is>
      </c>
      <c r="C26" s="236" t="n"/>
    </row>
    <row r="27">
      <c r="B27" s="238" t="inlineStr">
        <is>
          <t xml:space="preserve">                         (подпись, инициалы, фамилия)</t>
        </is>
      </c>
      <c r="C27" s="236" t="n"/>
    </row>
    <row r="28">
      <c r="B28" s="235" t="n"/>
      <c r="C28" s="236" t="n"/>
    </row>
    <row r="29">
      <c r="B29" s="235" t="inlineStr">
        <is>
          <t>Проверил ______________________        А.В. Костянецкая</t>
        </is>
      </c>
      <c r="C29" s="236" t="n"/>
    </row>
    <row r="30">
      <c r="B30" s="238" t="inlineStr">
        <is>
          <t xml:space="preserve">                        (подпись, инициалы, фамилия)</t>
        </is>
      </c>
      <c r="C30" s="23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42" min="2" max="2"/>
    <col width="13" customWidth="1" style="242" min="3" max="3"/>
    <col width="22.85546875" customWidth="1" style="242" min="4" max="4"/>
    <col width="21.5703125" customWidth="1" style="242" min="5" max="5"/>
    <col width="43.85546875" customWidth="1" style="242" min="6" max="6"/>
  </cols>
  <sheetData>
    <row r="1" s="242"/>
    <row r="2" ht="17.25" customHeight="1" s="242">
      <c r="A2" s="267" t="inlineStr">
        <is>
          <t>Расчет размера средств на оплату труда рабочих-строителей в текущем уровне цен (ФОТр.тек.)</t>
        </is>
      </c>
    </row>
    <row r="3" s="242"/>
    <row r="4" ht="18" customHeight="1" s="242">
      <c r="A4" s="243" t="inlineStr">
        <is>
          <t>Составлен в уровне цен на 01.01.2023 г.</t>
        </is>
      </c>
      <c r="B4" s="244" t="n"/>
      <c r="C4" s="244" t="n"/>
      <c r="D4" s="244" t="n"/>
      <c r="E4" s="244" t="n"/>
      <c r="F4" s="244" t="n"/>
      <c r="G4" s="244" t="n"/>
    </row>
    <row r="5" ht="15.75" customHeight="1" s="242">
      <c r="A5" s="245" t="inlineStr">
        <is>
          <t>№ пп.</t>
        </is>
      </c>
      <c r="B5" s="245" t="inlineStr">
        <is>
          <t>Наименование элемента</t>
        </is>
      </c>
      <c r="C5" s="245" t="inlineStr">
        <is>
          <t>Обозначение</t>
        </is>
      </c>
      <c r="D5" s="245" t="inlineStr">
        <is>
          <t>Формула</t>
        </is>
      </c>
      <c r="E5" s="245" t="inlineStr">
        <is>
          <t>Величина элемента</t>
        </is>
      </c>
      <c r="F5" s="245" t="inlineStr">
        <is>
          <t>Наименования обосновывающих документов</t>
        </is>
      </c>
      <c r="G5" s="244" t="n"/>
    </row>
    <row r="6" ht="15.75" customHeight="1" s="242">
      <c r="A6" s="245" t="n">
        <v>1</v>
      </c>
      <c r="B6" s="245" t="n">
        <v>2</v>
      </c>
      <c r="C6" s="245" t="n">
        <v>3</v>
      </c>
      <c r="D6" s="245" t="n">
        <v>4</v>
      </c>
      <c r="E6" s="245" t="n">
        <v>5</v>
      </c>
      <c r="F6" s="245" t="n">
        <v>6</v>
      </c>
      <c r="G6" s="244" t="n"/>
    </row>
    <row r="7" ht="110.25" customHeight="1" s="242">
      <c r="A7" s="246" t="inlineStr">
        <is>
          <t>1.1</t>
        </is>
      </c>
      <c r="B7" s="2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3" t="inlineStr">
        <is>
          <t>С1ср</t>
        </is>
      </c>
      <c r="D7" s="273" t="inlineStr">
        <is>
          <t>-</t>
        </is>
      </c>
      <c r="E7" s="249" t="n">
        <v>47872.94</v>
      </c>
      <c r="F7" s="2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4" t="n"/>
    </row>
    <row r="8" ht="31.5" customHeight="1" s="242">
      <c r="A8" s="246" t="inlineStr">
        <is>
          <t>1.2</t>
        </is>
      </c>
      <c r="B8" s="251" t="inlineStr">
        <is>
          <t>Среднегодовое нормативное число часов работы одного рабочего в месяц, часы (ч.)</t>
        </is>
      </c>
      <c r="C8" s="273" t="inlineStr">
        <is>
          <t>tср</t>
        </is>
      </c>
      <c r="D8" s="273" t="inlineStr">
        <is>
          <t>1973ч/12мес.</t>
        </is>
      </c>
      <c r="E8" s="250">
        <f>1973/12</f>
        <v/>
      </c>
      <c r="F8" s="251" t="inlineStr">
        <is>
          <t>Производственный календарь 2023 год
(40-часов.неделя)</t>
        </is>
      </c>
      <c r="G8" s="253" t="n"/>
    </row>
    <row r="9" ht="15.75" customHeight="1" s="242">
      <c r="A9" s="246" t="inlineStr">
        <is>
          <t>1.3</t>
        </is>
      </c>
      <c r="B9" s="251" t="inlineStr">
        <is>
          <t>Коэффициент увеличения</t>
        </is>
      </c>
      <c r="C9" s="273" t="inlineStr">
        <is>
          <t>Кув</t>
        </is>
      </c>
      <c r="D9" s="273" t="inlineStr">
        <is>
          <t>-</t>
        </is>
      </c>
      <c r="E9" s="250" t="n">
        <v>1</v>
      </c>
      <c r="F9" s="251" t="n"/>
      <c r="G9" s="253" t="n"/>
    </row>
    <row r="10" ht="15.75" customHeight="1" s="242">
      <c r="A10" s="246" t="inlineStr">
        <is>
          <t>1.4</t>
        </is>
      </c>
      <c r="B10" s="251" t="inlineStr">
        <is>
          <t>Средний разряд работ</t>
        </is>
      </c>
      <c r="C10" s="273" t="n"/>
      <c r="D10" s="273" t="n"/>
      <c r="E10" s="375" t="n">
        <v>3.3</v>
      </c>
      <c r="F10" s="251" t="inlineStr">
        <is>
          <t>РТМ</t>
        </is>
      </c>
      <c r="G10" s="253" t="n"/>
    </row>
    <row r="11" ht="78.75" customHeight="1" s="242">
      <c r="A11" s="246" t="inlineStr">
        <is>
          <t>1.5</t>
        </is>
      </c>
      <c r="B11" s="251" t="inlineStr">
        <is>
          <t>Тарифный коэффициент среднего разряда работ</t>
        </is>
      </c>
      <c r="C11" s="273" t="inlineStr">
        <is>
          <t>КТ</t>
        </is>
      </c>
      <c r="D11" s="273" t="inlineStr">
        <is>
          <t>-</t>
        </is>
      </c>
      <c r="E11" s="376" t="n">
        <v>1.232</v>
      </c>
      <c r="F11" s="2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4" t="n"/>
    </row>
    <row r="12" ht="78.75" customHeight="1" s="242">
      <c r="A12" s="256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257" t="inlineStr">
        <is>
          <t>Кинф</t>
        </is>
      </c>
      <c r="D12" s="257" t="inlineStr">
        <is>
          <t>-</t>
        </is>
      </c>
      <c r="E12" s="377" t="n">
        <v>1.139</v>
      </c>
      <c r="F12" s="3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3" t="n"/>
    </row>
    <row r="13" ht="63" customHeight="1" s="242">
      <c r="A13" s="359" t="inlineStr">
        <is>
          <t>1.7</t>
        </is>
      </c>
      <c r="B13" s="360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62">
        <f>((E7*E9/E8)*E11)*E12</f>
        <v/>
      </c>
      <c r="F13" s="3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2025-01-24T12:10:50Z</dcterms:modified>
  <cp:lastModifiedBy>Nikolay Ivanov</cp:lastModifiedBy>
  <cp:lastPrinted>2023-11-28T12:07:09Z</cp:lastPrinted>
</cp:coreProperties>
</file>