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Нсапк" localSheetId="0">#REF!</definedName>
    <definedName name="Нсстр" localSheetId="0">#REF!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Нсапк" localSheetId="1">#REF!</definedName>
    <definedName name="Нсстр" localSheetId="1">#REF!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стоим'!$A$1:$J$24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0.0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0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21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0" fontId="21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horizontal="right" vertical="center" wrapText="1"/>
    </xf>
    <xf numFmtId="170" fontId="19" fillId="0" borderId="1" applyAlignment="1" pivotButton="0" quotePrefix="0" xfId="0">
      <alignment vertical="center" wrapText="1"/>
    </xf>
    <xf numFmtId="17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/>
    </xf>
    <xf numFmtId="170" fontId="19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70" fontId="16" fillId="0" borderId="6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170" fontId="19" fillId="0" borderId="6" applyAlignment="1" pivotButton="0" quotePrefix="0" xfId="0">
      <alignment vertical="center" wrapText="1"/>
    </xf>
    <xf numFmtId="0" fontId="16" fillId="0" borderId="5" pivotButton="0" quotePrefix="0" xfId="0"/>
    <xf numFmtId="4" fontId="16" fillId="0" borderId="5" applyAlignment="1" pivotButton="0" quotePrefix="0" xfId="0">
      <alignment vertical="center" wrapText="1"/>
    </xf>
    <xf numFmtId="0" fontId="16" fillId="0" borderId="5" applyAlignment="1" pivotButton="0" quotePrefix="1" xfId="0">
      <alignment horizontal="center" vertical="center"/>
    </xf>
    <xf numFmtId="0" fontId="16" fillId="0" borderId="5" applyAlignment="1" pivotButton="0" quotePrefix="0" xfId="0">
      <alignment vertical="center" wrapText="1"/>
    </xf>
    <xf numFmtId="170" fontId="16" fillId="0" borderId="9" applyAlignment="1" pivotButton="0" quotePrefix="0" xfId="0">
      <alignment horizontal="center" vertical="center"/>
    </xf>
    <xf numFmtId="0" fontId="19" fillId="0" borderId="4" applyAlignment="1" pivotButton="0" quotePrefix="0" xfId="0">
      <alignment horizontal="right" vertical="center" wrapText="1"/>
    </xf>
    <xf numFmtId="170" fontId="19" fillId="0" borderId="3" applyAlignment="1" pivotButton="0" quotePrefix="0" xfId="0">
      <alignment horizontal="center" vertical="center" wrapText="1"/>
    </xf>
    <xf numFmtId="0" fontId="19" fillId="0" borderId="10" applyAlignment="1" pivotButton="0" quotePrefix="0" xfId="0">
      <alignment horizontal="right" vertical="center" wrapText="1"/>
    </xf>
    <xf numFmtId="170" fontId="19" fillId="0" borderId="10" applyAlignment="1" pivotButton="0" quotePrefix="0" xfId="0">
      <alignment vertical="center" wrapText="1"/>
    </xf>
    <xf numFmtId="0" fontId="16" fillId="0" borderId="10" pivotButton="0" quotePrefix="0" xfId="0"/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170" fontId="1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170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horizontal="right" vertical="center" wrapText="1"/>
    </xf>
    <xf numFmtId="0" fontId="0" fillId="0" borderId="17" pivotButton="0" quotePrefix="0" xfId="0"/>
    <xf numFmtId="0" fontId="0" fillId="0" borderId="18" pivotButton="0" quotePrefix="0" xfId="0"/>
    <xf numFmtId="170" fontId="19" fillId="0" borderId="10" applyAlignment="1" pivotButton="0" quotePrefix="0" xfId="0">
      <alignment vertical="center" wrapText="1"/>
    </xf>
    <xf numFmtId="170" fontId="19" fillId="0" borderId="6" applyAlignment="1" pivotButton="0" quotePrefix="0" xfId="0">
      <alignment vertical="center" wrapText="1"/>
    </xf>
    <xf numFmtId="170" fontId="19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19" fillId="0" borderId="4" applyAlignment="1" pivotButton="0" quotePrefix="0" xfId="0">
      <alignment horizontal="center" vertical="center" wrapText="1"/>
    </xf>
    <xf numFmtId="170" fontId="16" fillId="0" borderId="0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I32"/>
  <sheetViews>
    <sheetView view="pageBreakPreview" topLeftCell="A22" zoomScale="55" zoomScaleNormal="55" workbookViewId="0">
      <selection activeCell="C28" sqref="C28"/>
    </sheetView>
  </sheetViews>
  <sheetFormatPr baseColWidth="8" defaultColWidth="9.140625" defaultRowHeight="15.75"/>
  <cols>
    <col width="9.140625" customWidth="1" style="244" min="1" max="2"/>
    <col width="66" customWidth="1" style="244" min="3" max="3"/>
    <col width="77.5703125" customWidth="1" style="244" min="4" max="4"/>
    <col width="37.42578125" customWidth="1" style="244" min="5" max="5"/>
    <col width="9.140625" customWidth="1" style="244" min="6" max="6"/>
    <col width="9.140625" customWidth="1" style="242" min="7" max="7"/>
  </cols>
  <sheetData>
    <row r="3">
      <c r="B3" s="272" t="inlineStr">
        <is>
          <t>Приложение № 1</t>
        </is>
      </c>
    </row>
    <row r="4">
      <c r="B4" s="273" t="inlineStr">
        <is>
          <t>Сравнительная таблица отбора объекта-представителя</t>
        </is>
      </c>
    </row>
    <row r="5">
      <c r="B5" s="207" t="n"/>
      <c r="C5" s="207" t="n"/>
      <c r="D5" s="207" t="n"/>
    </row>
    <row r="6">
      <c r="B6" s="207" t="n"/>
      <c r="C6" s="207" t="n"/>
      <c r="D6" s="207" t="n"/>
    </row>
    <row r="7">
      <c r="B7" s="274" t="inlineStr">
        <is>
          <t>Наименование разрабатываемого показателя УНЦ — Демонтаж ВЛ 330 кВ одна цепь</t>
        </is>
      </c>
      <c r="E7" s="209" t="n"/>
    </row>
    <row r="8" ht="15.75" customHeight="1" s="242">
      <c r="A8" s="244" t="n"/>
      <c r="B8" s="210" t="inlineStr">
        <is>
          <t xml:space="preserve">Сопоставимый уровень цен: </t>
        </is>
      </c>
      <c r="C8" s="210" t="n"/>
      <c r="D8" s="210">
        <f>D22</f>
        <v/>
      </c>
      <c r="E8" s="244" t="n"/>
      <c r="F8" s="244" t="n"/>
      <c r="G8" s="244" t="n"/>
      <c r="H8" s="244" t="n"/>
      <c r="I8" s="244" t="n"/>
    </row>
    <row r="9">
      <c r="B9" s="274" t="inlineStr">
        <is>
          <t>Единица измерения  — 1 км</t>
        </is>
      </c>
      <c r="E9" s="209" t="n"/>
    </row>
    <row r="10">
      <c r="B10" s="274" t="n"/>
    </row>
    <row r="11">
      <c r="B11" s="277" t="inlineStr">
        <is>
          <t>№ п/п</t>
        </is>
      </c>
      <c r="C11" s="277" t="inlineStr">
        <is>
          <t>Параметр</t>
        </is>
      </c>
      <c r="D11" s="282" t="inlineStr">
        <is>
          <t>Объект-представитель 1</t>
        </is>
      </c>
      <c r="E11" s="209" t="n"/>
    </row>
    <row r="12" ht="291" customHeight="1" s="242">
      <c r="B12" s="277" t="n">
        <v>1</v>
      </c>
      <c r="C12" s="282" t="inlineStr">
        <is>
          <t>Наименование объекта-представителя</t>
        </is>
      </c>
      <c r="D12" s="277" t="inlineStr">
        <is>
          <t>Строительство ВЛ 330 кВ Ондская ГЭС - ПС 330 кВ Петрозаводская ориентировочной протяженностью 278 км</t>
        </is>
      </c>
    </row>
    <row r="13" ht="31.5" customHeight="1" s="242">
      <c r="B13" s="277" t="n">
        <v>2</v>
      </c>
      <c r="C13" s="282" t="inlineStr">
        <is>
          <t>Наименование субъекта Российской Федерации</t>
        </is>
      </c>
      <c r="D13" s="277" t="inlineStr">
        <is>
          <t>Карелия республика</t>
        </is>
      </c>
    </row>
    <row r="14">
      <c r="B14" s="277" t="n">
        <v>3</v>
      </c>
      <c r="C14" s="282" t="inlineStr">
        <is>
          <t>Климатический район и подрайон</t>
        </is>
      </c>
      <c r="D14" s="277" t="inlineStr">
        <is>
          <t>IIВ</t>
        </is>
      </c>
    </row>
    <row r="15">
      <c r="B15" s="277" t="n">
        <v>4</v>
      </c>
      <c r="C15" s="282" t="inlineStr">
        <is>
          <t>Мощность объекта</t>
        </is>
      </c>
      <c r="D15" s="277" t="n">
        <v>104.21</v>
      </c>
    </row>
    <row r="16" ht="253.5" customHeight="1" s="242">
      <c r="B16" s="277" t="n">
        <v>5</v>
      </c>
      <c r="C16" s="21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7" t="inlineStr">
        <is>
          <t>Демонтаж ВЛ 330 кВ</t>
        </is>
      </c>
    </row>
    <row r="17" ht="78.75" customHeight="1" s="242">
      <c r="B17" s="277" t="n">
        <v>6</v>
      </c>
      <c r="C17" s="21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75">
        <f>SUM(D18:D21)</f>
        <v/>
      </c>
      <c r="E17" s="214" t="n"/>
    </row>
    <row r="18">
      <c r="B18" s="215" t="inlineStr">
        <is>
          <t>6.1</t>
        </is>
      </c>
      <c r="C18" s="282" t="inlineStr">
        <is>
          <t>строительно-монтажные работы</t>
        </is>
      </c>
      <c r="D18" s="375">
        <f>'Прил.2 Расч стоим'!F14</f>
        <v/>
      </c>
    </row>
    <row r="19" ht="15.75" customHeight="1" s="242">
      <c r="B19" s="215" t="inlineStr">
        <is>
          <t>6.2</t>
        </is>
      </c>
      <c r="C19" s="282" t="inlineStr">
        <is>
          <t>оборудование и инвентарь</t>
        </is>
      </c>
      <c r="D19" s="375" t="n">
        <v>0</v>
      </c>
    </row>
    <row r="20" ht="16.5" customHeight="1" s="242">
      <c r="B20" s="215" t="inlineStr">
        <is>
          <t>6.3</t>
        </is>
      </c>
      <c r="C20" s="282" t="inlineStr">
        <is>
          <t>пусконаладочные работы</t>
        </is>
      </c>
      <c r="D20" s="375" t="n"/>
    </row>
    <row r="21" ht="35.25" customHeight="1" s="242">
      <c r="B21" s="215" t="inlineStr">
        <is>
          <t>6.4</t>
        </is>
      </c>
      <c r="C21" s="216" t="inlineStr">
        <is>
          <t>прочие и лимитированные затраты</t>
        </is>
      </c>
      <c r="D21" s="375" t="n"/>
    </row>
    <row r="22">
      <c r="B22" s="277" t="n">
        <v>7</v>
      </c>
      <c r="C22" s="216" t="inlineStr">
        <is>
          <t>Сопоставимый уровень цен</t>
        </is>
      </c>
      <c r="D22" s="277" t="inlineStr">
        <is>
          <t>3 квартал 2021 г</t>
        </is>
      </c>
      <c r="E22" s="214" t="n"/>
    </row>
    <row r="23" ht="123" customHeight="1" s="242">
      <c r="B23" s="277" t="n">
        <v>8</v>
      </c>
      <c r="C23" s="2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75">
        <f>D17</f>
        <v/>
      </c>
    </row>
    <row r="24" ht="60.75" customHeight="1" s="242">
      <c r="B24" s="277" t="n">
        <v>9</v>
      </c>
      <c r="C24" s="213" t="inlineStr">
        <is>
          <t>Приведенная сметная стоимость на единицу мощности, тыс. руб. (строка 8/строку 4)</t>
        </is>
      </c>
      <c r="D24" s="375">
        <f>D17/D15</f>
        <v/>
      </c>
      <c r="E24" s="214" t="n"/>
    </row>
    <row r="25" ht="164.25" customHeight="1" s="242">
      <c r="B25" s="277" t="n">
        <v>10</v>
      </c>
      <c r="C25" s="282" t="inlineStr">
        <is>
          <t>Примечание</t>
        </is>
      </c>
      <c r="D25" s="282" t="n"/>
    </row>
    <row r="26">
      <c r="B26" s="218" t="n"/>
      <c r="C26" s="219" t="n"/>
      <c r="D26" s="219" t="n"/>
    </row>
    <row r="27" ht="37.5" customHeight="1" s="242">
      <c r="B27" s="210" t="n"/>
    </row>
    <row r="28">
      <c r="B28" s="244" t="inlineStr">
        <is>
          <t>Составил ______________________        А.П. Николаева</t>
        </is>
      </c>
    </row>
    <row r="29">
      <c r="B29" s="210" t="inlineStr">
        <is>
          <t xml:space="preserve">                         (подпись, инициалы, фамилия)</t>
        </is>
      </c>
    </row>
    <row r="31">
      <c r="B31" s="244" t="inlineStr">
        <is>
          <t>Проверил ______________________        А.В. Костянецкая</t>
        </is>
      </c>
    </row>
    <row r="32">
      <c r="B32" s="210" t="inlineStr">
        <is>
          <t xml:space="preserve">                        (подпись, инициалы, фамилия)</t>
        </is>
      </c>
    </row>
  </sheetData>
  <mergeCells count="4">
    <mergeCell ref="B7:D7"/>
    <mergeCell ref="B3:D3"/>
    <mergeCell ref="B9:D9"/>
    <mergeCell ref="B4:D4"/>
  </mergeCells>
  <pageMargins left="0.7" right="0.7" top="0.75" bottom="0.75" header="0.3" footer="0.3"/>
  <pageSetup orientation="portrait" paperSize="9" scale="5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L24"/>
  <sheetViews>
    <sheetView tabSelected="1"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4" min="1" max="1"/>
    <col width="9.140625" customWidth="1" style="244" min="2" max="2"/>
    <col width="35.28515625" customWidth="1" style="244" min="3" max="3"/>
    <col width="13.85546875" customWidth="1" style="244" min="4" max="4"/>
    <col width="24.85546875" customWidth="1" style="244" min="5" max="5"/>
    <col width="15.5703125" customWidth="1" style="244" min="6" max="6"/>
    <col width="14.85546875" customWidth="1" style="244" min="7" max="7"/>
    <col width="16.7109375" customWidth="1" style="244" min="8" max="8"/>
    <col width="13" customWidth="1" style="244" min="9" max="10"/>
    <col width="18" customWidth="1" style="244" min="11" max="11"/>
    <col width="9.140625" customWidth="1" style="244" min="12" max="12"/>
    <col width="9.140625" customWidth="1" style="242" min="13" max="13"/>
  </cols>
  <sheetData>
    <row r="3">
      <c r="B3" s="272" t="n"/>
      <c r="K3" s="210" t="n"/>
    </row>
    <row r="4">
      <c r="B4" s="273" t="n"/>
    </row>
    <row r="5">
      <c r="B5" s="207" t="n"/>
      <c r="C5" s="207" t="n"/>
      <c r="D5" s="207" t="n"/>
      <c r="E5" s="207" t="n"/>
      <c r="F5" s="207" t="n"/>
      <c r="G5" s="207" t="n"/>
      <c r="H5" s="207" t="n"/>
      <c r="I5" s="207" t="n"/>
      <c r="J5" s="207" t="n"/>
      <c r="K5" s="207" t="n"/>
    </row>
    <row r="6" ht="15.75" customHeight="1" s="242">
      <c r="B6" s="275" t="n"/>
      <c r="K6" s="210" t="n"/>
      <c r="L6" s="209" t="n"/>
    </row>
    <row r="7">
      <c r="B7" s="274" t="n"/>
      <c r="L7" s="209" t="n"/>
    </row>
    <row r="8">
      <c r="B8" s="274" t="n"/>
    </row>
    <row r="9" ht="15.75" customHeight="1" s="242">
      <c r="B9" s="277" t="n"/>
      <c r="C9" s="277" t="n"/>
      <c r="D9" s="277" t="n"/>
      <c r="E9" s="376" t="n"/>
      <c r="F9" s="376" t="n"/>
      <c r="G9" s="376" t="n"/>
      <c r="H9" s="376" t="n"/>
      <c r="I9" s="376" t="n"/>
      <c r="J9" s="377" t="n"/>
    </row>
    <row r="10" ht="15.75" customHeight="1" s="242">
      <c r="B10" s="378" t="n"/>
      <c r="C10" s="378" t="n"/>
      <c r="D10" s="277" t="n"/>
      <c r="E10" s="277" t="n"/>
      <c r="F10" s="277" t="n"/>
      <c r="G10" s="376" t="n"/>
      <c r="H10" s="376" t="n"/>
      <c r="I10" s="376" t="n"/>
      <c r="J10" s="377" t="n"/>
    </row>
    <row r="11" ht="31.5" customHeight="1" s="242">
      <c r="B11" s="379" t="n"/>
      <c r="C11" s="379" t="n"/>
      <c r="D11" s="379" t="n"/>
      <c r="E11" s="379" t="n"/>
      <c r="F11" s="277" t="n"/>
      <c r="G11" s="277" t="n"/>
      <c r="H11" s="277" t="n"/>
      <c r="I11" s="277" t="n"/>
      <c r="J11" s="277" t="n"/>
    </row>
    <row r="12" ht="126" customHeight="1" s="242">
      <c r="B12" s="358" t="n"/>
      <c r="C12" s="359" t="n"/>
      <c r="D12" s="360" t="n"/>
      <c r="E12" s="361" t="n"/>
      <c r="F12" s="380" t="n"/>
      <c r="G12" s="377" t="n"/>
      <c r="H12" s="381" t="n"/>
      <c r="I12" s="381" t="n"/>
      <c r="J12" s="382" t="n"/>
    </row>
    <row r="13" ht="15.75" customHeight="1" s="242">
      <c r="A13" s="367" t="n"/>
      <c r="B13" s="365" t="n"/>
      <c r="C13" s="383" t="n"/>
      <c r="D13" s="383" t="n"/>
      <c r="E13" s="384" t="n"/>
      <c r="F13" s="385" t="n"/>
      <c r="G13" s="386" t="n"/>
      <c r="H13" s="387" t="n"/>
      <c r="I13" s="387" t="n"/>
      <c r="J13" s="387" t="n"/>
    </row>
    <row r="14" ht="28.5" customHeight="1" s="242">
      <c r="B14" s="363" t="n"/>
      <c r="C14" s="388" t="n"/>
      <c r="D14" s="388" t="n"/>
      <c r="E14" s="389" t="n"/>
      <c r="F14" s="390" t="n"/>
      <c r="G14" s="389" t="n"/>
      <c r="H14" s="387" t="n"/>
      <c r="I14" s="387" t="n"/>
      <c r="J14" s="387" t="n"/>
    </row>
    <row r="16">
      <c r="G16" s="391" t="n"/>
    </row>
    <row r="21">
      <c r="B21" s="210" t="n"/>
    </row>
    <row r="24">
      <c r="B24" s="210" t="n"/>
    </row>
  </sheetData>
  <mergeCells count="14">
    <mergeCell ref="B3:J3"/>
    <mergeCell ref="F12:G12"/>
    <mergeCell ref="D10:D11"/>
    <mergeCell ref="B4:K4"/>
    <mergeCell ref="D9:J9"/>
    <mergeCell ref="B13:E13"/>
    <mergeCell ref="F10:J10"/>
    <mergeCell ref="B9:B11"/>
    <mergeCell ref="B7:K7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43"/>
  <sheetViews>
    <sheetView view="pageBreakPreview" topLeftCell="A22" workbookViewId="0">
      <selection activeCell="C30" sqref="C30"/>
    </sheetView>
  </sheetViews>
  <sheetFormatPr baseColWidth="8" defaultColWidth="9.140625" defaultRowHeight="15.75"/>
  <cols>
    <col width="9.140625" customWidth="1" style="244" min="1" max="1"/>
    <col width="12.5703125" customWidth="1" style="244" min="2" max="2"/>
    <col width="22.42578125" customWidth="1" style="244" min="3" max="3"/>
    <col width="49.7109375" customWidth="1" style="244" min="4" max="4"/>
    <col width="10.140625" customWidth="1" style="244" min="5" max="5"/>
    <col width="20.7109375" customWidth="1" style="244" min="6" max="6"/>
    <col width="20" customWidth="1" style="244" min="7" max="7"/>
    <col width="16.7109375" customWidth="1" style="244" min="8" max="8"/>
    <col width="9.140625" customWidth="1" style="244" min="9" max="9"/>
    <col width="15.5703125" customWidth="1" style="244" min="10" max="10"/>
    <col width="15" customWidth="1" style="244" min="11" max="11"/>
    <col width="9.140625" customWidth="1" style="244" min="12" max="12"/>
  </cols>
  <sheetData>
    <row r="2">
      <c r="A2" s="272" t="inlineStr">
        <is>
          <t xml:space="preserve">Приложение № 3 </t>
        </is>
      </c>
    </row>
    <row r="3">
      <c r="A3" s="273" t="inlineStr">
        <is>
          <t>Объектная ресурсная ведомость</t>
        </is>
      </c>
    </row>
    <row r="4">
      <c r="A4" s="286" t="n"/>
    </row>
    <row r="5">
      <c r="A5" s="274" t="n"/>
    </row>
    <row r="6">
      <c r="A6" s="275" t="inlineStr">
        <is>
          <t>Наименование разрабатываемого показателя УНЦ — Демонтаж ВЛ 330 кВ одна цепь</t>
        </is>
      </c>
    </row>
    <row r="7" s="242">
      <c r="A7" s="275" t="n"/>
      <c r="B7" s="275" t="n"/>
      <c r="C7" s="275" t="n"/>
      <c r="D7" s="275" t="n"/>
      <c r="E7" s="275" t="n"/>
      <c r="F7" s="275" t="n"/>
      <c r="G7" s="275" t="n"/>
      <c r="H7" s="275" t="n"/>
      <c r="I7" s="244" t="n"/>
      <c r="J7" s="244" t="n"/>
      <c r="K7" s="244" t="n"/>
      <c r="L7" s="244" t="n"/>
    </row>
    <row r="8">
      <c r="A8" s="275" t="n"/>
      <c r="B8" s="275" t="n"/>
      <c r="C8" s="275" t="n"/>
      <c r="D8" s="275" t="n"/>
      <c r="E8" s="275" t="n"/>
      <c r="F8" s="275" t="n"/>
      <c r="G8" s="275" t="n"/>
      <c r="H8" s="275" t="n"/>
    </row>
    <row r="9" ht="38.25" customHeight="1" s="242">
      <c r="A9" s="277" t="inlineStr">
        <is>
          <t>п/п</t>
        </is>
      </c>
      <c r="B9" s="277" t="inlineStr">
        <is>
          <t>№ЛСР</t>
        </is>
      </c>
      <c r="C9" s="277" t="inlineStr">
        <is>
          <t>Код ресурса</t>
        </is>
      </c>
      <c r="D9" s="277" t="inlineStr">
        <is>
          <t>Наименование ресурса</t>
        </is>
      </c>
      <c r="E9" s="277" t="inlineStr">
        <is>
          <t>Ед. изм.</t>
        </is>
      </c>
      <c r="F9" s="277" t="inlineStr">
        <is>
          <t>Кол-во единиц по данным объекта-представителя</t>
        </is>
      </c>
      <c r="G9" s="277" t="inlineStr">
        <is>
          <t>Сметная стоимость в ценах на 01.01.2000 (руб.)</t>
        </is>
      </c>
      <c r="H9" s="377" t="n"/>
    </row>
    <row r="10" ht="40.5" customHeight="1" s="242">
      <c r="A10" s="379" t="n"/>
      <c r="B10" s="379" t="n"/>
      <c r="C10" s="379" t="n"/>
      <c r="D10" s="379" t="n"/>
      <c r="E10" s="379" t="n"/>
      <c r="F10" s="379" t="n"/>
      <c r="G10" s="277" t="inlineStr">
        <is>
          <t>на ед.изм.</t>
        </is>
      </c>
      <c r="H10" s="277" t="inlineStr">
        <is>
          <t>общая</t>
        </is>
      </c>
    </row>
    <row r="11">
      <c r="A11" s="257" t="n">
        <v>1</v>
      </c>
      <c r="B11" s="257" t="n"/>
      <c r="C11" s="257" t="n">
        <v>2</v>
      </c>
      <c r="D11" s="257" t="inlineStr">
        <is>
          <t>З</t>
        </is>
      </c>
      <c r="E11" s="257" t="n">
        <v>4</v>
      </c>
      <c r="F11" s="257" t="n">
        <v>5</v>
      </c>
      <c r="G11" s="257" t="n">
        <v>6</v>
      </c>
      <c r="H11" s="257" t="n">
        <v>7</v>
      </c>
    </row>
    <row r="12" customFormat="1" s="232">
      <c r="A12" s="283" t="inlineStr">
        <is>
          <t>Затраты труда рабочих</t>
        </is>
      </c>
      <c r="B12" s="376" t="n"/>
      <c r="C12" s="376" t="n"/>
      <c r="D12" s="376" t="n"/>
      <c r="E12" s="377" t="n"/>
      <c r="F12" s="392" t="n">
        <v>93457.8907</v>
      </c>
      <c r="G12" s="10" t="n"/>
      <c r="H12" s="392">
        <f>SUM(H13:H14)</f>
        <v/>
      </c>
    </row>
    <row r="13">
      <c r="A13" s="159" t="n">
        <v>1</v>
      </c>
      <c r="B13" s="199" t="n"/>
      <c r="C13" s="223" t="inlineStr">
        <is>
          <t>1-4-1</t>
        </is>
      </c>
      <c r="D13" s="222" t="inlineStr">
        <is>
          <t>Затраты труда рабочих (средний разряд работы 4,1)</t>
        </is>
      </c>
      <c r="E13" s="290" t="inlineStr">
        <is>
          <t>чел.-ч</t>
        </is>
      </c>
      <c r="F13" s="393" t="n">
        <v>69269.03969999999</v>
      </c>
      <c r="G13" s="221" t="n">
        <v>9.76</v>
      </c>
      <c r="H13" s="221">
        <f>ROUND(F13*G13,2)</f>
        <v/>
      </c>
    </row>
    <row r="14">
      <c r="A14" s="159" t="n">
        <v>2</v>
      </c>
      <c r="B14" s="199" t="n"/>
      <c r="C14" s="223" t="inlineStr">
        <is>
          <t>1-4-2</t>
        </is>
      </c>
      <c r="D14" s="222" t="inlineStr">
        <is>
          <t>Затраты труда рабочих (средний разряд работы 4,2)</t>
        </is>
      </c>
      <c r="E14" s="290" t="inlineStr">
        <is>
          <t>чел.-ч</t>
        </is>
      </c>
      <c r="F14" s="393" t="n">
        <v>24188.851</v>
      </c>
      <c r="G14" s="221" t="n">
        <v>9.92</v>
      </c>
      <c r="H14" s="221">
        <f>ROUND(F14*G14,2)</f>
        <v/>
      </c>
    </row>
    <row r="15">
      <c r="A15" s="279" t="inlineStr">
        <is>
          <t>Затраты труда машинистов</t>
        </is>
      </c>
      <c r="B15" s="376" t="n"/>
      <c r="C15" s="376" t="n"/>
      <c r="D15" s="376" t="n"/>
      <c r="E15" s="377" t="n"/>
      <c r="F15" s="283" t="n"/>
      <c r="G15" s="140" t="n"/>
      <c r="H15" s="392">
        <f>H16</f>
        <v/>
      </c>
    </row>
    <row r="16">
      <c r="A16" s="290" t="n">
        <v>3</v>
      </c>
      <c r="B16" s="281" t="n"/>
      <c r="C16" s="227" t="n">
        <v>2</v>
      </c>
      <c r="D16" s="289" t="inlineStr">
        <is>
          <t>Затраты труда машинистов</t>
        </is>
      </c>
      <c r="E16" s="290" t="inlineStr">
        <is>
          <t>чел.-ч</t>
        </is>
      </c>
      <c r="F16" s="394" t="n">
        <v>33861.8896</v>
      </c>
      <c r="G16" s="195" t="n"/>
      <c r="H16" s="221" t="n">
        <v>324417</v>
      </c>
    </row>
    <row r="17" customFormat="1" s="232">
      <c r="A17" s="283" t="inlineStr">
        <is>
          <t>Машины и механизмы</t>
        </is>
      </c>
      <c r="B17" s="376" t="n"/>
      <c r="C17" s="376" t="n"/>
      <c r="D17" s="376" t="n"/>
      <c r="E17" s="377" t="n"/>
      <c r="F17" s="283" t="n"/>
      <c r="G17" s="140" t="n"/>
      <c r="H17" s="392">
        <f>SUM(H18:H28)</f>
        <v/>
      </c>
    </row>
    <row r="18" ht="25.5" customHeight="1" s="242">
      <c r="A18" s="290" t="n">
        <v>4</v>
      </c>
      <c r="B18" s="281" t="inlineStr">
        <is>
          <t> </t>
        </is>
      </c>
      <c r="C18" s="227" t="inlineStr">
        <is>
          <t>91.15.02-029</t>
        </is>
      </c>
      <c r="D18" s="289" t="inlineStr">
        <is>
          <t>Тракторы на гусеничном ходу с лебедкой 132 кВт (180 л.с.)</t>
        </is>
      </c>
      <c r="E18" s="290" t="inlineStr">
        <is>
          <t>маш.час</t>
        </is>
      </c>
      <c r="F18" s="290" t="n">
        <v>12700.52076</v>
      </c>
      <c r="G18" s="292" t="n">
        <v>147.43</v>
      </c>
      <c r="H18" s="221">
        <f>ROUND(F18*G18,2)</f>
        <v/>
      </c>
      <c r="I18" s="143" t="n"/>
      <c r="J18" s="150" t="n"/>
      <c r="L18" s="143" t="n"/>
    </row>
    <row r="19" customFormat="1" s="232">
      <c r="A19" s="290" t="n">
        <v>5</v>
      </c>
      <c r="B19" s="281" t="inlineStr">
        <is>
          <t> </t>
        </is>
      </c>
      <c r="C19" s="227" t="inlineStr">
        <is>
          <t>91.13.03-111</t>
        </is>
      </c>
      <c r="D19" s="289" t="inlineStr">
        <is>
          <t>Спецавтомобили-вездеходы, грузоподъемность до 8 т</t>
        </is>
      </c>
      <c r="E19" s="290" t="inlineStr">
        <is>
          <t>маш.час</t>
        </is>
      </c>
      <c r="F19" s="290" t="n">
        <v>5969.42404</v>
      </c>
      <c r="G19" s="292" t="n">
        <v>189.95</v>
      </c>
      <c r="H19" s="221">
        <f>ROUND(F19*G19,2)</f>
        <v/>
      </c>
      <c r="I19" s="143" t="n"/>
      <c r="L19" s="143" t="n"/>
    </row>
    <row r="20" ht="38.25" customHeight="1" s="242">
      <c r="A20" s="290" t="n">
        <v>6</v>
      </c>
      <c r="B20" s="281" t="inlineStr">
        <is>
          <t> </t>
        </is>
      </c>
      <c r="C20" s="227" t="inlineStr">
        <is>
          <t>91.05.14-516</t>
        </is>
      </c>
      <c r="D20" s="289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20" s="290" t="inlineStr">
        <is>
          <t>маш.час</t>
        </is>
      </c>
      <c r="F20" s="290" t="n">
        <v>9693.64846</v>
      </c>
      <c r="G20" s="292" t="n">
        <v>77.64</v>
      </c>
      <c r="H20" s="221">
        <f>ROUND(F20*G20,2)</f>
        <v/>
      </c>
      <c r="I20" s="143" t="n"/>
      <c r="L20" s="143" t="n"/>
    </row>
    <row r="21" ht="38.25" customHeight="1" s="242">
      <c r="A21" s="290" t="n">
        <v>7</v>
      </c>
      <c r="B21" s="281" t="inlineStr">
        <is>
          <t> </t>
        </is>
      </c>
      <c r="C21" s="227" t="inlineStr">
        <is>
          <t>91.18.01-007</t>
        </is>
      </c>
      <c r="D21" s="28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1" s="290" t="inlineStr">
        <is>
          <t>маш.час</t>
        </is>
      </c>
      <c r="F21" s="290" t="n">
        <v>3636.04926</v>
      </c>
      <c r="G21" s="292" t="n">
        <v>90</v>
      </c>
      <c r="H21" s="221">
        <f>ROUND(F21*G21,2)</f>
        <v/>
      </c>
      <c r="I21" s="143" t="n"/>
      <c r="L21" s="143" t="n"/>
    </row>
    <row r="22">
      <c r="A22" s="290" t="n">
        <v>8</v>
      </c>
      <c r="B22" s="281" t="inlineStr">
        <is>
          <t> </t>
        </is>
      </c>
      <c r="C22" s="227" t="inlineStr">
        <is>
          <t>91.05.05-015</t>
        </is>
      </c>
      <c r="D22" s="289" t="inlineStr">
        <is>
          <t>Краны на автомобильном ходу, грузоподъемность 16 т</t>
        </is>
      </c>
      <c r="E22" s="290" t="inlineStr">
        <is>
          <t>маш.час</t>
        </is>
      </c>
      <c r="F22" s="290" t="n">
        <v>1862.24708</v>
      </c>
      <c r="G22" s="292" t="n">
        <v>115.4</v>
      </c>
      <c r="H22" s="221">
        <f>ROUND(F22*G22,2)</f>
        <v/>
      </c>
      <c r="I22" s="143" t="n"/>
      <c r="L22" s="143" t="n"/>
    </row>
    <row r="23" ht="25.5" customHeight="1" s="242">
      <c r="A23" s="290" t="n">
        <v>9</v>
      </c>
      <c r="B23" s="281" t="inlineStr">
        <is>
          <t> </t>
        </is>
      </c>
      <c r="C23" s="227" t="inlineStr">
        <is>
          <t>91.15.02-023</t>
        </is>
      </c>
      <c r="D23" s="289" t="inlineStr">
        <is>
          <t>Тракторы на гусеничном ходу, мощность 59 кВт (80 л.с.)</t>
        </is>
      </c>
      <c r="E23" s="290" t="inlineStr">
        <is>
          <t>маш.-ч</t>
        </is>
      </c>
      <c r="F23" s="290" t="n">
        <v>648.15</v>
      </c>
      <c r="G23" s="292" t="n">
        <v>77.2</v>
      </c>
      <c r="H23" s="221">
        <f>ROUND(F23*G23,2)</f>
        <v/>
      </c>
      <c r="I23" s="143" t="n"/>
      <c r="L23" s="143" t="n"/>
    </row>
    <row r="24">
      <c r="A24" s="290" t="n">
        <v>10</v>
      </c>
      <c r="B24" s="281" t="inlineStr">
        <is>
          <t> </t>
        </is>
      </c>
      <c r="C24" s="227" t="inlineStr">
        <is>
          <t>91.14.02-004</t>
        </is>
      </c>
      <c r="D24" s="289" t="inlineStr">
        <is>
          <t>Автомобили бортовые, грузоподъемность до 15т</t>
        </is>
      </c>
      <c r="E24" s="290" t="inlineStr">
        <is>
          <t>маш.-ч.</t>
        </is>
      </c>
      <c r="F24" s="290" t="n">
        <v>377.82</v>
      </c>
      <c r="G24" s="292" t="n">
        <v>92.94</v>
      </c>
      <c r="H24" s="221">
        <f>ROUND(F24*G24,2)</f>
        <v/>
      </c>
      <c r="I24" s="143" t="n"/>
    </row>
    <row r="25">
      <c r="A25" s="290" t="n">
        <v>11</v>
      </c>
      <c r="B25" s="281" t="inlineStr">
        <is>
          <t> </t>
        </is>
      </c>
      <c r="C25" s="227" t="inlineStr">
        <is>
          <t>91.14.02-004</t>
        </is>
      </c>
      <c r="D25" s="289" t="inlineStr">
        <is>
          <t>Автомобили бортовые, грузоподъемность до 15 т</t>
        </is>
      </c>
      <c r="E25" s="290" t="inlineStr">
        <is>
          <t>маш.-ч</t>
        </is>
      </c>
      <c r="F25" s="290" t="n">
        <v>185.8</v>
      </c>
      <c r="G25" s="292" t="n">
        <v>92.94</v>
      </c>
      <c r="H25" s="221">
        <f>ROUND(F25*G25,2)</f>
        <v/>
      </c>
      <c r="I25" s="143" t="n"/>
    </row>
    <row r="26" ht="25.5" customHeight="1" s="242">
      <c r="A26" s="290" t="n">
        <v>12</v>
      </c>
      <c r="B26" s="281" t="inlineStr">
        <is>
          <t> </t>
        </is>
      </c>
      <c r="C26" s="227" t="inlineStr">
        <is>
          <t>91.06.09-101</t>
        </is>
      </c>
      <c r="D26" s="289" t="inlineStr">
        <is>
          <t>Стрелы монтажные А-образные для подъема опор ВЛ, высота до 22 м</t>
        </is>
      </c>
      <c r="E26" s="290" t="inlineStr">
        <is>
          <t>маш.час</t>
        </is>
      </c>
      <c r="F26" s="290" t="n">
        <v>1705.78275</v>
      </c>
      <c r="G26" s="292" t="n">
        <v>6.25</v>
      </c>
      <c r="H26" s="221">
        <f>ROUND(F26*G26,2)</f>
        <v/>
      </c>
      <c r="I26" s="143" t="n"/>
    </row>
    <row r="27">
      <c r="A27" s="290" t="n">
        <v>13</v>
      </c>
      <c r="B27" s="281" t="inlineStr">
        <is>
          <t> </t>
        </is>
      </c>
      <c r="C27" s="227" t="inlineStr">
        <is>
          <t>91.06.01-002</t>
        </is>
      </c>
      <c r="D27" s="289" t="inlineStr">
        <is>
          <t>Домкраты гидравлические, грузоподъемность 6,3-25 т</t>
        </is>
      </c>
      <c r="E27" s="290" t="inlineStr">
        <is>
          <t>маш.час</t>
        </is>
      </c>
      <c r="F27" s="290" t="n">
        <v>9623.75995</v>
      </c>
      <c r="G27" s="292" t="n">
        <v>0.48</v>
      </c>
      <c r="H27" s="221">
        <f>ROUND(F27*G27,2)</f>
        <v/>
      </c>
      <c r="I27" s="143" t="n"/>
    </row>
    <row r="28">
      <c r="A28" s="290" t="n">
        <v>14</v>
      </c>
      <c r="B28" s="281" t="inlineStr">
        <is>
          <t> </t>
        </is>
      </c>
      <c r="C28" s="227" t="inlineStr">
        <is>
          <t>91.15.01-001</t>
        </is>
      </c>
      <c r="D28" s="289" t="inlineStr">
        <is>
          <t>Прицепы тракторные 2 т</t>
        </is>
      </c>
      <c r="E28" s="290" t="inlineStr">
        <is>
          <t>маш.-ч</t>
        </is>
      </c>
      <c r="F28" s="290" t="n">
        <v>648.15</v>
      </c>
      <c r="G28" s="292" t="n">
        <v>4.01</v>
      </c>
      <c r="H28" s="221">
        <f>ROUND(F28*G28,2)</f>
        <v/>
      </c>
      <c r="I28" s="143" t="n"/>
    </row>
    <row r="29">
      <c r="A29" s="280" t="inlineStr">
        <is>
          <t>Материалы</t>
        </is>
      </c>
      <c r="B29" s="376" t="n"/>
      <c r="C29" s="376" t="n"/>
      <c r="D29" s="376" t="n"/>
      <c r="E29" s="377" t="n"/>
      <c r="F29" s="280" t="n"/>
      <c r="G29" s="194" t="n"/>
      <c r="H29" s="392">
        <f>SUM(H30:H36)</f>
        <v/>
      </c>
    </row>
    <row r="30" ht="38.25" customHeight="1" s="242">
      <c r="A30" s="159" t="n">
        <v>15</v>
      </c>
      <c r="B30" s="281" t="inlineStr">
        <is>
          <t> </t>
        </is>
      </c>
      <c r="C30" s="227" t="inlineStr">
        <is>
          <t>07.4.03.08-0004</t>
        </is>
      </c>
      <c r="D30" s="289" t="inlineStr">
        <is>
          <t>Опоры решетчатые линий электропередачи оцинкованные, 330 кВ, промежуточные, одностоечные, свободностоящие</t>
        </is>
      </c>
      <c r="E30" s="290" t="inlineStr">
        <is>
          <t>т</t>
        </is>
      </c>
      <c r="F30" s="290" t="n">
        <v>2301.297</v>
      </c>
      <c r="G30" s="221" t="n">
        <v>14376.43</v>
      </c>
      <c r="H30" s="221">
        <f>ROUND(F30*G30,2)</f>
        <v/>
      </c>
      <c r="I30" s="151" t="n"/>
      <c r="K30" s="143" t="n"/>
    </row>
    <row r="31" ht="38.25" customHeight="1" s="242">
      <c r="A31" s="159" t="n">
        <v>16</v>
      </c>
      <c r="B31" s="281" t="inlineStr">
        <is>
          <t> </t>
        </is>
      </c>
      <c r="C31" s="227" t="inlineStr">
        <is>
          <t>07.4.03.08-0003</t>
        </is>
      </c>
      <c r="D31" s="289" t="inlineStr">
        <is>
          <t>Опоры решетчатые линий электропередачи оцинкованные, 330 кВ, анкерно-угловые, одностоечные, свободностоящие</t>
        </is>
      </c>
      <c r="E31" s="290" t="inlineStr">
        <is>
          <t>т</t>
        </is>
      </c>
      <c r="F31" s="290" t="n">
        <v>1098.707</v>
      </c>
      <c r="G31" s="221" t="n">
        <v>14670.02</v>
      </c>
      <c r="H31" s="221">
        <f>ROUND(F31*G31,2)</f>
        <v/>
      </c>
      <c r="I31" s="151" t="n"/>
      <c r="K31" s="143" t="n"/>
    </row>
    <row r="32" ht="38.25" customHeight="1" s="242">
      <c r="A32" s="159" t="n">
        <v>17</v>
      </c>
      <c r="B32" s="281" t="inlineStr">
        <is>
          <t> </t>
        </is>
      </c>
      <c r="C32" s="227" t="inlineStr">
        <is>
          <t>Прайс из СД ОП</t>
        </is>
      </c>
      <c r="D32" s="289" t="inlineStr">
        <is>
          <t>Информационные знак с совмещёнными знаками "Охранная зона" и "Опасность поражения эл.током" (с учётом стоимости рамки) - размеры (900*600)мм</t>
        </is>
      </c>
      <c r="E32" s="290" t="inlineStr">
        <is>
          <t>шт</t>
        </is>
      </c>
      <c r="F32" s="290" t="n">
        <v>320</v>
      </c>
      <c r="G32" s="221" t="n">
        <v>1507.68</v>
      </c>
      <c r="H32" s="221">
        <f>ROUND(F32*G32,2)</f>
        <v/>
      </c>
      <c r="I32" s="151" t="n"/>
      <c r="K32" s="143" t="n"/>
    </row>
    <row r="33" ht="25.5" customHeight="1" s="242">
      <c r="A33" s="159" t="n">
        <v>18</v>
      </c>
      <c r="B33" s="281" t="inlineStr">
        <is>
          <t> </t>
        </is>
      </c>
      <c r="C33" s="227" t="inlineStr">
        <is>
          <t>Прайс из СД ОП</t>
        </is>
      </c>
      <c r="D33" s="289" t="inlineStr">
        <is>
          <t>Комплект крепежа для крепления информационного знака  (2шт на 1 информационный знак)</t>
        </is>
      </c>
      <c r="E33" s="290" t="inlineStr">
        <is>
          <t>шт</t>
        </is>
      </c>
      <c r="F33" s="290" t="n">
        <v>840</v>
      </c>
      <c r="G33" s="221" t="n">
        <v>426.04</v>
      </c>
      <c r="H33" s="221">
        <f>ROUND(F33*G33,2)</f>
        <v/>
      </c>
      <c r="I33" s="151" t="n"/>
    </row>
    <row r="34" ht="25.5" customHeight="1" s="242">
      <c r="A34" s="159" t="n">
        <v>19</v>
      </c>
      <c r="B34" s="281" t="inlineStr">
        <is>
          <t> </t>
        </is>
      </c>
      <c r="C34" s="227" t="inlineStr">
        <is>
          <t>Прайс из СД ОП</t>
        </is>
      </c>
      <c r="D34" s="289" t="inlineStr">
        <is>
          <t>Информационный знак, видимый с вертолёта (с учётом стоимости рамки) - размеры (500*400)мм</t>
        </is>
      </c>
      <c r="E34" s="290" t="inlineStr">
        <is>
          <t>шт</t>
        </is>
      </c>
      <c r="F34" s="290" t="n">
        <v>64</v>
      </c>
      <c r="G34" s="221" t="n">
        <v>675.21</v>
      </c>
      <c r="H34" s="221">
        <f>ROUND(F34*G34,2)</f>
        <v/>
      </c>
      <c r="I34" s="151" t="n"/>
    </row>
    <row r="35" ht="38.25" customHeight="1" s="242">
      <c r="A35" s="159" t="n">
        <v>20</v>
      </c>
      <c r="B35" s="281" t="inlineStr">
        <is>
          <t> </t>
        </is>
      </c>
      <c r="C35" s="227" t="inlineStr">
        <is>
          <t>Прайс из СД ОП</t>
        </is>
      </c>
      <c r="D35" s="289" t="inlineStr">
        <is>
          <t>Информационный знак с указание обозначения типа  и № соединительной муфты (с учётом стоимости рамки) -  размеры (150*200)мм</t>
        </is>
      </c>
      <c r="E35" s="290" t="inlineStr">
        <is>
          <t>шт</t>
        </is>
      </c>
      <c r="F35" s="290" t="n">
        <v>21</v>
      </c>
      <c r="G35" s="221" t="n">
        <v>333.73</v>
      </c>
      <c r="H35" s="221">
        <f>ROUND(F35*G35,2)</f>
        <v/>
      </c>
      <c r="I35" s="151" t="n"/>
    </row>
    <row r="36" ht="25.5" customHeight="1" s="242">
      <c r="A36" s="159" t="n">
        <v>21</v>
      </c>
      <c r="B36" s="281" t="inlineStr">
        <is>
          <t> </t>
        </is>
      </c>
      <c r="C36" s="227" t="inlineStr">
        <is>
          <t>Прайс из СД ОП</t>
        </is>
      </c>
      <c r="D36" s="289" t="inlineStr">
        <is>
          <t>Информационный знак с указанием расцветки фаз (с учётом стоимости рамки).  Размеры 300*300 мм</t>
        </is>
      </c>
      <c r="E36" s="290" t="inlineStr">
        <is>
          <t>шт</t>
        </is>
      </c>
      <c r="F36" s="290" t="n">
        <v>15</v>
      </c>
      <c r="G36" s="221" t="n">
        <v>385.73</v>
      </c>
      <c r="H36" s="221">
        <f>ROUND(F36*G36,2)</f>
        <v/>
      </c>
      <c r="I36" s="151" t="n"/>
    </row>
    <row r="39">
      <c r="B39" s="244" t="inlineStr">
        <is>
          <t>Составил ______________________     Д.А. Самуйленко</t>
        </is>
      </c>
    </row>
    <row r="40">
      <c r="B40" s="210" t="inlineStr">
        <is>
          <t xml:space="preserve">                         (подпись, инициалы, фамилия)</t>
        </is>
      </c>
    </row>
    <row r="42">
      <c r="B42" s="244" t="inlineStr">
        <is>
          <t>Проверил ______________________        А.В. Костянецкая</t>
        </is>
      </c>
    </row>
    <row r="43">
      <c r="B43" s="210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29:E29"/>
    <mergeCell ref="A3:H3"/>
    <mergeCell ref="A12:E12"/>
    <mergeCell ref="D9:D10"/>
    <mergeCell ref="E9:E10"/>
    <mergeCell ref="F9:F10"/>
    <mergeCell ref="A9:A10"/>
    <mergeCell ref="A15:E15"/>
    <mergeCell ref="A2:H2"/>
    <mergeCell ref="A4:H4"/>
    <mergeCell ref="G9:H9"/>
    <mergeCell ref="A17:E17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2" min="1" max="1"/>
    <col width="36.28515625" customWidth="1" style="242" min="2" max="2"/>
    <col width="18.85546875" customWidth="1" style="242" min="3" max="3"/>
    <col width="18.28515625" customWidth="1" style="242" min="4" max="4"/>
    <col width="18.85546875" customWidth="1" style="242" min="5" max="5"/>
    <col width="13.42578125" customWidth="1" style="242" min="7" max="7"/>
    <col width="13.5703125" customWidth="1" style="242" min="12" max="12"/>
  </cols>
  <sheetData>
    <row r="1">
      <c r="B1" s="238" t="n"/>
      <c r="C1" s="238" t="n"/>
      <c r="D1" s="238" t="n"/>
      <c r="E1" s="238" t="n"/>
    </row>
    <row r="2">
      <c r="B2" s="238" t="n"/>
      <c r="C2" s="238" t="n"/>
      <c r="D2" s="238" t="n"/>
      <c r="E2" s="305" t="inlineStr">
        <is>
          <t>Приложение № 4</t>
        </is>
      </c>
    </row>
    <row r="3">
      <c r="B3" s="238" t="n"/>
      <c r="C3" s="238" t="n"/>
      <c r="D3" s="238" t="n"/>
      <c r="E3" s="238" t="n"/>
    </row>
    <row r="4">
      <c r="B4" s="238" t="n"/>
      <c r="C4" s="238" t="n"/>
      <c r="D4" s="238" t="n"/>
      <c r="E4" s="238" t="n"/>
    </row>
    <row r="5">
      <c r="B5" s="265" t="inlineStr">
        <is>
          <t>Ресурсная модель</t>
        </is>
      </c>
    </row>
    <row r="6">
      <c r="B6" s="148" t="n"/>
      <c r="C6" s="238" t="n"/>
      <c r="D6" s="238" t="n"/>
      <c r="E6" s="238" t="n"/>
    </row>
    <row r="7">
      <c r="B7" s="287" t="inlineStr">
        <is>
          <t>Наименование разрабатываемого показателя УНЦ — Демонтаж ВЛ 330 кВ одна цепь</t>
        </is>
      </c>
    </row>
    <row r="8">
      <c r="B8" s="288" t="inlineStr">
        <is>
          <t>Единица измерения  — 1 км</t>
        </is>
      </c>
    </row>
    <row r="9">
      <c r="B9" s="148" t="n"/>
      <c r="C9" s="238" t="n"/>
      <c r="D9" s="238" t="n"/>
      <c r="E9" s="238" t="n"/>
    </row>
    <row r="10" ht="51" customHeight="1" s="242">
      <c r="B10" s="290" t="inlineStr">
        <is>
          <t>Наименование</t>
        </is>
      </c>
      <c r="C10" s="290" t="inlineStr">
        <is>
          <t>Сметная стоимость в ценах на 01.01.2023
 (руб.)</t>
        </is>
      </c>
      <c r="D10" s="290" t="inlineStr">
        <is>
          <t>Удельный вес, 
(в СМР)</t>
        </is>
      </c>
      <c r="E10" s="29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5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5">
        <f>'Прил.5 Расчет СМР и ОБ'!J34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5">
        <f>'Прил.5 Расчет СМР и ОБ'!J36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5">
        <f>'Прил.5 Расчет СМР и ОБ'!J45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5">
        <f>'Прил.5 Расчет СМР и ОБ'!J46</f>
        <v/>
      </c>
      <c r="D17" s="26">
        <f>C17/$C$24</f>
        <v/>
      </c>
      <c r="E17" s="26">
        <f>C17/$C$40</f>
        <v/>
      </c>
      <c r="G17" s="395" t="n"/>
    </row>
    <row r="18">
      <c r="B18" s="24" t="inlineStr">
        <is>
          <t>МАТЕРИАЛЫ, ВСЕГО:</t>
        </is>
      </c>
      <c r="C18" s="14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1">
        <f>'Прил.5 Расчет СМР и ОБ'!D52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1">
        <f>'Прил.5 Расчет СМР и ОБ'!D50</f>
        <v/>
      </c>
      <c r="D23" s="26" t="n"/>
      <c r="E23" s="24" t="n"/>
    </row>
    <row r="24">
      <c r="B24" s="24" t="inlineStr">
        <is>
          <t>ВСЕГО СМР с НР и СП</t>
        </is>
      </c>
      <c r="C24" s="145">
        <f>C19+C20+C22</f>
        <v/>
      </c>
      <c r="D24" s="26">
        <f>C24/$C$24</f>
        <v/>
      </c>
      <c r="E24" s="26">
        <f>C24/$C$40</f>
        <v/>
      </c>
    </row>
    <row r="25" ht="25.5" customHeight="1" s="242">
      <c r="B25" s="24" t="inlineStr">
        <is>
          <t>ВСЕГО стоимость оборудования, в том числе</t>
        </is>
      </c>
      <c r="C25" s="145">
        <f>'Прил.5 Расчет СМР и ОБ'!J41</f>
        <v/>
      </c>
      <c r="D25" s="26" t="n"/>
      <c r="E25" s="26">
        <f>C25/$C$40</f>
        <v/>
      </c>
    </row>
    <row r="26" ht="25.5" customHeight="1" s="242">
      <c r="B26" s="24" t="inlineStr">
        <is>
          <t>стоимость оборудования технологического</t>
        </is>
      </c>
      <c r="C26" s="145">
        <f>'Прил.5 Расчет СМР и ОБ'!J42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5">
        <f>'Прил.5 Расчет СМР и ОБ'!J55</f>
        <v/>
      </c>
      <c r="D27" s="26" t="n"/>
      <c r="E27" s="26">
        <f>C27/$C$40</f>
        <v/>
      </c>
      <c r="G27" s="146" t="n"/>
    </row>
    <row r="28" ht="33" customHeight="1" s="24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2">
      <c r="B29" s="24" t="inlineStr">
        <is>
          <t>Временные здания и сооружения - 3,3%</t>
        </is>
      </c>
      <c r="C29" s="175">
        <f>ROUND(C24*3.3%,2)</f>
        <v/>
      </c>
      <c r="D29" s="24" t="n"/>
      <c r="E29" s="26">
        <f>C29/$C$40</f>
        <v/>
      </c>
    </row>
    <row r="30" ht="38.25" customHeight="1" s="242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75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56" t="n">
        <v>0</v>
      </c>
      <c r="D31" s="24" t="n"/>
      <c r="E31" s="26">
        <f>C31/$C$40</f>
        <v/>
      </c>
    </row>
    <row r="32" ht="25.5" customHeight="1" s="242">
      <c r="B32" s="24" t="inlineStr">
        <is>
          <t>Затраты по перевозке работников к месту работы и обратно</t>
        </is>
      </c>
      <c r="C32" s="175" t="n">
        <v>0</v>
      </c>
      <c r="D32" s="24" t="n"/>
      <c r="E32" s="26">
        <f>C32/$C$40</f>
        <v/>
      </c>
    </row>
    <row r="33" ht="25.5" customHeight="1" s="242">
      <c r="B33" s="24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24" t="n"/>
      <c r="E33" s="26">
        <f>C33/$C$40</f>
        <v/>
      </c>
    </row>
    <row r="34" ht="51" customHeight="1" s="24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24" t="n"/>
      <c r="E34" s="26">
        <f>C34/$C$40</f>
        <v/>
      </c>
    </row>
    <row r="35" ht="76.5" customHeight="1" s="24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24" t="n"/>
      <c r="E35" s="26">
        <f>C35/$C$40</f>
        <v/>
      </c>
    </row>
    <row r="36" ht="25.5" customHeight="1" s="242">
      <c r="B36" s="24" t="inlineStr">
        <is>
          <t>Строительный контроль и содержание службы заказчика - 1,81%</t>
        </is>
      </c>
      <c r="C36" s="175">
        <f>ROUND((C27+C32+C33+C34+C35+C29+C31+C30)*1.81%,2)</f>
        <v/>
      </c>
      <c r="D36" s="24" t="n"/>
      <c r="E36" s="26">
        <f>C36/$C$40</f>
        <v/>
      </c>
      <c r="G36" s="200" t="n"/>
      <c r="L36" s="146" t="n"/>
    </row>
    <row r="37">
      <c r="B37" s="24" t="inlineStr">
        <is>
          <t>Авторский надзор - 0,2%</t>
        </is>
      </c>
      <c r="C37" s="175">
        <f>ROUND((C27+C32+C33+C34+C35+C29+C31+C30)*0.2%,2)</f>
        <v/>
      </c>
      <c r="D37" s="24" t="n"/>
      <c r="E37" s="26">
        <f>C37/$C$40</f>
        <v/>
      </c>
      <c r="G37" s="201" t="n"/>
      <c r="L37" s="146" t="n"/>
    </row>
    <row r="38" ht="38.25" customHeight="1" s="242">
      <c r="B38" s="24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24" t="n"/>
      <c r="E38" s="26">
        <f>C38/$C$40</f>
        <v/>
      </c>
    </row>
    <row r="39" ht="13.5" customHeight="1" s="242">
      <c r="B39" s="24" t="inlineStr">
        <is>
          <t>Непредвиденные расходы</t>
        </is>
      </c>
      <c r="C39" s="14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5">
        <f>C40/'Прил.5 Расчет СМР и ОБ'!E56</f>
        <v/>
      </c>
      <c r="D41" s="24" t="n"/>
      <c r="E41" s="24" t="n"/>
    </row>
    <row r="42">
      <c r="B42" s="198" t="n"/>
      <c r="C42" s="238" t="n"/>
      <c r="D42" s="238" t="n"/>
      <c r="E42" s="238" t="n"/>
    </row>
    <row r="43">
      <c r="B43" s="198" t="inlineStr">
        <is>
          <t>Составил ____________________________  Д.А. Самуйленко</t>
        </is>
      </c>
      <c r="C43" s="238" t="n"/>
      <c r="D43" s="238" t="n"/>
      <c r="E43" s="238" t="n"/>
    </row>
    <row r="44">
      <c r="B44" s="198" t="inlineStr">
        <is>
          <t xml:space="preserve">(должность, подпись, инициалы, фамилия) </t>
        </is>
      </c>
      <c r="C44" s="238" t="n"/>
      <c r="D44" s="238" t="n"/>
      <c r="E44" s="238" t="n"/>
    </row>
    <row r="45">
      <c r="B45" s="198" t="n"/>
      <c r="C45" s="238" t="n"/>
      <c r="D45" s="238" t="n"/>
      <c r="E45" s="238" t="n"/>
    </row>
    <row r="46">
      <c r="B46" s="198" t="inlineStr">
        <is>
          <t>Проверил ____________________________ А.В. Костянецкая</t>
        </is>
      </c>
      <c r="C46" s="238" t="n"/>
      <c r="D46" s="238" t="n"/>
      <c r="E46" s="238" t="n"/>
    </row>
    <row r="47">
      <c r="B47" s="288" t="inlineStr">
        <is>
          <t>(должность, подпись, инициалы, фамилия)</t>
        </is>
      </c>
      <c r="D47" s="238" t="n"/>
      <c r="E47" s="238" t="n"/>
    </row>
    <row r="49">
      <c r="B49" s="238" t="n"/>
      <c r="C49" s="238" t="n"/>
      <c r="D49" s="238" t="n"/>
      <c r="E49" s="238" t="n"/>
    </row>
    <row r="50">
      <c r="B50" s="238" t="n"/>
      <c r="C50" s="238" t="n"/>
      <c r="D50" s="238" t="n"/>
      <c r="E50" s="23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2"/>
  <sheetViews>
    <sheetView view="pageBreakPreview" topLeftCell="A28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9" min="1" max="1"/>
    <col width="22.5703125" customWidth="1" style="239" min="2" max="2"/>
    <col width="39.140625" customWidth="1" style="239" min="3" max="3"/>
    <col width="13.5703125" customWidth="1" style="239" min="4" max="4"/>
    <col width="12.7109375" customWidth="1" style="239" min="5" max="5"/>
    <col width="14.5703125" customWidth="1" style="239" min="6" max="6"/>
    <col width="15.85546875" customWidth="1" style="239" min="7" max="7"/>
    <col width="12.7109375" customWidth="1" style="239" min="8" max="8"/>
    <col width="15.85546875" customWidth="1" style="239" min="9" max="9"/>
    <col width="17.5703125" customWidth="1" style="239" min="10" max="10"/>
    <col width="10.85546875" customWidth="1" style="239" min="11" max="11"/>
    <col width="13.85546875" customWidth="1" style="239" min="12" max="12"/>
  </cols>
  <sheetData>
    <row r="1">
      <c r="M1" s="239" t="n"/>
      <c r="N1" s="239" t="n"/>
    </row>
    <row r="2" ht="15.75" customHeight="1" s="242">
      <c r="H2" s="300" t="inlineStr">
        <is>
          <t>Приложение №5</t>
        </is>
      </c>
      <c r="M2" s="239" t="n"/>
      <c r="N2" s="239" t="n"/>
    </row>
    <row r="3">
      <c r="M3" s="239" t="n"/>
      <c r="N3" s="239" t="n"/>
    </row>
    <row r="4" ht="12.75" customFormat="1" customHeight="1" s="238">
      <c r="A4" s="265" t="inlineStr">
        <is>
          <t>Расчет стоимости СМР и оборудования</t>
        </is>
      </c>
    </row>
    <row r="5" ht="12.75" customFormat="1" customHeight="1" s="238">
      <c r="A5" s="265" t="n"/>
      <c r="B5" s="265" t="n"/>
      <c r="C5" s="313" t="n"/>
      <c r="D5" s="265" t="n"/>
      <c r="E5" s="265" t="n"/>
      <c r="F5" s="265" t="n"/>
      <c r="G5" s="265" t="n"/>
      <c r="H5" s="265" t="n"/>
      <c r="I5" s="265" t="n"/>
      <c r="J5" s="265" t="n"/>
    </row>
    <row r="6" ht="12.75" customFormat="1" customHeight="1" s="238">
      <c r="A6" s="135" t="inlineStr">
        <is>
          <t>Наименование разрабатываемого показателя УНЦ</t>
        </is>
      </c>
      <c r="B6" s="134" t="n"/>
      <c r="C6" s="134" t="n"/>
      <c r="D6" s="268" t="inlineStr">
        <is>
          <t>Демонтаж ВЛ 330 кВ одна цепь</t>
        </is>
      </c>
    </row>
    <row r="7" ht="12.75" customFormat="1" customHeight="1" s="238">
      <c r="A7" s="268" t="inlineStr">
        <is>
          <t>Единица измерения  — 1 км</t>
        </is>
      </c>
      <c r="I7" s="287" t="n"/>
      <c r="J7" s="287" t="n"/>
    </row>
    <row r="8" ht="13.5" customFormat="1" customHeight="1" s="238">
      <c r="A8" s="268" t="n"/>
    </row>
    <row r="9" ht="27" customHeight="1" s="242">
      <c r="A9" s="290" t="inlineStr">
        <is>
          <t>№ пп.</t>
        </is>
      </c>
      <c r="B9" s="290" t="inlineStr">
        <is>
          <t>Код ресурса</t>
        </is>
      </c>
      <c r="C9" s="290" t="inlineStr">
        <is>
          <t>Наименование</t>
        </is>
      </c>
      <c r="D9" s="290" t="inlineStr">
        <is>
          <t>Ед. изм.</t>
        </is>
      </c>
      <c r="E9" s="290" t="inlineStr">
        <is>
          <t>Кол-во единиц по проектным данным</t>
        </is>
      </c>
      <c r="F9" s="290" t="inlineStr">
        <is>
          <t>Сметная стоимость в ценах на 01.01.2000 (руб.)</t>
        </is>
      </c>
      <c r="G9" s="377" t="n"/>
      <c r="H9" s="290" t="inlineStr">
        <is>
          <t>Удельный вес, %</t>
        </is>
      </c>
      <c r="I9" s="290" t="inlineStr">
        <is>
          <t>Сметная стоимость в ценах на 01.01.2023 (руб.)</t>
        </is>
      </c>
      <c r="J9" s="377" t="n"/>
      <c r="M9" s="239" t="n"/>
      <c r="N9" s="239" t="n"/>
    </row>
    <row r="10" ht="28.5" customHeight="1" s="242">
      <c r="A10" s="379" t="n"/>
      <c r="B10" s="379" t="n"/>
      <c r="C10" s="379" t="n"/>
      <c r="D10" s="379" t="n"/>
      <c r="E10" s="379" t="n"/>
      <c r="F10" s="290" t="inlineStr">
        <is>
          <t>на ед. изм.</t>
        </is>
      </c>
      <c r="G10" s="290" t="inlineStr">
        <is>
          <t>общая</t>
        </is>
      </c>
      <c r="H10" s="379" t="n"/>
      <c r="I10" s="290" t="inlineStr">
        <is>
          <t>на ед. изм.</t>
        </is>
      </c>
      <c r="J10" s="290" t="inlineStr">
        <is>
          <t>общая</t>
        </is>
      </c>
      <c r="M10" s="239" t="n"/>
      <c r="N10" s="239" t="n"/>
    </row>
    <row r="11">
      <c r="A11" s="290" t="n">
        <v>1</v>
      </c>
      <c r="B11" s="290" t="n">
        <v>2</v>
      </c>
      <c r="C11" s="290" t="n">
        <v>3</v>
      </c>
      <c r="D11" s="290" t="n">
        <v>4</v>
      </c>
      <c r="E11" s="290" t="n">
        <v>5</v>
      </c>
      <c r="F11" s="290" t="n">
        <v>6</v>
      </c>
      <c r="G11" s="290" t="n">
        <v>7</v>
      </c>
      <c r="H11" s="290" t="n">
        <v>8</v>
      </c>
      <c r="I11" s="303" t="n">
        <v>9</v>
      </c>
      <c r="J11" s="303" t="n">
        <v>10</v>
      </c>
      <c r="M11" s="239" t="n"/>
      <c r="N11" s="239" t="n"/>
    </row>
    <row r="12">
      <c r="A12" s="290" t="n"/>
      <c r="B12" s="279" t="inlineStr">
        <is>
          <t>Затраты труда рабочих-строителей</t>
        </is>
      </c>
      <c r="C12" s="376" t="n"/>
      <c r="D12" s="376" t="n"/>
      <c r="E12" s="376" t="n"/>
      <c r="F12" s="376" t="n"/>
      <c r="G12" s="376" t="n"/>
      <c r="H12" s="377" t="n"/>
      <c r="I12" s="167" t="n"/>
      <c r="J12" s="167" t="n"/>
    </row>
    <row r="13" ht="25.5" customHeight="1" s="242">
      <c r="A13" s="290" t="n">
        <v>1</v>
      </c>
      <c r="B13" s="227" t="inlineStr">
        <is>
          <t>1-4-1</t>
        </is>
      </c>
      <c r="C13" s="289" t="inlineStr">
        <is>
          <t>Затраты труда рабочих-строителей среднего разряда (4,1)</t>
        </is>
      </c>
      <c r="D13" s="290" t="inlineStr">
        <is>
          <t>чел.-ч.</t>
        </is>
      </c>
      <c r="E13" s="396" t="n">
        <v>93854.429303279</v>
      </c>
      <c r="F13" s="221" t="n">
        <v>9.76</v>
      </c>
      <c r="G13" s="221" t="n">
        <v>916019.23</v>
      </c>
      <c r="H13" s="293">
        <f>G13/G14</f>
        <v/>
      </c>
      <c r="I13" s="221">
        <f>ФОТр.тек.!E13</f>
        <v/>
      </c>
      <c r="J13" s="221">
        <f>ROUND(I13*E13,2)</f>
        <v/>
      </c>
    </row>
    <row r="14" ht="25.5" customFormat="1" customHeight="1" s="239">
      <c r="A14" s="290" t="n"/>
      <c r="B14" s="290" t="n"/>
      <c r="C14" s="279" t="inlineStr">
        <is>
          <t>Итого по разделу "Затраты труда рабочих-строителей"</t>
        </is>
      </c>
      <c r="D14" s="290" t="inlineStr">
        <is>
          <t>чел.-ч.</t>
        </is>
      </c>
      <c r="E14" s="396">
        <f>SUM(E13:E13)</f>
        <v/>
      </c>
      <c r="F14" s="221" t="n"/>
      <c r="G14" s="221">
        <f>SUM(G13:G13)</f>
        <v/>
      </c>
      <c r="H14" s="294" t="n">
        <v>1</v>
      </c>
      <c r="I14" s="167" t="n"/>
      <c r="J14" s="221">
        <f>SUM(J13:J13)</f>
        <v/>
      </c>
    </row>
    <row r="15" ht="38.25" customFormat="1" customHeight="1" s="239">
      <c r="A15" s="290" t="n"/>
      <c r="B15" s="290" t="n"/>
      <c r="C15" s="279" t="inlineStr">
        <is>
          <t>Итого по разделу "Затраты труда рабочих-строителей" 
(с коэффициентом на демонтаж 0,7)</t>
        </is>
      </c>
      <c r="D15" s="290" t="inlineStr">
        <is>
          <t>чел.-ч.</t>
        </is>
      </c>
      <c r="E15" s="291" t="n"/>
      <c r="F15" s="292" t="n"/>
      <c r="G15" s="221">
        <f>SUM(G14)*0.7</f>
        <v/>
      </c>
      <c r="H15" s="294" t="n">
        <v>1</v>
      </c>
      <c r="I15" s="167" t="n"/>
      <c r="J15" s="221">
        <f>SUM(J13)*0.7</f>
        <v/>
      </c>
    </row>
    <row r="16" ht="14.25" customFormat="1" customHeight="1" s="239">
      <c r="A16" s="290" t="n"/>
      <c r="B16" s="289" t="inlineStr">
        <is>
          <t>Затраты труда машинистов</t>
        </is>
      </c>
      <c r="C16" s="376" t="n"/>
      <c r="D16" s="376" t="n"/>
      <c r="E16" s="376" t="n"/>
      <c r="F16" s="376" t="n"/>
      <c r="G16" s="376" t="n"/>
      <c r="H16" s="377" t="n"/>
      <c r="I16" s="167" t="n"/>
      <c r="J16" s="167" t="n"/>
    </row>
    <row r="17" ht="14.25" customFormat="1" customHeight="1" s="239">
      <c r="A17" s="290" t="n">
        <v>2</v>
      </c>
      <c r="B17" s="290" t="n">
        <v>2</v>
      </c>
      <c r="C17" s="289" t="inlineStr">
        <is>
          <t>Затраты труда машинистов</t>
        </is>
      </c>
      <c r="D17" s="290" t="inlineStr">
        <is>
          <t>чел.-ч.</t>
        </is>
      </c>
      <c r="E17" s="396" t="n">
        <v>33861.8896</v>
      </c>
      <c r="F17" s="221" t="n">
        <v>9.580593517734499</v>
      </c>
      <c r="G17" s="221" t="n">
        <v>324417</v>
      </c>
      <c r="H17" s="294" t="n">
        <v>1</v>
      </c>
      <c r="I17" s="221">
        <f>ROUND(F17*Прил.10!D11,2)</f>
        <v/>
      </c>
      <c r="J17" s="221">
        <f>ROUND(I17*E17,2)</f>
        <v/>
      </c>
    </row>
    <row r="18" ht="25.5" customFormat="1" customHeight="1" s="239">
      <c r="A18" s="290" t="n"/>
      <c r="B18" s="290" t="n"/>
      <c r="C18" s="176" t="inlineStr">
        <is>
          <t>Затраты труда машинистов 
(с коэффициентом на демонтаж 0,7)</t>
        </is>
      </c>
      <c r="D18" s="170" t="n"/>
      <c r="E18" s="170" t="n"/>
      <c r="F18" s="170" t="n"/>
      <c r="G18" s="175">
        <f>G17*0.7</f>
        <v/>
      </c>
      <c r="H18" s="171">
        <f>H17</f>
        <v/>
      </c>
      <c r="I18" s="172" t="n"/>
      <c r="J18" s="175">
        <f>J17*0.7</f>
        <v/>
      </c>
    </row>
    <row r="19" ht="14.25" customFormat="1" customHeight="1" s="239">
      <c r="A19" s="290" t="n"/>
      <c r="B19" s="279" t="inlineStr">
        <is>
          <t>Машины и механизмы</t>
        </is>
      </c>
      <c r="C19" s="376" t="n"/>
      <c r="D19" s="376" t="n"/>
      <c r="E19" s="376" t="n"/>
      <c r="F19" s="376" t="n"/>
      <c r="G19" s="376" t="n"/>
      <c r="H19" s="377" t="n"/>
      <c r="I19" s="167" t="n"/>
      <c r="J19" s="167" t="n"/>
    </row>
    <row r="20" ht="14.25" customFormat="1" customHeight="1" s="239">
      <c r="A20" s="290" t="n"/>
      <c r="B20" s="289" t="inlineStr">
        <is>
          <t>Основные машины и механизмы</t>
        </is>
      </c>
      <c r="C20" s="376" t="n"/>
      <c r="D20" s="376" t="n"/>
      <c r="E20" s="376" t="n"/>
      <c r="F20" s="376" t="n"/>
      <c r="G20" s="376" t="n"/>
      <c r="H20" s="377" t="n"/>
      <c r="I20" s="167" t="n"/>
      <c r="J20" s="167" t="n"/>
    </row>
    <row r="21" ht="25.5" customFormat="1" customHeight="1" s="239">
      <c r="A21" s="290" t="n">
        <v>3</v>
      </c>
      <c r="B21" s="227" t="inlineStr">
        <is>
          <t>91.15.02-029</t>
        </is>
      </c>
      <c r="C21" s="289" t="inlineStr">
        <is>
          <t>Тракторы на гусеничном ходу с лебедкой 132 кВт (180 л.с.)</t>
        </is>
      </c>
      <c r="D21" s="290" t="inlineStr">
        <is>
          <t>маш.час</t>
        </is>
      </c>
      <c r="E21" s="396" t="n">
        <v>13039.91764</v>
      </c>
      <c r="F21" s="292" t="n">
        <v>147.43</v>
      </c>
      <c r="G21" s="221">
        <f>ROUND(E21*F21,2)</f>
        <v/>
      </c>
      <c r="H21" s="293">
        <f>G21/$G$35</f>
        <v/>
      </c>
      <c r="I21" s="221">
        <f>ROUND(F21*Прил.10!$D$12,2)</f>
        <v/>
      </c>
      <c r="J21" s="221">
        <f>ROUND(I21*E21,2)</f>
        <v/>
      </c>
    </row>
    <row r="22" ht="25.5" customFormat="1" customHeight="1" s="239">
      <c r="A22" s="290" t="n">
        <v>4</v>
      </c>
      <c r="B22" s="227" t="inlineStr">
        <is>
          <t>91.13.03-111</t>
        </is>
      </c>
      <c r="C22" s="289" t="inlineStr">
        <is>
          <t>Спецавтомобили-вездеходы, грузоподъемность до 8 т</t>
        </is>
      </c>
      <c r="D22" s="290" t="inlineStr">
        <is>
          <t>маш.час</t>
        </is>
      </c>
      <c r="E22" s="396" t="n">
        <v>5969.42404</v>
      </c>
      <c r="F22" s="292" t="n">
        <v>189.95</v>
      </c>
      <c r="G22" s="221">
        <f>ROUND(E22*F22,2)</f>
        <v/>
      </c>
      <c r="H22" s="293">
        <f>G22/$G$35</f>
        <v/>
      </c>
      <c r="I22" s="221">
        <f>ROUND(F22*Прил.10!$D$12,2)</f>
        <v/>
      </c>
      <c r="J22" s="221">
        <f>ROUND(I22*E22,2)</f>
        <v/>
      </c>
    </row>
    <row r="23" ht="51" customFormat="1" customHeight="1" s="239">
      <c r="A23" s="290" t="n">
        <v>5</v>
      </c>
      <c r="B23" s="227" t="inlineStr">
        <is>
          <t>91.05.14-516</t>
        </is>
      </c>
      <c r="C23" s="289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3" s="290" t="inlineStr">
        <is>
          <t>маш.час</t>
        </is>
      </c>
      <c r="E23" s="396" t="n">
        <v>9693.64846</v>
      </c>
      <c r="F23" s="292" t="n">
        <v>77.64</v>
      </c>
      <c r="G23" s="221">
        <f>ROUND(E23*F23,2)</f>
        <v/>
      </c>
      <c r="H23" s="293">
        <f>G23/$G$35</f>
        <v/>
      </c>
      <c r="I23" s="221">
        <f>ROUND(F23*Прил.10!$D$12,2)</f>
        <v/>
      </c>
      <c r="J23" s="221">
        <f>ROUND(I23*E23,2)</f>
        <v/>
      </c>
    </row>
    <row r="24" ht="14.25" customFormat="1" customHeight="1" s="239">
      <c r="A24" s="290" t="n"/>
      <c r="B24" s="290" t="n"/>
      <c r="C24" s="289" t="inlineStr">
        <is>
          <t>Итого основные машины и механизмы</t>
        </is>
      </c>
      <c r="D24" s="290" t="n"/>
      <c r="E24" s="396" t="n"/>
      <c r="F24" s="221" t="n"/>
      <c r="G24" s="221">
        <f>SUM(G21:G23)</f>
        <v/>
      </c>
      <c r="H24" s="294">
        <f>G24/G35</f>
        <v/>
      </c>
      <c r="I24" s="126" t="n"/>
      <c r="J24" s="221">
        <f>SUM(J21:J23)</f>
        <v/>
      </c>
    </row>
    <row r="25" ht="25.5" customFormat="1" customHeight="1" s="239">
      <c r="A25" s="290" t="n"/>
      <c r="B25" s="290" t="n"/>
      <c r="C25" s="176" t="inlineStr">
        <is>
          <t>Итого основные машины и механизмы 
(с коэффициентом на демонтаж 0,7)</t>
        </is>
      </c>
      <c r="D25" s="290" t="n"/>
      <c r="E25" s="397" t="n"/>
      <c r="F25" s="291" t="n"/>
      <c r="G25" s="221">
        <f>G24*0.7</f>
        <v/>
      </c>
      <c r="H25" s="293">
        <f>G25/G36</f>
        <v/>
      </c>
      <c r="I25" s="221" t="n"/>
      <c r="J25" s="221">
        <f>J24*0.7</f>
        <v/>
      </c>
    </row>
    <row r="26" outlineLevel="1" ht="51" customFormat="1" customHeight="1" s="239">
      <c r="A26" s="290" t="n">
        <v>6</v>
      </c>
      <c r="B26" s="227" t="inlineStr">
        <is>
          <t>91.18.01-007</t>
        </is>
      </c>
      <c r="C26" s="28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6" s="290" t="inlineStr">
        <is>
          <t>маш.час</t>
        </is>
      </c>
      <c r="E26" s="396" t="n">
        <v>3636.04926</v>
      </c>
      <c r="F26" s="292" t="n">
        <v>90</v>
      </c>
      <c r="G26" s="221">
        <f>ROUND(E26*F26,2)</f>
        <v/>
      </c>
      <c r="H26" s="293">
        <f>G26/$G$35</f>
        <v/>
      </c>
      <c r="I26" s="221">
        <f>ROUND(F26*Прил.10!$D$12,2)</f>
        <v/>
      </c>
      <c r="J26" s="221">
        <f>ROUND(I26*E26,2)</f>
        <v/>
      </c>
    </row>
    <row r="27" outlineLevel="1" ht="25.5" customFormat="1" customHeight="1" s="239">
      <c r="A27" s="290" t="n">
        <v>7</v>
      </c>
      <c r="B27" s="227" t="inlineStr">
        <is>
          <t>91.05.05-015</t>
        </is>
      </c>
      <c r="C27" s="289" t="inlineStr">
        <is>
          <t>Краны на автомобильном ходу, грузоподъемность 16 т</t>
        </is>
      </c>
      <c r="D27" s="290" t="inlineStr">
        <is>
          <t>маш.час</t>
        </is>
      </c>
      <c r="E27" s="396" t="n">
        <v>1862.24708</v>
      </c>
      <c r="F27" s="292" t="n">
        <v>115.4</v>
      </c>
      <c r="G27" s="221">
        <f>ROUND(E27*F27,2)</f>
        <v/>
      </c>
      <c r="H27" s="293">
        <f>G27/$G$35</f>
        <v/>
      </c>
      <c r="I27" s="221">
        <f>ROUND(F27*Прил.10!$D$12,2)</f>
        <v/>
      </c>
      <c r="J27" s="221">
        <f>ROUND(I27*E27,2)</f>
        <v/>
      </c>
    </row>
    <row r="28" outlineLevel="1" ht="25.5" customFormat="1" customHeight="1" s="239">
      <c r="A28" s="290" t="n">
        <v>8</v>
      </c>
      <c r="B28" s="227" t="inlineStr">
        <is>
          <t>91.14.02-004</t>
        </is>
      </c>
      <c r="C28" s="289" t="inlineStr">
        <is>
          <t>Автомобили бортовые, грузоподъемность до 15т</t>
        </is>
      </c>
      <c r="D28" s="290" t="inlineStr">
        <is>
          <t>маш.-ч.</t>
        </is>
      </c>
      <c r="E28" s="396" t="n">
        <v>377.82</v>
      </c>
      <c r="F28" s="292" t="n">
        <v>92.94</v>
      </c>
      <c r="G28" s="221">
        <f>ROUND(E28*F28,2)</f>
        <v/>
      </c>
      <c r="H28" s="293">
        <f>G28/$G$35</f>
        <v/>
      </c>
      <c r="I28" s="221">
        <f>ROUND(F28*Прил.10!$D$12,2)</f>
        <v/>
      </c>
      <c r="J28" s="221">
        <f>ROUND(I28*E28,2)</f>
        <v/>
      </c>
    </row>
    <row r="29" outlineLevel="1" ht="25.5" customFormat="1" customHeight="1" s="239">
      <c r="A29" s="290" t="n">
        <v>9</v>
      </c>
      <c r="B29" s="227" t="inlineStr">
        <is>
          <t>91.14.02-004</t>
        </is>
      </c>
      <c r="C29" s="289" t="inlineStr">
        <is>
          <t>Автомобили бортовые, грузоподъемность до 15 т</t>
        </is>
      </c>
      <c r="D29" s="290" t="inlineStr">
        <is>
          <t>маш.-ч</t>
        </is>
      </c>
      <c r="E29" s="396" t="n">
        <v>185.8</v>
      </c>
      <c r="F29" s="292" t="n">
        <v>92.94</v>
      </c>
      <c r="G29" s="221">
        <f>ROUND(E29*F29,2)</f>
        <v/>
      </c>
      <c r="H29" s="293">
        <f>G29/$G$35</f>
        <v/>
      </c>
      <c r="I29" s="221">
        <f>ROUND(F29*Прил.10!$D$12,2)</f>
        <v/>
      </c>
      <c r="J29" s="221">
        <f>ROUND(I29*E29,2)</f>
        <v/>
      </c>
    </row>
    <row r="30" outlineLevel="1" ht="25.5" customFormat="1" customHeight="1" s="239">
      <c r="A30" s="290" t="n">
        <v>10</v>
      </c>
      <c r="B30" s="227" t="inlineStr">
        <is>
          <t>91.06.09-101</t>
        </is>
      </c>
      <c r="C30" s="289" t="inlineStr">
        <is>
          <t>Стрелы монтажные А-образные для подъема опор ВЛ, высота до 22 м</t>
        </is>
      </c>
      <c r="D30" s="290" t="inlineStr">
        <is>
          <t>маш.час</t>
        </is>
      </c>
      <c r="E30" s="396" t="n">
        <v>1705.78275</v>
      </c>
      <c r="F30" s="292" t="n">
        <v>6.25</v>
      </c>
      <c r="G30" s="221">
        <f>ROUND(E30*F30,2)</f>
        <v/>
      </c>
      <c r="H30" s="293">
        <f>G30/$G$35</f>
        <v/>
      </c>
      <c r="I30" s="221">
        <f>ROUND(F30*Прил.10!$D$12,2)</f>
        <v/>
      </c>
      <c r="J30" s="221">
        <f>ROUND(I30*E30,2)</f>
        <v/>
      </c>
    </row>
    <row r="31" outlineLevel="1" ht="25.5" customFormat="1" customHeight="1" s="239">
      <c r="A31" s="290" t="n">
        <v>11</v>
      </c>
      <c r="B31" s="227" t="inlineStr">
        <is>
          <t>91.06.01-002</t>
        </is>
      </c>
      <c r="C31" s="289" t="inlineStr">
        <is>
          <t>Домкраты гидравлические, грузоподъемность 6,3-25 т</t>
        </is>
      </c>
      <c r="D31" s="290" t="inlineStr">
        <is>
          <t>маш.час</t>
        </is>
      </c>
      <c r="E31" s="396" t="n">
        <v>9623.75995</v>
      </c>
      <c r="F31" s="292" t="n">
        <v>0.48</v>
      </c>
      <c r="G31" s="221">
        <f>ROUND(E31*F31,2)</f>
        <v/>
      </c>
      <c r="H31" s="293">
        <f>G31/$G$35</f>
        <v/>
      </c>
      <c r="I31" s="221">
        <f>ROUND(F31*Прил.10!$D$12,2)</f>
        <v/>
      </c>
      <c r="J31" s="221">
        <f>ROUND(I31*E31,2)</f>
        <v/>
      </c>
    </row>
    <row r="32" outlineLevel="1" ht="14.25" customFormat="1" customHeight="1" s="239">
      <c r="A32" s="290" t="n">
        <v>12</v>
      </c>
      <c r="B32" s="227" t="inlineStr">
        <is>
          <t>91.15.01-001</t>
        </is>
      </c>
      <c r="C32" s="289" t="inlineStr">
        <is>
          <t>Прицепы тракторные 2 т</t>
        </is>
      </c>
      <c r="D32" s="290" t="inlineStr">
        <is>
          <t>маш.-ч</t>
        </is>
      </c>
      <c r="E32" s="396" t="n">
        <v>648.15</v>
      </c>
      <c r="F32" s="292" t="n">
        <v>4.01</v>
      </c>
      <c r="G32" s="221">
        <f>ROUND(E32*F32,2)</f>
        <v/>
      </c>
      <c r="H32" s="293">
        <f>G32/$G$35</f>
        <v/>
      </c>
      <c r="I32" s="221">
        <f>ROUND(F32*Прил.10!$D$12,2)</f>
        <v/>
      </c>
      <c r="J32" s="221">
        <f>ROUND(I32*E32,2)</f>
        <v/>
      </c>
    </row>
    <row r="33" ht="14.25" customFormat="1" customHeight="1" s="239">
      <c r="A33" s="290" t="n"/>
      <c r="B33" s="290" t="n"/>
      <c r="C33" s="289" t="inlineStr">
        <is>
          <t>Итого прочие машины и механизмы</t>
        </is>
      </c>
      <c r="D33" s="290" t="n"/>
      <c r="E33" s="291" t="n"/>
      <c r="F33" s="221" t="n"/>
      <c r="G33" s="126">
        <f>SUM(G26:G32)</f>
        <v/>
      </c>
      <c r="H33" s="293">
        <f>G33/G35</f>
        <v/>
      </c>
      <c r="I33" s="221" t="n"/>
      <c r="J33" s="126">
        <f>SUM(J26:J32)</f>
        <v/>
      </c>
    </row>
    <row r="34" ht="25.5" customFormat="1" customHeight="1" s="239">
      <c r="A34" s="290" t="n"/>
      <c r="B34" s="290" t="n"/>
      <c r="C34" s="176" t="inlineStr">
        <is>
          <t>Итого прочие машины и механизмы 
(с коэффициентом на демонтаж 0,7)</t>
        </is>
      </c>
      <c r="D34" s="290" t="n"/>
      <c r="E34" s="291" t="n"/>
      <c r="F34" s="221" t="n"/>
      <c r="G34" s="221">
        <f>G33*0.7</f>
        <v/>
      </c>
      <c r="H34" s="293">
        <f>G34/G36</f>
        <v/>
      </c>
      <c r="I34" s="221" t="n"/>
      <c r="J34" s="221">
        <f>J33*0.7</f>
        <v/>
      </c>
    </row>
    <row r="35" ht="25.5" customFormat="1" customHeight="1" s="239">
      <c r="A35" s="290" t="n"/>
      <c r="B35" s="290" t="n"/>
      <c r="C35" s="279" t="inlineStr">
        <is>
          <t>Итого по разделу «Машины и механизмы»</t>
        </is>
      </c>
      <c r="D35" s="290" t="n"/>
      <c r="E35" s="291" t="n"/>
      <c r="F35" s="221" t="n"/>
      <c r="G35" s="221">
        <f>G33+G24</f>
        <v/>
      </c>
      <c r="H35" s="188" t="n">
        <v>1</v>
      </c>
      <c r="I35" s="189" t="n"/>
      <c r="J35" s="187">
        <f>J33+J24</f>
        <v/>
      </c>
    </row>
    <row r="36" ht="38.25" customFormat="1" customHeight="1" s="239">
      <c r="A36" s="290" t="n"/>
      <c r="B36" s="290" t="n"/>
      <c r="C36" s="184" t="inlineStr">
        <is>
          <t>Итого по разделу «Машины и механизмы»  
(с коэффициентом на демонтаж 0,7)</t>
        </is>
      </c>
      <c r="D36" s="304" t="n"/>
      <c r="E36" s="186" t="n"/>
      <c r="F36" s="187" t="n"/>
      <c r="G36" s="187">
        <f>G25+G34</f>
        <v/>
      </c>
      <c r="H36" s="188" t="n">
        <v>1</v>
      </c>
      <c r="I36" s="189" t="n"/>
      <c r="J36" s="187">
        <f>J25+J34</f>
        <v/>
      </c>
    </row>
    <row r="37" ht="14.25" customFormat="1" customHeight="1" s="239">
      <c r="A37" s="290" t="n"/>
      <c r="B37" s="279" t="inlineStr">
        <is>
          <t>Оборудование</t>
        </is>
      </c>
      <c r="C37" s="376" t="n"/>
      <c r="D37" s="376" t="n"/>
      <c r="E37" s="376" t="n"/>
      <c r="F37" s="376" t="n"/>
      <c r="G37" s="376" t="n"/>
      <c r="H37" s="377" t="n"/>
      <c r="I37" s="167" t="n"/>
      <c r="J37" s="167" t="n"/>
    </row>
    <row r="38">
      <c r="A38" s="290" t="n"/>
      <c r="B38" s="289" t="inlineStr">
        <is>
          <t>Основное оборудование</t>
        </is>
      </c>
      <c r="C38" s="376" t="n"/>
      <c r="D38" s="376" t="n"/>
      <c r="E38" s="376" t="n"/>
      <c r="F38" s="376" t="n"/>
      <c r="G38" s="376" t="n"/>
      <c r="H38" s="377" t="n"/>
      <c r="I38" s="167" t="n"/>
      <c r="J38" s="167" t="n"/>
    </row>
    <row r="39">
      <c r="A39" s="290" t="n"/>
      <c r="B39" s="157" t="n"/>
      <c r="C39" s="158" t="inlineStr">
        <is>
          <t>Итого основное оборудование</t>
        </is>
      </c>
      <c r="D39" s="290" t="n"/>
      <c r="E39" s="396" t="n"/>
      <c r="F39" s="292" t="n"/>
      <c r="G39" s="221" t="n">
        <v>0</v>
      </c>
      <c r="H39" s="294" t="n">
        <v>0</v>
      </c>
      <c r="I39" s="126" t="n"/>
      <c r="J39" s="221" t="n">
        <v>0</v>
      </c>
    </row>
    <row r="40">
      <c r="A40" s="290" t="n"/>
      <c r="B40" s="290" t="n"/>
      <c r="C40" s="289" t="inlineStr">
        <is>
          <t>Итого прочее оборудование</t>
        </is>
      </c>
      <c r="D40" s="290" t="n"/>
      <c r="E40" s="396" t="n"/>
      <c r="F40" s="292" t="n"/>
      <c r="G40" s="221" t="n">
        <v>0</v>
      </c>
      <c r="H40" s="293" t="n">
        <v>0</v>
      </c>
      <c r="I40" s="126" t="n"/>
      <c r="J40" s="221" t="n">
        <v>0</v>
      </c>
    </row>
    <row r="41">
      <c r="A41" s="290" t="n"/>
      <c r="B41" s="290" t="n"/>
      <c r="C41" s="279" t="inlineStr">
        <is>
          <t>Итого по разделу «Оборудование»</t>
        </is>
      </c>
      <c r="D41" s="290" t="n"/>
      <c r="E41" s="291" t="n"/>
      <c r="F41" s="292" t="n"/>
      <c r="G41" s="221">
        <f>G40+G39</f>
        <v/>
      </c>
      <c r="H41" s="294">
        <f>H40+H39</f>
        <v/>
      </c>
      <c r="I41" s="126" t="n"/>
      <c r="J41" s="221">
        <f>J40+J39</f>
        <v/>
      </c>
    </row>
    <row r="42" ht="25.5" customHeight="1" s="242">
      <c r="A42" s="290" t="n"/>
      <c r="B42" s="290" t="n"/>
      <c r="C42" s="289" t="inlineStr">
        <is>
          <t>в том числе технологическое оборудование</t>
        </is>
      </c>
      <c r="D42" s="290" t="n"/>
      <c r="E42" s="397" t="n"/>
      <c r="F42" s="292" t="n"/>
      <c r="G42" s="221" t="n">
        <v>0</v>
      </c>
      <c r="H42" s="294" t="n"/>
      <c r="I42" s="126" t="n"/>
      <c r="J42" s="221">
        <f>J41</f>
        <v/>
      </c>
    </row>
    <row r="43" ht="14.25" customFormat="1" customHeight="1" s="239">
      <c r="A43" s="290" t="n"/>
      <c r="B43" s="279" t="inlineStr">
        <is>
          <t>Материалы</t>
        </is>
      </c>
      <c r="C43" s="376" t="n"/>
      <c r="D43" s="376" t="n"/>
      <c r="E43" s="376" t="n"/>
      <c r="F43" s="376" t="n"/>
      <c r="G43" s="376" t="n"/>
      <c r="H43" s="377" t="n"/>
      <c r="I43" s="191" t="n"/>
      <c r="J43" s="191" t="n"/>
    </row>
    <row r="44" ht="14.25" customFormat="1" customHeight="1" s="239">
      <c r="A44" s="290" t="n"/>
      <c r="B44" s="289" t="inlineStr">
        <is>
          <t>Основные материалы</t>
        </is>
      </c>
      <c r="C44" s="376" t="n"/>
      <c r="D44" s="376" t="n"/>
      <c r="E44" s="376" t="n"/>
      <c r="F44" s="376" t="n"/>
      <c r="G44" s="376" t="n"/>
      <c r="H44" s="377" t="n"/>
      <c r="I44" s="191" t="n"/>
      <c r="J44" s="191" t="n"/>
    </row>
    <row r="45" ht="14.25" customFormat="1" customHeight="1" s="239">
      <c r="A45" s="290" t="n"/>
      <c r="B45" s="227" t="n"/>
      <c r="C45" s="289" t="inlineStr">
        <is>
          <t>Итого основные материалы</t>
        </is>
      </c>
      <c r="D45" s="290" t="n"/>
      <c r="E45" s="396" t="n"/>
      <c r="F45" s="221" t="n"/>
      <c r="G45" s="221" t="n">
        <v>0</v>
      </c>
      <c r="H45" s="293" t="n">
        <v>0</v>
      </c>
      <c r="I45" s="221" t="n"/>
      <c r="J45" s="221" t="n">
        <v>0</v>
      </c>
    </row>
    <row r="46" ht="14.25" customFormat="1" customHeight="1" s="239">
      <c r="A46" s="290" t="n"/>
      <c r="B46" s="290" t="n"/>
      <c r="C46" s="289" t="inlineStr">
        <is>
          <t>Итого прочие материалы</t>
        </is>
      </c>
      <c r="D46" s="290" t="n"/>
      <c r="E46" s="291" t="n"/>
      <c r="F46" s="292" t="n"/>
      <c r="G46" s="221" t="n">
        <v>0</v>
      </c>
      <c r="H46" s="293" t="n">
        <v>0</v>
      </c>
      <c r="I46" s="221" t="n"/>
      <c r="J46" s="221" t="n">
        <v>0</v>
      </c>
    </row>
    <row r="47" ht="14.25" customFormat="1" customHeight="1" s="239">
      <c r="A47" s="290" t="n"/>
      <c r="B47" s="290" t="n"/>
      <c r="C47" s="279" t="inlineStr">
        <is>
          <t>Итого по разделу «Материалы»</t>
        </is>
      </c>
      <c r="D47" s="290" t="n"/>
      <c r="E47" s="291" t="n"/>
      <c r="F47" s="292" t="n"/>
      <c r="G47" s="221">
        <f>G45+G46</f>
        <v/>
      </c>
      <c r="H47" s="293" t="n">
        <v>0</v>
      </c>
      <c r="I47" s="221" t="n"/>
      <c r="J47" s="221">
        <f>J45+J46</f>
        <v/>
      </c>
    </row>
    <row r="48" ht="14.25" customFormat="1" customHeight="1" s="239">
      <c r="A48" s="290" t="n"/>
      <c r="B48" s="290" t="n"/>
      <c r="C48" s="289" t="inlineStr">
        <is>
          <t>ИТОГО ПО РМ</t>
        </is>
      </c>
      <c r="D48" s="290" t="n"/>
      <c r="E48" s="291" t="n"/>
      <c r="F48" s="292" t="n"/>
      <c r="G48" s="221">
        <f>G14+G35</f>
        <v/>
      </c>
      <c r="H48" s="293" t="n"/>
      <c r="I48" s="221" t="n"/>
      <c r="J48" s="221">
        <f>J14+J35+J47</f>
        <v/>
      </c>
    </row>
    <row r="49" ht="25.5" customFormat="1" customHeight="1" s="239">
      <c r="A49" s="290" t="n"/>
      <c r="B49" s="290" t="n"/>
      <c r="C49" s="289" t="inlineStr">
        <is>
          <t>ИТОГО ПО РМ
(с коэффициентом на демонтаж 0,7)</t>
        </is>
      </c>
      <c r="D49" s="290" t="n"/>
      <c r="E49" s="291" t="n"/>
      <c r="F49" s="292" t="n"/>
      <c r="G49" s="221">
        <f>G15+G36</f>
        <v/>
      </c>
      <c r="H49" s="293" t="n"/>
      <c r="I49" s="221" t="n"/>
      <c r="J49" s="221">
        <f>J14*0.7+J35*0.7+J47</f>
        <v/>
      </c>
    </row>
    <row r="50" ht="14.25" customFormat="1" customHeight="1" s="239">
      <c r="A50" s="290" t="n"/>
      <c r="B50" s="290" t="n"/>
      <c r="C50" s="289" t="inlineStr">
        <is>
          <t>Накладные расходы</t>
        </is>
      </c>
      <c r="D50" s="132">
        <f>ROUND(G50/(G$17+$G$14),2)</f>
        <v/>
      </c>
      <c r="E50" s="291" t="n"/>
      <c r="F50" s="292" t="n"/>
      <c r="G50" s="221" t="n">
        <v>1314015.04</v>
      </c>
      <c r="H50" s="294" t="n"/>
      <c r="I50" s="221" t="n"/>
      <c r="J50" s="221">
        <f>ROUND(D50*(J14+J17),2)</f>
        <v/>
      </c>
    </row>
    <row r="51" ht="25.5" customFormat="1" customHeight="1" s="239">
      <c r="A51" s="290" t="n"/>
      <c r="B51" s="290" t="n"/>
      <c r="C51" s="289" t="inlineStr">
        <is>
          <t>Накладные расходы 
(с коэффициентом на демонтаж 0,7)</t>
        </is>
      </c>
      <c r="D51" s="190">
        <f>ROUND(G51/(G$18+$G$15),2)</f>
        <v/>
      </c>
      <c r="E51" s="291" t="n"/>
      <c r="F51" s="292" t="n"/>
      <c r="G51" s="221">
        <f>G50*0.7</f>
        <v/>
      </c>
      <c r="H51" s="294" t="n"/>
      <c r="I51" s="221" t="n"/>
      <c r="J51" s="221">
        <f>ROUND(D51*(J15+J18),2)</f>
        <v/>
      </c>
    </row>
    <row r="52" ht="14.25" customFormat="1" customHeight="1" s="239">
      <c r="A52" s="290" t="n"/>
      <c r="B52" s="290" t="n"/>
      <c r="C52" s="289" t="inlineStr">
        <is>
          <t>Сметная прибыль</t>
        </is>
      </c>
      <c r="D52" s="132">
        <f>ROUND(G52/(G$14+G$17),2)</f>
        <v/>
      </c>
      <c r="E52" s="291" t="n"/>
      <c r="F52" s="292" t="n"/>
      <c r="G52" s="221" t="n">
        <v>744433.27</v>
      </c>
      <c r="H52" s="294" t="n"/>
      <c r="I52" s="221" t="n"/>
      <c r="J52" s="221">
        <f>ROUND(D52*(J14+J17),2)</f>
        <v/>
      </c>
    </row>
    <row r="53" ht="25.5" customFormat="1" customHeight="1" s="239">
      <c r="A53" s="290" t="n"/>
      <c r="B53" s="290" t="n"/>
      <c r="C53" s="289" t="inlineStr">
        <is>
          <t>Сметная прибыль 
(с коэффициентом на демонтаж 0,7)</t>
        </is>
      </c>
      <c r="D53" s="190">
        <f>ROUND(G53/(G$15+G$18),2)</f>
        <v/>
      </c>
      <c r="E53" s="291" t="n"/>
      <c r="F53" s="292" t="n"/>
      <c r="G53" s="221">
        <f>G52*0.7</f>
        <v/>
      </c>
      <c r="H53" s="294" t="n"/>
      <c r="I53" s="221" t="n"/>
      <c r="J53" s="221">
        <f>ROUND(D53*(J15+J18),2)</f>
        <v/>
      </c>
    </row>
    <row r="54" ht="25.5" customFormat="1" customHeight="1" s="239">
      <c r="A54" s="290" t="n"/>
      <c r="B54" s="290" t="n"/>
      <c r="C54" s="289" t="inlineStr">
        <is>
          <t>Итого СМР (с НР и СП) 
(с коэффициентом на демонтаж 0,7)</t>
        </is>
      </c>
      <c r="D54" s="290" t="n"/>
      <c r="E54" s="291" t="n"/>
      <c r="F54" s="292" t="n"/>
      <c r="G54" s="221">
        <f>G49+G51+G53</f>
        <v/>
      </c>
      <c r="H54" s="294" t="n"/>
      <c r="I54" s="221" t="n"/>
      <c r="J54" s="221">
        <f>ROUND((J49+J51+J53),2)</f>
        <v/>
      </c>
    </row>
    <row r="55" ht="25.5" customFormat="1" customHeight="1" s="239">
      <c r="A55" s="290" t="n"/>
      <c r="B55" s="290" t="n"/>
      <c r="C55" s="289" t="inlineStr">
        <is>
          <t>ВСЕГО СМР + ОБОРУДОВАНИЕ 
(с коэффициентом на демонтаж 0,7)</t>
        </is>
      </c>
      <c r="D55" s="290" t="n"/>
      <c r="E55" s="291" t="n"/>
      <c r="F55" s="292" t="n"/>
      <c r="G55" s="221">
        <f>G54</f>
        <v/>
      </c>
      <c r="H55" s="294" t="n"/>
      <c r="I55" s="221" t="n"/>
      <c r="J55" s="221">
        <f>J54</f>
        <v/>
      </c>
    </row>
    <row r="56" ht="34.5" customFormat="1" customHeight="1" s="239">
      <c r="A56" s="290" t="n"/>
      <c r="B56" s="290" t="n"/>
      <c r="C56" s="289" t="inlineStr">
        <is>
          <t>ИТОГО ПОКАЗАТЕЛЬ НА ЕД. ИЗМ.</t>
        </is>
      </c>
      <c r="D56" s="290" t="inlineStr">
        <is>
          <t>1 км</t>
        </is>
      </c>
      <c r="E56" s="397" t="n">
        <v>104.21</v>
      </c>
      <c r="F56" s="292" t="n"/>
      <c r="G56" s="221">
        <f>G55/E56</f>
        <v/>
      </c>
      <c r="H56" s="294" t="n"/>
      <c r="I56" s="221" t="n"/>
      <c r="J56" s="187">
        <f>J55/E56</f>
        <v/>
      </c>
    </row>
    <row r="58" ht="14.25" customFormat="1" customHeight="1" s="239">
      <c r="A58" s="238" t="inlineStr">
        <is>
          <t>Составил ______________________     Д.А. Самуйленко</t>
        </is>
      </c>
    </row>
    <row r="59" ht="14.25" customFormat="1" customHeight="1" s="239">
      <c r="A59" s="241" t="inlineStr">
        <is>
          <t xml:space="preserve">                         (подпись, инициалы, фамилия)</t>
        </is>
      </c>
    </row>
    <row r="60" ht="14.25" customFormat="1" customHeight="1" s="239">
      <c r="A60" s="238" t="n"/>
    </row>
    <row r="61" ht="14.25" customFormat="1" customHeight="1" s="239">
      <c r="A61" s="238" t="inlineStr">
        <is>
          <t>Проверил ______________________        А.В. Костянецкая</t>
        </is>
      </c>
    </row>
    <row r="62" ht="14.25" customFormat="1" customHeight="1" s="239">
      <c r="A62" s="24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E9:E10"/>
    <mergeCell ref="A7:H7"/>
    <mergeCell ref="B16:H16"/>
    <mergeCell ref="B9:B10"/>
    <mergeCell ref="D9:D10"/>
    <mergeCell ref="B43:H43"/>
    <mergeCell ref="B12:H12"/>
    <mergeCell ref="D6:J6"/>
    <mergeCell ref="A8:H8"/>
    <mergeCell ref="F9:G9"/>
    <mergeCell ref="A9:A10"/>
    <mergeCell ref="B44:H44"/>
    <mergeCell ref="B38:H38"/>
    <mergeCell ref="B19:H19"/>
    <mergeCell ref="B37:H37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2" min="1" max="1"/>
    <col width="17.5703125" customWidth="1" style="242" min="2" max="2"/>
    <col width="39.140625" customWidth="1" style="242" min="3" max="3"/>
    <col width="10.7109375" customWidth="1" style="312" min="4" max="4"/>
    <col width="13.85546875" customWidth="1" style="242" min="5" max="5"/>
    <col width="13.28515625" customWidth="1" style="242" min="6" max="6"/>
    <col width="14.140625" customWidth="1" style="242" min="7" max="7"/>
  </cols>
  <sheetData>
    <row r="1">
      <c r="A1" s="305" t="inlineStr">
        <is>
          <t>Приложение №6</t>
        </is>
      </c>
    </row>
    <row r="2" ht="21.75" customHeight="1" s="242">
      <c r="A2" s="305" t="n"/>
      <c r="B2" s="305" t="n"/>
      <c r="C2" s="305" t="n"/>
      <c r="D2" s="314" t="n"/>
      <c r="E2" s="305" t="n"/>
      <c r="F2" s="305" t="n"/>
      <c r="G2" s="305" t="n"/>
    </row>
    <row r="3">
      <c r="A3" s="265" t="inlineStr">
        <is>
          <t>Расчет стоимости оборудования</t>
        </is>
      </c>
    </row>
    <row r="4" ht="25.5" customHeight="1" s="242">
      <c r="A4" s="268" t="inlineStr">
        <is>
          <t>Наименование разрабатываемого показателя УНЦ — Демонтаж ВЛ 330 кВ одна цепь</t>
        </is>
      </c>
    </row>
    <row r="5">
      <c r="A5" s="238" t="n"/>
      <c r="B5" s="238" t="n"/>
      <c r="C5" s="238" t="n"/>
      <c r="D5" s="314" t="n"/>
      <c r="E5" s="238" t="n"/>
      <c r="F5" s="238" t="n"/>
      <c r="G5" s="238" t="n"/>
    </row>
    <row r="6" ht="30" customHeight="1" s="242">
      <c r="A6" s="310" t="inlineStr">
        <is>
          <t>№ пп.</t>
        </is>
      </c>
      <c r="B6" s="310" t="inlineStr">
        <is>
          <t>Код ресурса</t>
        </is>
      </c>
      <c r="C6" s="310" t="inlineStr">
        <is>
          <t>Наименование</t>
        </is>
      </c>
      <c r="D6" s="310" t="inlineStr">
        <is>
          <t>Ед. изм.</t>
        </is>
      </c>
      <c r="E6" s="290" t="inlineStr">
        <is>
          <t>Кол-во единиц по проектным данным</t>
        </is>
      </c>
      <c r="F6" s="310" t="inlineStr">
        <is>
          <t>Сметная стоимость в ценах на 01.01.2000 (руб.)</t>
        </is>
      </c>
      <c r="G6" s="377" t="n"/>
    </row>
    <row r="7">
      <c r="A7" s="379" t="n"/>
      <c r="B7" s="379" t="n"/>
      <c r="C7" s="379" t="n"/>
      <c r="D7" s="379" t="n"/>
      <c r="E7" s="379" t="n"/>
      <c r="F7" s="290" t="inlineStr">
        <is>
          <t>на ед. изм.</t>
        </is>
      </c>
      <c r="G7" s="290" t="inlineStr">
        <is>
          <t>общая</t>
        </is>
      </c>
    </row>
    <row r="8">
      <c r="A8" s="290" t="n">
        <v>1</v>
      </c>
      <c r="B8" s="290" t="n">
        <v>2</v>
      </c>
      <c r="C8" s="290" t="n">
        <v>3</v>
      </c>
      <c r="D8" s="290" t="n">
        <v>4</v>
      </c>
      <c r="E8" s="290" t="n">
        <v>5</v>
      </c>
      <c r="F8" s="290" t="n">
        <v>6</v>
      </c>
      <c r="G8" s="290" t="n">
        <v>7</v>
      </c>
    </row>
    <row r="9" ht="15" customHeight="1" s="242">
      <c r="A9" s="24" t="n"/>
      <c r="B9" s="289" t="inlineStr">
        <is>
          <t>ИНЖЕНЕРНОЕ ОБОРУДОВАНИЕ</t>
        </is>
      </c>
      <c r="C9" s="376" t="n"/>
      <c r="D9" s="376" t="n"/>
      <c r="E9" s="376" t="n"/>
      <c r="F9" s="376" t="n"/>
      <c r="G9" s="377" t="n"/>
    </row>
    <row r="10" ht="27" customHeight="1" s="242">
      <c r="A10" s="290" t="n"/>
      <c r="B10" s="279" t="n"/>
      <c r="C10" s="289" t="inlineStr">
        <is>
          <t>ИТОГО ИНЖЕНЕРНОЕ ОБОРУДОВАНИЕ</t>
        </is>
      </c>
      <c r="D10" s="295" t="n"/>
      <c r="E10" s="103" t="n"/>
      <c r="F10" s="292" t="n"/>
      <c r="G10" s="292" t="n">
        <v>0</v>
      </c>
    </row>
    <row r="11">
      <c r="A11" s="290" t="n"/>
      <c r="B11" s="289" t="inlineStr">
        <is>
          <t>ТЕХНОЛОГИЧЕСКОЕ ОБОРУДОВАНИЕ</t>
        </is>
      </c>
      <c r="C11" s="376" t="n"/>
      <c r="D11" s="376" t="n"/>
      <c r="E11" s="376" t="n"/>
      <c r="F11" s="376" t="n"/>
      <c r="G11" s="377" t="n"/>
    </row>
    <row r="12" ht="25.5" customHeight="1" s="242">
      <c r="A12" s="290" t="n"/>
      <c r="B12" s="289" t="n"/>
      <c r="C12" s="289" t="inlineStr">
        <is>
          <t>ИТОГО ТЕХНОЛОГИЧЕСКОЕ ОБОРУДОВАНИЕ</t>
        </is>
      </c>
      <c r="D12" s="290" t="n"/>
      <c r="E12" s="309" t="n"/>
      <c r="F12" s="292" t="n"/>
      <c r="G12" s="221" t="n">
        <v>0</v>
      </c>
    </row>
    <row r="13" ht="19.5" customHeight="1" s="242">
      <c r="A13" s="290" t="n"/>
      <c r="B13" s="289" t="n"/>
      <c r="C13" s="289" t="inlineStr">
        <is>
          <t>Всего по разделу «Оборудование»</t>
        </is>
      </c>
      <c r="D13" s="290" t="n"/>
      <c r="E13" s="309" t="n"/>
      <c r="F13" s="292" t="n"/>
      <c r="G13" s="221">
        <f>G10+G12</f>
        <v/>
      </c>
    </row>
    <row r="14">
      <c r="A14" s="240" t="n"/>
      <c r="B14" s="104" t="n"/>
      <c r="C14" s="240" t="n"/>
      <c r="D14" s="155" t="n"/>
      <c r="E14" s="240" t="n"/>
      <c r="F14" s="240" t="n"/>
      <c r="G14" s="240" t="n"/>
    </row>
    <row r="15">
      <c r="A15" s="238" t="inlineStr">
        <is>
          <t>Составил ______________________    Д.А. Самуйленко</t>
        </is>
      </c>
      <c r="B15" s="239" t="n"/>
      <c r="C15" s="239" t="n"/>
      <c r="D15" s="155" t="n"/>
      <c r="E15" s="240" t="n"/>
      <c r="F15" s="240" t="n"/>
      <c r="G15" s="240" t="n"/>
    </row>
    <row r="16">
      <c r="A16" s="241" t="inlineStr">
        <is>
          <t xml:space="preserve">                         (подпись, инициалы, фамилия)</t>
        </is>
      </c>
      <c r="B16" s="239" t="n"/>
      <c r="C16" s="239" t="n"/>
      <c r="D16" s="155" t="n"/>
      <c r="E16" s="240" t="n"/>
      <c r="F16" s="240" t="n"/>
      <c r="G16" s="240" t="n"/>
    </row>
    <row r="17">
      <c r="A17" s="238" t="n"/>
      <c r="B17" s="239" t="n"/>
      <c r="C17" s="239" t="n"/>
      <c r="D17" s="155" t="n"/>
      <c r="E17" s="240" t="n"/>
      <c r="F17" s="240" t="n"/>
      <c r="G17" s="240" t="n"/>
    </row>
    <row r="18">
      <c r="A18" s="238" t="inlineStr">
        <is>
          <t>Проверил ______________________        А.В. Костянецкая</t>
        </is>
      </c>
      <c r="B18" s="239" t="n"/>
      <c r="C18" s="239" t="n"/>
      <c r="D18" s="155" t="n"/>
      <c r="E18" s="240" t="n"/>
      <c r="F18" s="240" t="n"/>
      <c r="G18" s="240" t="n"/>
    </row>
    <row r="19">
      <c r="A19" s="241" t="inlineStr">
        <is>
          <t xml:space="preserve">                        (подпись, инициалы, фамилия)</t>
        </is>
      </c>
      <c r="B19" s="239" t="n"/>
      <c r="C19" s="239" t="n"/>
      <c r="D19" s="155" t="n"/>
      <c r="E19" s="240" t="n"/>
      <c r="F19" s="240" t="n"/>
      <c r="G19" s="24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2" min="1" max="1"/>
    <col width="16.42578125" customWidth="1" style="242" min="2" max="2"/>
    <col width="37.140625" customWidth="1" style="242" min="3" max="3"/>
    <col width="49" customWidth="1" style="242" min="4" max="4"/>
    <col width="9.140625" customWidth="1" style="242" min="5" max="5"/>
  </cols>
  <sheetData>
    <row r="1" ht="15.75" customHeight="1" s="242">
      <c r="A1" s="244" t="n"/>
      <c r="B1" s="244" t="n"/>
      <c r="C1" s="244" t="n"/>
      <c r="D1" s="244" t="inlineStr">
        <is>
          <t>Приложение №7</t>
        </is>
      </c>
    </row>
    <row r="2" ht="15.75" customHeight="1" s="242">
      <c r="A2" s="244" t="n"/>
      <c r="B2" s="244" t="n"/>
      <c r="C2" s="244" t="n"/>
      <c r="D2" s="244" t="n"/>
    </row>
    <row r="3" ht="15.75" customHeight="1" s="242">
      <c r="A3" s="244" t="n"/>
      <c r="B3" s="232" t="inlineStr">
        <is>
          <t>Расчет показателя УНЦ</t>
        </is>
      </c>
      <c r="C3" s="244" t="n"/>
      <c r="D3" s="244" t="n"/>
    </row>
    <row r="4" ht="15.75" customHeight="1" s="242">
      <c r="A4" s="244" t="n"/>
      <c r="B4" s="244" t="n"/>
      <c r="C4" s="244" t="n"/>
      <c r="D4" s="244" t="n"/>
    </row>
    <row r="5" ht="15.75" customHeight="1" s="242">
      <c r="A5" s="311" t="inlineStr">
        <is>
          <t xml:space="preserve">Наименование разрабатываемого показателя УНЦ - </t>
        </is>
      </c>
      <c r="D5" s="311">
        <f>'Прил.5 Расчет СМР и ОБ'!D6:J6</f>
        <v/>
      </c>
    </row>
    <row r="6" ht="15.75" customHeight="1" s="242">
      <c r="A6" s="244" t="inlineStr">
        <is>
          <t>Единица измерения  — 1 км</t>
        </is>
      </c>
      <c r="B6" s="244" t="n"/>
      <c r="C6" s="244" t="n"/>
      <c r="D6" s="244" t="n"/>
    </row>
    <row r="7" ht="15.75" customHeight="1" s="242">
      <c r="A7" s="244" t="n"/>
      <c r="B7" s="244" t="n"/>
      <c r="C7" s="244" t="n"/>
      <c r="D7" s="244" t="n"/>
    </row>
    <row r="8">
      <c r="A8" s="277" t="inlineStr">
        <is>
          <t>Код показателя</t>
        </is>
      </c>
      <c r="B8" s="277" t="inlineStr">
        <is>
          <t>Наименование показателя</t>
        </is>
      </c>
      <c r="C8" s="277" t="inlineStr">
        <is>
          <t>Наименование РМ, входящих в состав показателя</t>
        </is>
      </c>
      <c r="D8" s="277" t="inlineStr">
        <is>
          <t>Норматив цены на 01.01.2023, тыс.руб.</t>
        </is>
      </c>
    </row>
    <row r="9">
      <c r="A9" s="379" t="n"/>
      <c r="B9" s="379" t="n"/>
      <c r="C9" s="379" t="n"/>
      <c r="D9" s="379" t="n"/>
    </row>
    <row r="10" ht="15.75" customHeight="1" s="242">
      <c r="A10" s="277" t="n">
        <v>1</v>
      </c>
      <c r="B10" s="277" t="n">
        <v>2</v>
      </c>
      <c r="C10" s="277" t="n">
        <v>3</v>
      </c>
      <c r="D10" s="277" t="n">
        <v>4</v>
      </c>
    </row>
    <row r="11" ht="47.25" customHeight="1" s="242">
      <c r="A11" s="277" t="inlineStr">
        <is>
          <t>М2-06-1</t>
        </is>
      </c>
      <c r="B11" s="277" t="inlineStr">
        <is>
          <t>УНЦ на демонтаж ВЛ 0,4-750 кВ</t>
        </is>
      </c>
      <c r="C11" s="236">
        <f>D5</f>
        <v/>
      </c>
      <c r="D11" s="250">
        <f>'Прил.4 РМ'!C41/1000</f>
        <v/>
      </c>
    </row>
    <row r="13">
      <c r="A13" s="238" t="inlineStr">
        <is>
          <t>Составил ______________________     Д.А. Самуйленко</t>
        </is>
      </c>
      <c r="B13" s="239" t="n"/>
      <c r="C13" s="239" t="n"/>
      <c r="D13" s="240" t="n"/>
    </row>
    <row r="14">
      <c r="A14" s="241" t="inlineStr">
        <is>
          <t xml:space="preserve">                         (подпись, инициалы, фамилия)</t>
        </is>
      </c>
      <c r="B14" s="239" t="n"/>
      <c r="C14" s="239" t="n"/>
      <c r="D14" s="240" t="n"/>
    </row>
    <row r="15">
      <c r="A15" s="238" t="n"/>
      <c r="B15" s="239" t="n"/>
      <c r="C15" s="239" t="n"/>
      <c r="D15" s="240" t="n"/>
    </row>
    <row r="16">
      <c r="A16" s="238" t="inlineStr">
        <is>
          <t>Проверил ______________________        А.В. Костянецкая</t>
        </is>
      </c>
      <c r="B16" s="239" t="n"/>
      <c r="C16" s="239" t="n"/>
      <c r="D16" s="240" t="n"/>
    </row>
    <row r="17">
      <c r="A17" s="241" t="inlineStr">
        <is>
          <t xml:space="preserve">                        (подпись, инициалы, фамилия)</t>
        </is>
      </c>
      <c r="B17" s="239" t="n"/>
      <c r="C17" s="239" t="n"/>
      <c r="D17" s="24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2" min="2" max="2"/>
    <col width="37" customWidth="1" style="242" min="3" max="3"/>
    <col width="32" customWidth="1" style="242" min="4" max="4"/>
  </cols>
  <sheetData>
    <row r="4" ht="15.75" customHeight="1" s="242">
      <c r="B4" s="272" t="inlineStr">
        <is>
          <t>Приложение № 10</t>
        </is>
      </c>
    </row>
    <row r="5" ht="18.75" customHeight="1" s="242">
      <c r="B5" s="117" t="n"/>
    </row>
    <row r="6" ht="15.75" customHeight="1" s="242">
      <c r="B6" s="273" t="inlineStr">
        <is>
          <t>Используемые индексы изменений сметной стоимости и нормы сопутствующих затрат</t>
        </is>
      </c>
    </row>
    <row r="7">
      <c r="B7" s="312" t="n"/>
    </row>
    <row r="8">
      <c r="B8" s="312" t="n"/>
      <c r="C8" s="312" t="n"/>
      <c r="D8" s="312" t="n"/>
      <c r="E8" s="312" t="n"/>
    </row>
    <row r="9" ht="47.25" customHeight="1" s="242">
      <c r="B9" s="277" t="inlineStr">
        <is>
          <t>Наименование индекса / норм сопутствующих затрат</t>
        </is>
      </c>
      <c r="C9" s="277" t="inlineStr">
        <is>
          <t>Дата применения и обоснование индекса / норм сопутствующих затрат</t>
        </is>
      </c>
      <c r="D9" s="277" t="inlineStr">
        <is>
          <t>Размер индекса / норма сопутствующих затрат</t>
        </is>
      </c>
    </row>
    <row r="10" ht="15.75" customHeight="1" s="242">
      <c r="B10" s="277" t="n">
        <v>1</v>
      </c>
      <c r="C10" s="277" t="n">
        <v>2</v>
      </c>
      <c r="D10" s="277" t="n">
        <v>3</v>
      </c>
    </row>
    <row r="11" ht="45" customHeight="1" s="242">
      <c r="B11" s="277" t="inlineStr">
        <is>
          <t xml:space="preserve">Индекс изменения сметной стоимости на 1 квартал 2023 года. ОЗП </t>
        </is>
      </c>
      <c r="C11" s="277" t="inlineStr">
        <is>
          <t>Письмо Минстроя России от 30.03.2023г. №17106-ИФ/09  прил.1</t>
        </is>
      </c>
      <c r="D11" s="277" t="n">
        <v>46.83</v>
      </c>
    </row>
    <row r="12" ht="29.25" customHeight="1" s="242">
      <c r="B12" s="277" t="inlineStr">
        <is>
          <t>Индекс изменения сметной стоимости на 1 квартал 2023 года. ЭМ</t>
        </is>
      </c>
      <c r="C12" s="277" t="inlineStr">
        <is>
          <t>Письмо Минстроя России от 30.03.2023г. №17106-ИФ/09  прил.1</t>
        </is>
      </c>
      <c r="D12" s="277" t="n">
        <v>11.79</v>
      </c>
    </row>
    <row r="13" ht="29.25" customHeight="1" s="242">
      <c r="B13" s="277" t="inlineStr">
        <is>
          <t>Индекс изменения сметной стоимости на 1 квартал 2023 года. МАТ</t>
        </is>
      </c>
      <c r="C13" s="277" t="inlineStr">
        <is>
          <t>Письмо Минстроя России от 30.03.2023г. №17106-ИФ/09  прил.1</t>
        </is>
      </c>
      <c r="D13" s="277" t="n">
        <v>9.140000000000001</v>
      </c>
    </row>
    <row r="14" ht="30.75" customHeight="1" s="242">
      <c r="B14" s="277" t="inlineStr">
        <is>
          <t>Индекс изменения сметной стоимости на 1 квартал 2023 года. ОБ</t>
        </is>
      </c>
      <c r="C14" s="213" t="inlineStr">
        <is>
          <t>Письмо Минстроя России от 23.02.2023г. №9791-ИФ/09 прил.6</t>
        </is>
      </c>
      <c r="D14" s="277" t="n">
        <v>6.26</v>
      </c>
    </row>
    <row r="15" ht="89.25" customHeight="1" s="242">
      <c r="B15" s="277" t="inlineStr">
        <is>
          <t>Временные здания и сооружения</t>
        </is>
      </c>
      <c r="C15" s="27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42">
      <c r="B16" s="277" t="inlineStr">
        <is>
          <t>Дополнительные затраты при производстве строительно-монтажных работ в зимнее время</t>
        </is>
      </c>
      <c r="C16" s="27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42">
      <c r="B17" s="277" t="inlineStr">
        <is>
          <t>Строительный контроль</t>
        </is>
      </c>
      <c r="C17" s="277" t="inlineStr">
        <is>
          <t>Постановление Правительства РФ от 21.06.10 г. № 468</t>
        </is>
      </c>
      <c r="D17" s="119" t="n">
        <v>0.0181</v>
      </c>
    </row>
    <row r="18" ht="31.5" customHeight="1" s="242">
      <c r="B18" s="277" t="inlineStr">
        <is>
          <t>Авторский надзор - 0,2%</t>
        </is>
      </c>
      <c r="C18" s="277" t="inlineStr">
        <is>
          <t>Приказ от 4.08.2020 № 421/пр п.173</t>
        </is>
      </c>
      <c r="D18" s="119" t="n">
        <v>0.002</v>
      </c>
    </row>
    <row r="19" ht="24" customHeight="1" s="242">
      <c r="B19" s="277" t="inlineStr">
        <is>
          <t>Непредвиденные расходы</t>
        </is>
      </c>
      <c r="C19" s="277" t="inlineStr">
        <is>
          <t>Приказ от 4.08.2020 № 421/пр п.179</t>
        </is>
      </c>
      <c r="D19" s="119" t="n">
        <v>0.03</v>
      </c>
    </row>
    <row r="20" ht="18.75" customHeight="1" s="242">
      <c r="B20" s="118" t="n"/>
    </row>
    <row r="21" ht="18.75" customHeight="1" s="242">
      <c r="B21" s="118" t="n"/>
    </row>
    <row r="22" ht="18.75" customHeight="1" s="242">
      <c r="B22" s="118" t="n"/>
    </row>
    <row r="23" ht="18.75" customHeight="1" s="242">
      <c r="B23" s="118" t="n"/>
    </row>
    <row r="26">
      <c r="B26" s="238" t="inlineStr">
        <is>
          <t>Составил ______________________        Д.А. Самуйленко</t>
        </is>
      </c>
      <c r="C26" s="239" t="n"/>
    </row>
    <row r="27">
      <c r="B27" s="241" t="inlineStr">
        <is>
          <t xml:space="preserve">                         (подпись, инициалы, фамилия)</t>
        </is>
      </c>
      <c r="C27" s="239" t="n"/>
    </row>
    <row r="28">
      <c r="B28" s="238" t="n"/>
      <c r="C28" s="239" t="n"/>
    </row>
    <row r="29">
      <c r="B29" s="238" t="inlineStr">
        <is>
          <t>Проверил ______________________        А.В. Костянецкая</t>
        </is>
      </c>
      <c r="C29" s="239" t="n"/>
    </row>
    <row r="30">
      <c r="B30" s="241" t="inlineStr">
        <is>
          <t xml:space="preserve">                        (подпись, инициалы, фамилия)</t>
        </is>
      </c>
      <c r="C30" s="2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2" min="2" max="2"/>
    <col width="13" customWidth="1" style="242" min="3" max="3"/>
    <col width="22.85546875" customWidth="1" style="242" min="4" max="4"/>
    <col width="21.5703125" customWidth="1" style="242" min="5" max="5"/>
    <col width="43.85546875" customWidth="1" style="242" min="6" max="6"/>
  </cols>
  <sheetData>
    <row r="1" s="242"/>
    <row r="2" ht="17.25" customHeight="1" s="242">
      <c r="A2" s="273" t="inlineStr">
        <is>
          <t>Расчет размера средств на оплату труда рабочих-строителей в текущем уровне цен (ФОТр.тек.)</t>
        </is>
      </c>
    </row>
    <row r="3" s="242"/>
    <row r="4" ht="18" customHeight="1" s="242">
      <c r="A4" s="243" t="inlineStr">
        <is>
          <t>Составлен в уровне цен на 01.01.2023 г.</t>
        </is>
      </c>
      <c r="B4" s="244" t="n"/>
      <c r="C4" s="244" t="n"/>
      <c r="D4" s="244" t="n"/>
      <c r="E4" s="244" t="n"/>
      <c r="F4" s="244" t="n"/>
      <c r="G4" s="244" t="n"/>
    </row>
    <row r="5" ht="15.75" customHeight="1" s="242">
      <c r="A5" s="245" t="inlineStr">
        <is>
          <t>№ пп.</t>
        </is>
      </c>
      <c r="B5" s="245" t="inlineStr">
        <is>
          <t>Наименование элемента</t>
        </is>
      </c>
      <c r="C5" s="245" t="inlineStr">
        <is>
          <t>Обозначение</t>
        </is>
      </c>
      <c r="D5" s="245" t="inlineStr">
        <is>
          <t>Формула</t>
        </is>
      </c>
      <c r="E5" s="245" t="inlineStr">
        <is>
          <t>Величина элемента</t>
        </is>
      </c>
      <c r="F5" s="245" t="inlineStr">
        <is>
          <t>Наименования обосновывающих документов</t>
        </is>
      </c>
      <c r="G5" s="244" t="n"/>
    </row>
    <row r="6" ht="15.75" customHeight="1" s="242">
      <c r="A6" s="245" t="n">
        <v>1</v>
      </c>
      <c r="B6" s="245" t="n">
        <v>2</v>
      </c>
      <c r="C6" s="245" t="n">
        <v>3</v>
      </c>
      <c r="D6" s="245" t="n">
        <v>4</v>
      </c>
      <c r="E6" s="245" t="n">
        <v>5</v>
      </c>
      <c r="F6" s="245" t="n">
        <v>6</v>
      </c>
      <c r="G6" s="244" t="n"/>
    </row>
    <row r="7" ht="110.25" customHeight="1" s="242">
      <c r="A7" s="246" t="inlineStr">
        <is>
          <t>1.1</t>
        </is>
      </c>
      <c r="B7" s="2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7" t="inlineStr">
        <is>
          <t>С1ср</t>
        </is>
      </c>
      <c r="D7" s="277" t="inlineStr">
        <is>
          <t>-</t>
        </is>
      </c>
      <c r="E7" s="249" t="n">
        <v>47872.94</v>
      </c>
      <c r="F7" s="2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4" t="n"/>
    </row>
    <row r="8" ht="31.5" customHeight="1" s="242">
      <c r="A8" s="246" t="inlineStr">
        <is>
          <t>1.2</t>
        </is>
      </c>
      <c r="B8" s="251" t="inlineStr">
        <is>
          <t>Среднегодовое нормативное число часов работы одного рабочего в месяц, часы (ч.)</t>
        </is>
      </c>
      <c r="C8" s="277" t="inlineStr">
        <is>
          <t>tср</t>
        </is>
      </c>
      <c r="D8" s="277" t="inlineStr">
        <is>
          <t>1973ч/12мес.</t>
        </is>
      </c>
      <c r="E8" s="250">
        <f>1973/12</f>
        <v/>
      </c>
      <c r="F8" s="251" t="inlineStr">
        <is>
          <t>Производственный календарь 2023 год
(40-часов.неделя)</t>
        </is>
      </c>
      <c r="G8" s="253" t="n"/>
    </row>
    <row r="9" ht="15.75" customHeight="1" s="242">
      <c r="A9" s="246" t="inlineStr">
        <is>
          <t>1.3</t>
        </is>
      </c>
      <c r="B9" s="251" t="inlineStr">
        <is>
          <t>Коэффициент увеличения</t>
        </is>
      </c>
      <c r="C9" s="277" t="inlineStr">
        <is>
          <t>Кув</t>
        </is>
      </c>
      <c r="D9" s="277" t="inlineStr">
        <is>
          <t>-</t>
        </is>
      </c>
      <c r="E9" s="250" t="n">
        <v>1</v>
      </c>
      <c r="F9" s="251" t="n"/>
      <c r="G9" s="253" t="n"/>
    </row>
    <row r="10" ht="15.75" customHeight="1" s="242">
      <c r="A10" s="246" t="inlineStr">
        <is>
          <t>1.4</t>
        </is>
      </c>
      <c r="B10" s="251" t="inlineStr">
        <is>
          <t>Средний разряд работ</t>
        </is>
      </c>
      <c r="C10" s="277" t="n"/>
      <c r="D10" s="277" t="n"/>
      <c r="E10" s="398" t="n">
        <v>4.1</v>
      </c>
      <c r="F10" s="251" t="inlineStr">
        <is>
          <t>РТМ</t>
        </is>
      </c>
      <c r="G10" s="253" t="n"/>
    </row>
    <row r="11" ht="78.75" customHeight="1" s="242">
      <c r="A11" s="246" t="inlineStr">
        <is>
          <t>1.5</t>
        </is>
      </c>
      <c r="B11" s="251" t="inlineStr">
        <is>
          <t>Тарифный коэффициент среднего разряда работ</t>
        </is>
      </c>
      <c r="C11" s="277" t="inlineStr">
        <is>
          <t>КТ</t>
        </is>
      </c>
      <c r="D11" s="277" t="inlineStr">
        <is>
          <t>-</t>
        </is>
      </c>
      <c r="E11" s="380" t="n">
        <v>1.359</v>
      </c>
      <c r="F11" s="2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4" t="n"/>
    </row>
    <row r="12" ht="78.75" customHeight="1" s="242">
      <c r="A12" s="256" t="inlineStr">
        <is>
          <t>1.6</t>
        </is>
      </c>
      <c r="B12" s="361" t="inlineStr">
        <is>
          <t>Коэффициент инфляции, определяемый поквартально</t>
        </is>
      </c>
      <c r="C12" s="257" t="inlineStr">
        <is>
          <t>Кинф</t>
        </is>
      </c>
      <c r="D12" s="257" t="inlineStr">
        <is>
          <t>-</t>
        </is>
      </c>
      <c r="E12" s="399" t="n">
        <v>1.139</v>
      </c>
      <c r="F12" s="36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3" t="n"/>
    </row>
    <row r="13" ht="63" customHeight="1" s="242">
      <c r="A13" s="370" t="inlineStr">
        <is>
          <t>1.7</t>
        </is>
      </c>
      <c r="B13" s="371" t="inlineStr">
        <is>
          <t>Размер средств на оплату труда рабочих-строителей в текущем уровне цен (ФОТр.тек.), руб/чел.-ч</t>
        </is>
      </c>
      <c r="C13" s="372" t="inlineStr">
        <is>
          <t>ФОТр.тек.</t>
        </is>
      </c>
      <c r="D13" s="372" t="inlineStr">
        <is>
          <t>(С1ср/tср*КТ*Т*Кув)*Кинф</t>
        </is>
      </c>
      <c r="E13" s="373">
        <f>((E7*E9/E8)*E11)*E12</f>
        <v/>
      </c>
      <c r="F13" s="3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2025-01-24T12:11:00Z</dcterms:modified>
  <cp:lastModifiedBy>Nikolay Ivanov</cp:lastModifiedBy>
  <cp:lastPrinted>2023-11-28T13:16:45Z</cp:lastPrinted>
</cp:coreProperties>
</file>