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табл'!$B$3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#REF!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#REF!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#REF!</definedName>
    <definedName name="ЭКСПОФОРУМ" localSheetId="0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#REF!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#REF!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#REF!</definedName>
    <definedName name="ЭКСПОФОРУМ" localSheetId="1">#REF!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2" fontId="0" fillId="0" borderId="0" pivotButton="0" quotePrefix="0" xfId="0"/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left" vertical="center" wrapText="1"/>
    </xf>
    <xf numFmtId="170" fontId="16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7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49" fontId="16" fillId="0" borderId="1" applyAlignment="1" pivotButton="0" quotePrefix="0" xfId="0">
      <alignment horizontal="left" vertical="center" wrapText="1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9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 wrapText="1"/>
    </xf>
    <xf numFmtId="170" fontId="19" fillId="0" borderId="2" applyAlignment="1" pivotButton="0" quotePrefix="0" xfId="0">
      <alignment horizontal="center" vertical="center" wrapText="1"/>
    </xf>
    <xf numFmtId="170" fontId="19" fillId="0" borderId="7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4" fontId="16" fillId="0" borderId="2" applyAlignment="1" pivotButton="0" quotePrefix="0" xfId="0">
      <alignment horizontal="center" vertical="center"/>
    </xf>
    <xf numFmtId="4" fontId="16" fillId="0" borderId="7" applyAlignment="1" pivotButton="0" quotePrefix="0" xfId="0">
      <alignment horizontal="center" vertical="center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0" fontId="0" fillId="0" borderId="3" pivotButton="0" quotePrefix="0" xfId="0"/>
    <xf numFmtId="0" fontId="16" fillId="0" borderId="9" applyAlignment="1" pivotButton="0" quotePrefix="0" xfId="0">
      <alignment vertical="center" wrapText="1"/>
    </xf>
    <xf numFmtId="0" fontId="16" fillId="0" borderId="10" applyAlignment="1" pivotButton="0" quotePrefix="0" xfId="0">
      <alignment vertical="center"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170" fontId="1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9" fillId="0" borderId="1" applyAlignment="1" pivotButton="0" quotePrefix="0" xfId="0">
      <alignment vertical="center" wrapText="1"/>
    </xf>
    <xf numFmtId="170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  <xf numFmtId="170" fontId="16" fillId="0" borderId="5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K31"/>
  <sheetViews>
    <sheetView view="pageBreakPreview" topLeftCell="A19" zoomScale="60" zoomScaleNormal="70" workbookViewId="0">
      <selection activeCell="C28" sqref="C28"/>
    </sheetView>
  </sheetViews>
  <sheetFormatPr baseColWidth="8" defaultRowHeight="15"/>
  <cols>
    <col width="9.140625" customWidth="1" style="242" min="1" max="2"/>
    <col width="36.85546875" customWidth="1" style="242" min="3" max="3"/>
    <col width="39.42578125" customWidth="1" style="242" min="4" max="4"/>
    <col width="9.140625" customWidth="1" style="242" min="5" max="6"/>
    <col width="14.28515625" customWidth="1" style="242" min="7" max="7"/>
    <col width="9.140625" customWidth="1" style="242" min="8" max="9"/>
    <col width="15" customWidth="1" style="242" min="10" max="10"/>
    <col width="9.140625" customWidth="1" style="242" min="11" max="11"/>
  </cols>
  <sheetData>
    <row r="2" ht="15.75" customHeight="1" s="242">
      <c r="B2" s="283" t="inlineStr">
        <is>
          <t>Приложение № 1</t>
        </is>
      </c>
    </row>
    <row r="3" ht="18.75" customHeight="1" s="242">
      <c r="B3" s="284" t="inlineStr">
        <is>
          <t>Сравнительная таблица отбора объекта-представителя</t>
        </is>
      </c>
    </row>
    <row r="4" ht="84" customHeight="1" s="242">
      <c r="B4" s="28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42">
      <c r="B5" s="214" t="n"/>
      <c r="C5" s="214" t="n"/>
      <c r="D5" s="214" t="n"/>
    </row>
    <row r="6" ht="32.25" customHeight="1" s="242">
      <c r="B6" s="287" t="inlineStr">
        <is>
          <t>Наименование разрабатываемого показателя УНЦ - Демонтаж ОКГТ механическая прочность на разрыв 83кН, количество волокон 24 шт.</t>
        </is>
      </c>
    </row>
    <row r="7" ht="15.75" customHeight="1" s="242">
      <c r="A7" s="244" t="n"/>
      <c r="B7" s="223" t="inlineStr">
        <is>
          <t xml:space="preserve">Сопоставимый уровень цен: </t>
        </is>
      </c>
      <c r="C7" s="223" t="n"/>
      <c r="D7" s="223">
        <f>D21</f>
        <v/>
      </c>
      <c r="E7" s="223" t="n"/>
      <c r="F7" s="223" t="n"/>
      <c r="G7" s="244" t="n"/>
      <c r="H7" s="244" t="n"/>
      <c r="I7" s="244" t="n"/>
      <c r="J7" s="244" t="n"/>
      <c r="K7" s="244" t="n"/>
    </row>
    <row r="8" ht="15.75" customHeight="1" s="242">
      <c r="B8" s="286" t="inlineStr">
        <is>
          <t>Единица измерения  — 1 ед</t>
        </is>
      </c>
    </row>
    <row r="9" ht="18.75" customHeight="1" s="242">
      <c r="B9" s="215" t="n"/>
    </row>
    <row r="10" ht="15.75" customHeight="1" s="242">
      <c r="B10" s="292" t="inlineStr">
        <is>
          <t>№ п/п</t>
        </is>
      </c>
      <c r="C10" s="292" t="inlineStr">
        <is>
          <t>Параметр</t>
        </is>
      </c>
      <c r="D10" s="217" t="inlineStr">
        <is>
          <t>Объект-представитель</t>
        </is>
      </c>
    </row>
    <row r="11" ht="90" customHeight="1" s="242">
      <c r="B11" s="292" t="n">
        <v>1</v>
      </c>
      <c r="C11" s="302" t="inlineStr">
        <is>
          <t>Наименование объекта-представителя</t>
        </is>
      </c>
      <c r="D11" s="292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</row>
    <row r="12" ht="31.5" customHeight="1" s="242">
      <c r="B12" s="292" t="n">
        <v>2</v>
      </c>
      <c r="C12" s="302" t="inlineStr">
        <is>
          <t>Наименование субъекта Российской Федерации</t>
        </is>
      </c>
      <c r="D12" s="292" t="inlineStr">
        <is>
          <t>Иркутская область</t>
        </is>
      </c>
    </row>
    <row r="13" ht="15.75" customHeight="1" s="242">
      <c r="B13" s="292" t="n">
        <v>3</v>
      </c>
      <c r="C13" s="302" t="inlineStr">
        <is>
          <t>Климатический район и подрайон</t>
        </is>
      </c>
      <c r="D13" s="292" t="inlineStr">
        <is>
          <t>IА</t>
        </is>
      </c>
    </row>
    <row r="14" ht="15.75" customHeight="1" s="242">
      <c r="B14" s="292" t="n">
        <v>4</v>
      </c>
      <c r="C14" s="302" t="inlineStr">
        <is>
          <t>Мощность объекта</t>
        </is>
      </c>
      <c r="D14" s="292" t="n">
        <v>90</v>
      </c>
    </row>
    <row r="15" ht="94.5" customHeight="1" s="242">
      <c r="B15" s="292" t="n">
        <v>5</v>
      </c>
      <c r="C15" s="2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92" t="inlineStr">
        <is>
          <t>Демонтаж ОКГТ</t>
        </is>
      </c>
    </row>
    <row r="16" ht="78.75" customHeight="1" s="242">
      <c r="B16" s="292" t="n">
        <v>6</v>
      </c>
      <c r="C16" s="2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89">
        <f>D17+D18</f>
        <v/>
      </c>
    </row>
    <row r="17" ht="15.75" customHeight="1" s="242">
      <c r="B17" s="221" t="inlineStr">
        <is>
          <t>6.1</t>
        </is>
      </c>
      <c r="C17" s="302" t="inlineStr">
        <is>
          <t>строительно-монтажные работы</t>
        </is>
      </c>
      <c r="D17" s="389">
        <f>'Прил.2 Расч стоим'!F14</f>
        <v/>
      </c>
    </row>
    <row r="18" ht="15.75" customHeight="1" s="242">
      <c r="B18" s="221" t="inlineStr">
        <is>
          <t>6.2</t>
        </is>
      </c>
      <c r="C18" s="302" t="inlineStr">
        <is>
          <t>оборудование и инвентарь</t>
        </is>
      </c>
      <c r="D18" s="389" t="n">
        <v>0</v>
      </c>
    </row>
    <row r="19" ht="15.75" customHeight="1" s="242">
      <c r="B19" s="221" t="inlineStr">
        <is>
          <t>6.3</t>
        </is>
      </c>
      <c r="C19" s="302" t="inlineStr">
        <is>
          <t>пусконаладочные работы</t>
        </is>
      </c>
      <c r="D19" s="389" t="n"/>
    </row>
    <row r="20" ht="31.5" customHeight="1" s="242">
      <c r="B20" s="221" t="inlineStr">
        <is>
          <t>6.4</t>
        </is>
      </c>
      <c r="C20" s="302" t="inlineStr">
        <is>
          <t>прочие и лимитированные затраты</t>
        </is>
      </c>
      <c r="D20" s="269" t="n"/>
    </row>
    <row r="21" ht="15.75" customHeight="1" s="242">
      <c r="B21" s="292" t="n">
        <v>7</v>
      </c>
      <c r="C21" s="302" t="inlineStr">
        <is>
          <t>Сопоставимый уровень цен</t>
        </is>
      </c>
      <c r="D21" s="292" t="inlineStr">
        <is>
          <t>2 квартал 2022</t>
        </is>
      </c>
      <c r="G21" s="222" t="n"/>
    </row>
    <row r="22" ht="110.25" customHeight="1" s="242">
      <c r="B22" s="292" t="n">
        <v>8</v>
      </c>
      <c r="C22" s="2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89">
        <f>D16</f>
        <v/>
      </c>
    </row>
    <row r="23" ht="47.25" customHeight="1" s="242">
      <c r="B23" s="292" t="n">
        <v>9</v>
      </c>
      <c r="C23" s="219" t="inlineStr">
        <is>
          <t>Приведенная сметная стоимость на единицу мощности, тыс. руб. (строка 8/строку 4)</t>
        </is>
      </c>
      <c r="D23" s="389">
        <f>D16/D14</f>
        <v/>
      </c>
      <c r="G23" s="222" t="n"/>
    </row>
    <row r="24" ht="110.25" customHeight="1" s="242">
      <c r="B24" s="292" t="n">
        <v>10</v>
      </c>
      <c r="C24" s="302" t="inlineStr">
        <is>
          <t>Примечание</t>
        </is>
      </c>
      <c r="D24" s="302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15.75" customHeight="1" s="242">
      <c r="B25" s="223" t="n"/>
      <c r="C25" s="224" t="n"/>
      <c r="D25" s="224" t="n"/>
    </row>
    <row r="26">
      <c r="B26" s="238" t="inlineStr">
        <is>
          <t>Составил ______________________        Е. М. Добровольская</t>
        </is>
      </c>
      <c r="C26" s="239" t="n"/>
    </row>
    <row r="27">
      <c r="B27" s="241" t="inlineStr">
        <is>
          <t xml:space="preserve">                         (подпись, инициалы, фамилия)</t>
        </is>
      </c>
      <c r="C27" s="239" t="n"/>
    </row>
    <row r="28">
      <c r="B28" s="238" t="n"/>
      <c r="C28" s="239" t="n"/>
    </row>
    <row r="29">
      <c r="B29" s="238" t="inlineStr">
        <is>
          <t>Проверил ______________________        А.В. Костянецкая</t>
        </is>
      </c>
      <c r="C29" s="239" t="n"/>
    </row>
    <row r="30">
      <c r="B30" s="241" t="inlineStr">
        <is>
          <t xml:space="preserve">                        (подпись, инициалы, фамилия)</t>
        </is>
      </c>
      <c r="C30" s="239" t="n"/>
    </row>
    <row r="31" ht="15.75" customHeight="1" s="242">
      <c r="B31" s="224" t="n"/>
      <c r="C31" s="224" t="n"/>
      <c r="D31" s="224" t="n"/>
    </row>
  </sheetData>
  <mergeCells count="5">
    <mergeCell ref="B3:D3"/>
    <mergeCell ref="B8:D8"/>
    <mergeCell ref="B4:D4"/>
    <mergeCell ref="B6:D6"/>
    <mergeCell ref="B2:D2"/>
  </mergeCells>
  <pageMargins left="0.7" right="0.7" top="0.75" bottom="0.75" header="0.3" footer="0.3"/>
  <pageSetup orientation="portrait" paperSize="9" scale="9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zoomScale="85" zoomScaleNormal="85" workbookViewId="0">
      <selection activeCell="C18" sqref="C18"/>
    </sheetView>
  </sheetViews>
  <sheetFormatPr baseColWidth="8" defaultRowHeight="15"/>
  <cols>
    <col width="5.5703125" customWidth="1" style="242" min="1" max="1"/>
    <col width="9.140625" customWidth="1" style="242" min="2" max="2"/>
    <col width="44.85546875" customWidth="1" style="242" min="3" max="3"/>
    <col width="13.85546875" customWidth="1" style="242" min="4" max="4"/>
    <col width="17.42578125" customWidth="1" style="242" min="5" max="5"/>
    <col width="12.7109375" customWidth="1" style="242" min="6" max="6"/>
    <col width="14.85546875" customWidth="1" style="242" min="7" max="7"/>
    <col width="16.7109375" customWidth="1" style="242" min="8" max="8"/>
    <col width="13" customWidth="1" style="242" min="9" max="10"/>
    <col width="18" customWidth="1" style="242" min="11" max="11"/>
    <col width="9.140625" customWidth="1" style="242" min="12" max="12"/>
  </cols>
  <sheetData>
    <row r="3" ht="15.75" customHeight="1" s="242">
      <c r="B3" s="283" t="inlineStr">
        <is>
          <t>Приложение № 2</t>
        </is>
      </c>
    </row>
    <row r="4" ht="15.75" customHeight="1" s="242">
      <c r="B4" s="290" t="inlineStr">
        <is>
          <t>Расчет стоимости основных видов работ для выбора объекта-представителя</t>
        </is>
      </c>
    </row>
    <row r="5" ht="15.75" customHeight="1" s="242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 ht="15.75" customHeight="1" s="242">
      <c r="B6" s="291" t="inlineStr">
        <is>
          <t xml:space="preserve">Наименование разрабатываемого показателя УНЦ - </t>
        </is>
      </c>
      <c r="D6" s="223" t="inlineStr">
        <is>
          <t>Демонтаж ОКГТ механическая прочность на разрыв 83кН, количество волокон 24 шт.</t>
        </is>
      </c>
      <c r="E6" s="223" t="n"/>
      <c r="F6" s="223" t="n"/>
      <c r="G6" s="223" t="n"/>
      <c r="H6" s="223" t="n"/>
      <c r="I6" s="223" t="n"/>
      <c r="J6" s="223" t="n"/>
      <c r="K6" s="223" t="n"/>
    </row>
    <row r="7" ht="15.75" customHeight="1" s="242">
      <c r="B7" s="286" t="inlineStr">
        <is>
          <t>Единица измерения  — 1 ед</t>
        </is>
      </c>
    </row>
    <row r="8" ht="18.75" customHeight="1" s="242">
      <c r="B8" s="215" t="n"/>
    </row>
    <row r="9" ht="15.75" customHeight="1" s="242">
      <c r="B9" s="292" t="inlineStr">
        <is>
          <t>№ п/п</t>
        </is>
      </c>
      <c r="C9" s="29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92" t="inlineStr">
        <is>
          <t>Объект-представитель 1</t>
        </is>
      </c>
      <c r="E9" s="390" t="n"/>
      <c r="F9" s="390" t="n"/>
      <c r="G9" s="390" t="n"/>
      <c r="H9" s="390" t="n"/>
      <c r="I9" s="390" t="n"/>
      <c r="J9" s="391" t="n"/>
    </row>
    <row r="10" ht="15.75" customHeight="1" s="242">
      <c r="B10" s="392" t="n"/>
      <c r="C10" s="392" t="n"/>
      <c r="D10" s="292" t="inlineStr">
        <is>
          <t>Номер сметы</t>
        </is>
      </c>
      <c r="E10" s="292" t="inlineStr">
        <is>
          <t>Наименование сметы</t>
        </is>
      </c>
      <c r="F10" s="292" t="inlineStr">
        <is>
          <t>Сметная стоимость в уровне цен 2 кв. 2022 г., тыс. руб.</t>
        </is>
      </c>
      <c r="G10" s="390" t="n"/>
      <c r="H10" s="390" t="n"/>
      <c r="I10" s="390" t="n"/>
      <c r="J10" s="391" t="n"/>
    </row>
    <row r="11" ht="58.5" customHeight="1" s="242">
      <c r="B11" s="393" t="n"/>
      <c r="C11" s="393" t="n"/>
      <c r="D11" s="393" t="n"/>
      <c r="E11" s="393" t="n"/>
      <c r="F11" s="292" t="inlineStr">
        <is>
          <t>Строительные работы</t>
        </is>
      </c>
      <c r="G11" s="292" t="inlineStr">
        <is>
          <t>Монтажные работы</t>
        </is>
      </c>
      <c r="H11" s="292" t="inlineStr">
        <is>
          <t>Оборудование</t>
        </is>
      </c>
      <c r="I11" s="292" t="inlineStr">
        <is>
          <t>Прочее</t>
        </is>
      </c>
      <c r="J11" s="292" t="inlineStr">
        <is>
          <t>Всего</t>
        </is>
      </c>
    </row>
    <row r="12" ht="15" customHeight="1" s="242">
      <c r="B12" s="270" t="n"/>
      <c r="C12" s="236" t="inlineStr">
        <is>
          <t>Демонтаж ОКГТ механическая прочность на разрыв 83кН, количество волокон 24 шт.</t>
        </is>
      </c>
      <c r="D12" s="271" t="n"/>
      <c r="E12" s="302" t="n"/>
      <c r="F12" s="250" t="n">
        <v>3920.5790433</v>
      </c>
      <c r="G12" s="391" t="n"/>
      <c r="H12" s="394" t="n">
        <v>0</v>
      </c>
      <c r="I12" s="394" t="n"/>
      <c r="J12" s="395" t="n">
        <v>3920.5790433</v>
      </c>
    </row>
    <row r="13" ht="15" customHeight="1" s="242">
      <c r="B13" s="298" t="inlineStr">
        <is>
          <t>Всего по объекту:</t>
        </is>
      </c>
      <c r="C13" s="390" t="n"/>
      <c r="D13" s="390" t="n"/>
      <c r="E13" s="391" t="n"/>
      <c r="F13" s="396" t="n"/>
      <c r="G13" s="396" t="n"/>
      <c r="H13" s="396" t="n"/>
      <c r="I13" s="396" t="n"/>
      <c r="J13" s="396" t="n"/>
    </row>
    <row r="14" ht="15.75" customHeight="1" s="242">
      <c r="B14" s="298" t="inlineStr">
        <is>
          <t>Всего по объекту в сопоставимом уровне цен 2 кв. 2022г:</t>
        </is>
      </c>
      <c r="C14" s="390" t="n"/>
      <c r="D14" s="390" t="n"/>
      <c r="E14" s="391" t="n"/>
      <c r="F14" s="397">
        <f>F12</f>
        <v/>
      </c>
      <c r="G14" s="391" t="n"/>
      <c r="H14" s="396">
        <f>H12</f>
        <v/>
      </c>
      <c r="I14" s="396" t="n"/>
      <c r="J14" s="396">
        <f>J12</f>
        <v/>
      </c>
    </row>
    <row r="15" ht="15.75" customHeight="1" s="242">
      <c r="B15" s="286" t="n"/>
      <c r="C15" s="244" t="n"/>
      <c r="D15" s="244" t="n"/>
      <c r="E15" s="244" t="n"/>
      <c r="F15" s="244" t="n"/>
      <c r="G15" s="244" t="n"/>
      <c r="H15" s="244" t="n"/>
      <c r="I15" s="244" t="n"/>
      <c r="J15" s="244" t="n"/>
    </row>
    <row r="16" ht="15.75" customHeight="1" s="242">
      <c r="B16" s="244" t="n"/>
      <c r="C16" s="244" t="n"/>
      <c r="D16" s="244" t="n"/>
      <c r="E16" s="244" t="n"/>
      <c r="F16" s="244" t="n"/>
      <c r="G16" s="244" t="n"/>
      <c r="H16" s="244" t="n"/>
      <c r="I16" s="244" t="n"/>
      <c r="J16" s="244" t="n"/>
    </row>
    <row r="20">
      <c r="C20" s="238" t="inlineStr">
        <is>
          <t>Составил ______________________        Е. М. Добровольская</t>
        </is>
      </c>
      <c r="D20" s="239" t="n"/>
    </row>
    <row r="21">
      <c r="C21" s="241" t="inlineStr">
        <is>
          <t xml:space="preserve">                         (подпись, инициалы, фамилия)</t>
        </is>
      </c>
      <c r="D21" s="239" t="n"/>
    </row>
    <row r="22">
      <c r="C22" s="238" t="n"/>
      <c r="D22" s="239" t="n"/>
    </row>
    <row r="23">
      <c r="C23" s="238" t="inlineStr">
        <is>
          <t>Проверил ______________________        А.В. Костянецкая</t>
        </is>
      </c>
      <c r="D23" s="239" t="n"/>
    </row>
    <row r="24">
      <c r="C24" s="241" t="inlineStr">
        <is>
          <t xml:space="preserve">                        (подпись, инициалы, фамилия)</t>
        </is>
      </c>
      <c r="D24" s="239" t="n"/>
    </row>
  </sheetData>
  <mergeCells count="14">
    <mergeCell ref="B6:C6"/>
    <mergeCell ref="F12:G12"/>
    <mergeCell ref="D10:D11"/>
    <mergeCell ref="B4:K4"/>
    <mergeCell ref="D9:J9"/>
    <mergeCell ref="B13:E13"/>
    <mergeCell ref="F10:J10"/>
    <mergeCell ref="B7:K7"/>
    <mergeCell ref="B9:B11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0"/>
  <sheetViews>
    <sheetView view="pageBreakPreview" topLeftCell="A58" zoomScale="85" workbookViewId="0">
      <selection activeCell="C76" sqref="C76"/>
    </sheetView>
  </sheetViews>
  <sheetFormatPr baseColWidth="8" defaultColWidth="9.140625" defaultRowHeight="15.75"/>
  <cols>
    <col width="9.140625" customWidth="1" style="244" min="1" max="1"/>
    <col width="12.5703125" customWidth="1" style="244" min="2" max="2"/>
    <col width="22.42578125" customWidth="1" style="244" min="3" max="3"/>
    <col width="49.7109375" customWidth="1" style="244" min="4" max="4"/>
    <col width="10.140625" customWidth="1" style="244" min="5" max="5"/>
    <col width="20.7109375" customWidth="1" style="244" min="6" max="6"/>
    <col width="20" customWidth="1" style="244" min="7" max="7"/>
    <col width="16.7109375" customWidth="1" style="244" min="8" max="8"/>
    <col width="9.140625" customWidth="1" style="244" min="9" max="9"/>
    <col width="15.5703125" customWidth="1" style="244" min="10" max="10"/>
    <col width="15" customWidth="1" style="244" min="11" max="11"/>
    <col width="9.140625" customWidth="1" style="244" min="12" max="12"/>
  </cols>
  <sheetData>
    <row r="2">
      <c r="A2" s="283" t="inlineStr">
        <is>
          <t xml:space="preserve">Приложение № 3 </t>
        </is>
      </c>
    </row>
    <row r="3">
      <c r="A3" s="290" t="inlineStr">
        <is>
          <t>Объектная ресурсная ведомость</t>
        </is>
      </c>
    </row>
    <row r="4">
      <c r="A4" s="307" t="n"/>
    </row>
    <row r="5">
      <c r="A5" s="286" t="n"/>
    </row>
    <row r="6">
      <c r="A6" s="306" t="inlineStr">
        <is>
          <t>Наименование разрабатываемого показателя УНЦ — Демонтаж ОКГТ механическая прочность на разрыв 83кН, количество волокон 24 шт.</t>
        </is>
      </c>
    </row>
    <row r="7" s="242">
      <c r="A7" s="306" t="n"/>
      <c r="B7" s="306" t="n"/>
      <c r="C7" s="306" t="n"/>
      <c r="D7" s="306" t="n"/>
      <c r="E7" s="306" t="n"/>
      <c r="F7" s="306" t="n"/>
      <c r="G7" s="306" t="n"/>
      <c r="H7" s="306" t="n"/>
      <c r="I7" s="244" t="n"/>
      <c r="J7" s="244" t="n"/>
      <c r="K7" s="244" t="n"/>
      <c r="L7" s="244" t="n"/>
    </row>
    <row r="8">
      <c r="A8" s="306" t="n"/>
      <c r="B8" s="306" t="n"/>
      <c r="C8" s="306" t="n"/>
      <c r="D8" s="306" t="n"/>
      <c r="E8" s="306" t="n"/>
      <c r="F8" s="306" t="n"/>
      <c r="G8" s="306" t="n"/>
      <c r="H8" s="306" t="n"/>
    </row>
    <row r="9" ht="38.25" customHeight="1" s="242">
      <c r="A9" s="292" t="inlineStr">
        <is>
          <t>п/п</t>
        </is>
      </c>
      <c r="B9" s="292" t="inlineStr">
        <is>
          <t>№ЛСР</t>
        </is>
      </c>
      <c r="C9" s="292" t="inlineStr">
        <is>
          <t>Код ресурса</t>
        </is>
      </c>
      <c r="D9" s="292" t="inlineStr">
        <is>
          <t>Наименование ресурса</t>
        </is>
      </c>
      <c r="E9" s="292" t="inlineStr">
        <is>
          <t>Ед. изм.</t>
        </is>
      </c>
      <c r="F9" s="292" t="inlineStr">
        <is>
          <t>Кол-во единиц по данным объекта-представителя</t>
        </is>
      </c>
      <c r="G9" s="292" t="inlineStr">
        <is>
          <t>Сметная стоимость в ценах на 01.01.2000 (руб.)</t>
        </is>
      </c>
      <c r="H9" s="391" t="n"/>
    </row>
    <row r="10" ht="40.5" customHeight="1" s="242">
      <c r="A10" s="393" t="n"/>
      <c r="B10" s="393" t="n"/>
      <c r="C10" s="393" t="n"/>
      <c r="D10" s="393" t="n"/>
      <c r="E10" s="393" t="n"/>
      <c r="F10" s="393" t="n"/>
      <c r="G10" s="292" t="inlineStr">
        <is>
          <t>на ед.изм.</t>
        </is>
      </c>
      <c r="H10" s="292" t="inlineStr">
        <is>
          <t>общая</t>
        </is>
      </c>
    </row>
    <row r="11">
      <c r="A11" s="260" t="n">
        <v>1</v>
      </c>
      <c r="B11" s="260" t="n"/>
      <c r="C11" s="260" t="n">
        <v>2</v>
      </c>
      <c r="D11" s="260" t="inlineStr">
        <is>
          <t>З</t>
        </is>
      </c>
      <c r="E11" s="260" t="n">
        <v>4</v>
      </c>
      <c r="F11" s="260" t="n">
        <v>5</v>
      </c>
      <c r="G11" s="260" t="n">
        <v>6</v>
      </c>
      <c r="H11" s="260" t="n">
        <v>7</v>
      </c>
    </row>
    <row r="12" customFormat="1" s="232">
      <c r="A12" s="303" t="inlineStr">
        <is>
          <t>Затраты труда рабочих</t>
        </is>
      </c>
      <c r="B12" s="390" t="n"/>
      <c r="C12" s="390" t="n"/>
      <c r="D12" s="390" t="n"/>
      <c r="E12" s="391" t="n"/>
      <c r="F12" s="398" t="n">
        <v>2365.7321</v>
      </c>
      <c r="G12" s="10" t="n"/>
      <c r="H12" s="398">
        <f>SUM(H13:H18)</f>
        <v/>
      </c>
    </row>
    <row r="13">
      <c r="A13" s="159" t="n">
        <v>1</v>
      </c>
      <c r="B13" s="199" t="n"/>
      <c r="C13" s="205" t="inlineStr">
        <is>
          <t>1-3-8</t>
        </is>
      </c>
      <c r="D13" s="206" t="inlineStr">
        <is>
          <t>Затраты труда рабочих (средний разряд работы 3,8)</t>
        </is>
      </c>
      <c r="E13" s="331" t="inlineStr">
        <is>
          <t>чел.-ч</t>
        </is>
      </c>
      <c r="F13" s="399" t="n">
        <v>1837.4103</v>
      </c>
      <c r="G13" s="209" t="n">
        <v>9.4</v>
      </c>
      <c r="H13" s="180">
        <f>ROUND(F13*G13,2)</f>
        <v/>
      </c>
    </row>
    <row r="14">
      <c r="A14" s="159" t="n">
        <v>2</v>
      </c>
      <c r="B14" s="199" t="n"/>
      <c r="C14" s="205" t="inlineStr">
        <is>
          <t>1-6-0</t>
        </is>
      </c>
      <c r="D14" s="206" t="inlineStr">
        <is>
          <t>Затраты труда рабочих (средний разряд работы 6,0)</t>
        </is>
      </c>
      <c r="E14" s="331" t="inlineStr">
        <is>
          <t>чел.-ч</t>
        </is>
      </c>
      <c r="F14" s="399" t="n">
        <v>332.7157</v>
      </c>
      <c r="G14" s="209" t="n">
        <v>12.92</v>
      </c>
      <c r="H14" s="180">
        <f>ROUND(F14*G14,2)</f>
        <v/>
      </c>
    </row>
    <row r="15">
      <c r="A15" s="159" t="n">
        <v>3</v>
      </c>
      <c r="B15" s="199" t="n"/>
      <c r="C15" s="205" t="inlineStr">
        <is>
          <t>1-3-4</t>
        </is>
      </c>
      <c r="D15" s="206" t="inlineStr">
        <is>
          <t>Затраты труда рабочих (средний разряд работы 3,4)</t>
        </is>
      </c>
      <c r="E15" s="331" t="inlineStr">
        <is>
          <t>чел.-ч</t>
        </is>
      </c>
      <c r="F15" s="399" t="n">
        <v>99.6461</v>
      </c>
      <c r="G15" s="209" t="n">
        <v>8.970000000000001</v>
      </c>
      <c r="H15" s="180">
        <f>ROUND(F15*G15,2)</f>
        <v/>
      </c>
    </row>
    <row r="16">
      <c r="A16" s="159" t="n">
        <v>4</v>
      </c>
      <c r="B16" s="199" t="n"/>
      <c r="C16" s="205" t="inlineStr">
        <is>
          <t>1-2-0</t>
        </is>
      </c>
      <c r="D16" s="206" t="inlineStr">
        <is>
          <t>Затраты труда рабочих (средний разряд работы 2,0)</t>
        </is>
      </c>
      <c r="E16" s="331" t="inlineStr">
        <is>
          <t>чел.-ч</t>
        </is>
      </c>
      <c r="F16" s="399" t="n">
        <v>28.847</v>
      </c>
      <c r="G16" s="209" t="n">
        <v>7.8</v>
      </c>
      <c r="H16" s="180">
        <f>ROUND(F16*G16,2)</f>
        <v/>
      </c>
    </row>
    <row r="17">
      <c r="A17" s="159" t="n">
        <v>5</v>
      </c>
      <c r="B17" s="199" t="n"/>
      <c r="C17" s="205" t="inlineStr">
        <is>
          <t>1-3-3</t>
        </is>
      </c>
      <c r="D17" s="206" t="inlineStr">
        <is>
          <t>Затраты труда рабочих (средний разряд работы 3,3)</t>
        </is>
      </c>
      <c r="E17" s="331" t="inlineStr">
        <is>
          <t>чел.-ч</t>
        </is>
      </c>
      <c r="F17" s="399" t="n">
        <v>20.553</v>
      </c>
      <c r="G17" s="209" t="n">
        <v>8.859999999999999</v>
      </c>
      <c r="H17" s="180">
        <f>ROUND(F17*G17,2)</f>
        <v/>
      </c>
    </row>
    <row r="18">
      <c r="A18" s="159" t="n">
        <v>6</v>
      </c>
      <c r="B18" s="199" t="n"/>
      <c r="C18" s="205" t="inlineStr">
        <is>
          <t>10-3-1</t>
        </is>
      </c>
      <c r="D18" s="206" t="inlineStr">
        <is>
          <t>Инженер I категории</t>
        </is>
      </c>
      <c r="E18" s="331" t="inlineStr">
        <is>
          <t>чел.-ч</t>
        </is>
      </c>
      <c r="F18" s="399" t="n">
        <v>46.56</v>
      </c>
      <c r="G18" s="209" t="n">
        <v>15.49</v>
      </c>
      <c r="H18" s="180">
        <f>ROUND(F18*G18,2)</f>
        <v/>
      </c>
    </row>
    <row r="19">
      <c r="A19" s="299" t="inlineStr">
        <is>
          <t>Затраты труда машинистов</t>
        </is>
      </c>
      <c r="B19" s="390" t="n"/>
      <c r="C19" s="390" t="n"/>
      <c r="D19" s="390" t="n"/>
      <c r="E19" s="391" t="n"/>
      <c r="F19" s="303" t="n"/>
      <c r="G19" s="140" t="n"/>
      <c r="H19" s="398">
        <f>H20</f>
        <v/>
      </c>
    </row>
    <row r="20">
      <c r="A20" s="311" t="n">
        <v>7</v>
      </c>
      <c r="B20" s="301" t="n"/>
      <c r="C20" s="202" t="n">
        <v>2</v>
      </c>
      <c r="D20" s="310" t="inlineStr">
        <is>
          <t>Затраты труда машинистов</t>
        </is>
      </c>
      <c r="E20" s="311" t="inlineStr">
        <is>
          <t>чел.-ч</t>
        </is>
      </c>
      <c r="F20" s="400" t="n">
        <v>334.24</v>
      </c>
      <c r="G20" s="195" t="n"/>
      <c r="H20" s="180" t="n">
        <v>18368.04</v>
      </c>
    </row>
    <row r="21" customFormat="1" s="232">
      <c r="A21" s="303" t="inlineStr">
        <is>
          <t>Машины и механизмы</t>
        </is>
      </c>
      <c r="B21" s="390" t="n"/>
      <c r="C21" s="390" t="n"/>
      <c r="D21" s="390" t="n"/>
      <c r="E21" s="391" t="n"/>
      <c r="F21" s="303" t="n"/>
      <c r="G21" s="140" t="n"/>
      <c r="H21" s="398">
        <f>SUM(H22:H36)</f>
        <v/>
      </c>
    </row>
    <row r="22">
      <c r="A22" s="311" t="n">
        <v>8</v>
      </c>
      <c r="B22" s="301" t="n"/>
      <c r="C22" s="202" t="inlineStr">
        <is>
          <t>91.06.06-014</t>
        </is>
      </c>
      <c r="D22" s="310" t="inlineStr">
        <is>
          <t>Автогидроподъемники, высота подъема 28 м</t>
        </is>
      </c>
      <c r="E22" s="311" t="inlineStr">
        <is>
          <t>маш.-ч</t>
        </is>
      </c>
      <c r="F22" s="311" t="n">
        <v>298.179088</v>
      </c>
      <c r="G22" s="330" t="n">
        <v>243.49</v>
      </c>
      <c r="H22" s="180">
        <f>ROUND(F22*G22,2)</f>
        <v/>
      </c>
      <c r="I22" s="143" t="n"/>
      <c r="J22" s="150" t="n"/>
      <c r="L22" s="143" t="n"/>
    </row>
    <row r="23" ht="25.5" customFormat="1" customHeight="1" s="232">
      <c r="A23" s="311" t="n">
        <v>9</v>
      </c>
      <c r="B23" s="301" t="n"/>
      <c r="C23" s="202" t="inlineStr">
        <is>
          <t>91.11.02-021</t>
        </is>
      </c>
      <c r="D23" s="310" t="inlineStr">
        <is>
          <t>Комплексы для монтажа проводов методом "под тяжением"</t>
        </is>
      </c>
      <c r="E23" s="311" t="inlineStr">
        <is>
          <t>маш.-ч</t>
        </is>
      </c>
      <c r="F23" s="311" t="n">
        <v>109.116778</v>
      </c>
      <c r="G23" s="330" t="n">
        <v>637.76</v>
      </c>
      <c r="H23" s="180">
        <f>ROUND(F23*G23,2)</f>
        <v/>
      </c>
      <c r="I23" s="143" t="n"/>
      <c r="L23" s="143" t="n"/>
    </row>
    <row r="24" ht="25.5" customHeight="1" s="242">
      <c r="A24" s="311" t="n">
        <v>10</v>
      </c>
      <c r="B24" s="301" t="n"/>
      <c r="C24" s="202" t="inlineStr">
        <is>
          <t>91.15.02-029</t>
        </is>
      </c>
      <c r="D24" s="310" t="inlineStr">
        <is>
          <t>Тракторы на гусеничном ходу с лебедкой 132 кВт (180 л.с.)</t>
        </is>
      </c>
      <c r="E24" s="311" t="inlineStr">
        <is>
          <t>маш.-ч</t>
        </is>
      </c>
      <c r="F24" s="311" t="n">
        <v>398.001999</v>
      </c>
      <c r="G24" s="330" t="n">
        <v>147.43</v>
      </c>
      <c r="H24" s="180">
        <f>ROUND(F24*G24,2)</f>
        <v/>
      </c>
      <c r="I24" s="143" t="n"/>
      <c r="L24" s="143" t="n"/>
    </row>
    <row r="25" ht="25.5" customHeight="1" s="242">
      <c r="A25" s="311" t="n">
        <v>11</v>
      </c>
      <c r="B25" s="301" t="n"/>
      <c r="C25" s="202" t="inlineStr">
        <is>
          <t>91.05.05-016</t>
        </is>
      </c>
      <c r="D25" s="310" t="inlineStr">
        <is>
          <t>Краны на автомобильном ходу, грузоподъемность 25 т</t>
        </is>
      </c>
      <c r="E25" s="311" t="inlineStr">
        <is>
          <t>маш.-ч</t>
        </is>
      </c>
      <c r="F25" s="311" t="n">
        <v>119.015512</v>
      </c>
      <c r="G25" s="330" t="n">
        <v>476.43</v>
      </c>
      <c r="H25" s="180">
        <f>ROUND(F25*G25,2)</f>
        <v/>
      </c>
      <c r="I25" s="143" t="n"/>
      <c r="L25" s="143" t="n"/>
    </row>
    <row r="26">
      <c r="A26" s="311" t="n">
        <v>12</v>
      </c>
      <c r="B26" s="301" t="n"/>
      <c r="C26" s="202" t="inlineStr">
        <is>
          <t>91.14.04-002</t>
        </is>
      </c>
      <c r="D26" s="310" t="inlineStr">
        <is>
          <t>Тягачи седельные, грузоподъемность 15 т</t>
        </is>
      </c>
      <c r="E26" s="311" t="inlineStr">
        <is>
          <t>маш.-ч</t>
        </is>
      </c>
      <c r="F26" s="311" t="n">
        <v>160.6995124</v>
      </c>
      <c r="G26" s="330" t="n">
        <v>94.38</v>
      </c>
      <c r="H26" s="180">
        <f>ROUND(F26*G26,2)</f>
        <v/>
      </c>
      <c r="I26" s="143" t="n"/>
      <c r="L26" s="143" t="n"/>
    </row>
    <row r="27">
      <c r="A27" s="311" t="n">
        <v>13</v>
      </c>
      <c r="B27" s="301" t="n"/>
      <c r="C27" s="202" t="inlineStr">
        <is>
          <t>91.16.01-002</t>
        </is>
      </c>
      <c r="D27" s="310" t="inlineStr">
        <is>
          <t>Электростанции передвижные, мощность 4 кВт</t>
        </is>
      </c>
      <c r="E27" s="311" t="inlineStr">
        <is>
          <t>маш.-ч</t>
        </is>
      </c>
      <c r="F27" s="311" t="n">
        <v>145.92</v>
      </c>
      <c r="G27" s="330" t="n">
        <v>27.11</v>
      </c>
      <c r="H27" s="180">
        <f>ROUND(F27*G27,2)</f>
        <v/>
      </c>
      <c r="I27" s="143" t="n"/>
      <c r="L27" s="143" t="n"/>
    </row>
    <row r="28" ht="25.5" customHeight="1" s="242">
      <c r="A28" s="311" t="n">
        <v>14</v>
      </c>
      <c r="B28" s="301" t="n"/>
      <c r="C28" s="202" t="inlineStr">
        <is>
          <t>91.14.05-012</t>
        </is>
      </c>
      <c r="D28" s="310" t="inlineStr">
        <is>
          <t>Полуприцепы общего назначения, грузоподъемность 15 т</t>
        </is>
      </c>
      <c r="E28" s="311" t="inlineStr">
        <is>
          <t>маш.-ч</t>
        </is>
      </c>
      <c r="F28" s="311" t="n">
        <v>160.6995124</v>
      </c>
      <c r="G28" s="330" t="n">
        <v>19.76</v>
      </c>
      <c r="H28" s="180">
        <f>ROUND(F28*G28,2)</f>
        <v/>
      </c>
      <c r="I28" s="143" t="n"/>
    </row>
    <row r="29">
      <c r="A29" s="311" t="n">
        <v>15</v>
      </c>
      <c r="B29" s="301" t="n"/>
      <c r="C29" s="202" t="inlineStr">
        <is>
          <t>91.14.02-004</t>
        </is>
      </c>
      <c r="D29" s="310" t="inlineStr">
        <is>
          <t>Автомобили бортовые, грузоподъемность до 15 т</t>
        </is>
      </c>
      <c r="E29" s="311" t="inlineStr">
        <is>
          <t>маш.-ч</t>
        </is>
      </c>
      <c r="F29" s="311" t="n">
        <v>32.456039</v>
      </c>
      <c r="G29" s="330" t="n">
        <v>92.94</v>
      </c>
      <c r="H29" s="180">
        <f>ROUND(F29*G29,2)</f>
        <v/>
      </c>
      <c r="I29" s="143" t="n"/>
    </row>
    <row r="30" ht="25.5" customHeight="1" s="242">
      <c r="A30" s="311" t="n">
        <v>16</v>
      </c>
      <c r="B30" s="301" t="n"/>
      <c r="C30" s="202" t="inlineStr">
        <is>
          <t>91.13.03-111</t>
        </is>
      </c>
      <c r="D30" s="310" t="inlineStr">
        <is>
          <t>Спецавтомобили-вездеходы, грузоподъемность до 8 т</t>
        </is>
      </c>
      <c r="E30" s="311" t="inlineStr">
        <is>
          <t>маш.-ч</t>
        </is>
      </c>
      <c r="F30" s="311" t="n">
        <v>12.9156</v>
      </c>
      <c r="G30" s="330" t="n">
        <v>189.95</v>
      </c>
      <c r="H30" s="180">
        <f>ROUND(F30*G30,2)</f>
        <v/>
      </c>
      <c r="I30" s="143" t="n"/>
    </row>
    <row r="31">
      <c r="A31" s="311" t="n">
        <v>17</v>
      </c>
      <c r="B31" s="301" t="n"/>
      <c r="C31" s="202" t="inlineStr">
        <is>
          <t>91.21.22-341</t>
        </is>
      </c>
      <c r="D31" s="310" t="inlineStr">
        <is>
          <t>Рефлектометры</t>
        </is>
      </c>
      <c r="E31" s="311" t="inlineStr">
        <is>
          <t>маш.-ч</t>
        </is>
      </c>
      <c r="F31" s="311" t="n">
        <v>170.88</v>
      </c>
      <c r="G31" s="330" t="n">
        <v>10.62</v>
      </c>
      <c r="H31" s="180">
        <f>ROUND(F31*G31,2)</f>
        <v/>
      </c>
      <c r="I31" s="143" t="n"/>
    </row>
    <row r="32" ht="25.5" customHeight="1" s="242">
      <c r="A32" s="311" t="n">
        <v>18</v>
      </c>
      <c r="B32" s="301" t="n"/>
      <c r="C32" s="202" t="inlineStr">
        <is>
          <t>91.17.04-194</t>
        </is>
      </c>
      <c r="D32" s="310" t="inlineStr">
        <is>
          <t>Аппараты сварочные для сварки оптических кабелей со скалывателем</t>
        </is>
      </c>
      <c r="E32" s="311" t="inlineStr">
        <is>
          <t>маш.-ч</t>
        </is>
      </c>
      <c r="F32" s="311" t="n">
        <v>134.64</v>
      </c>
      <c r="G32" s="330" t="n">
        <v>12.14</v>
      </c>
      <c r="H32" s="180">
        <f>ROUND(F32*G32,2)</f>
        <v/>
      </c>
      <c r="I32" s="143" t="n"/>
    </row>
    <row r="33">
      <c r="A33" s="311" t="n">
        <v>19</v>
      </c>
      <c r="B33" s="301" t="n"/>
      <c r="C33" s="202" t="inlineStr">
        <is>
          <t>91.06.05-011</t>
        </is>
      </c>
      <c r="D33" s="310" t="inlineStr">
        <is>
          <t>Погрузчики, грузоподъемность 5 т</t>
        </is>
      </c>
      <c r="E33" s="311" t="inlineStr">
        <is>
          <t>маш.-ч</t>
        </is>
      </c>
      <c r="F33" s="311" t="n">
        <v>16.151862</v>
      </c>
      <c r="G33" s="330" t="n">
        <v>89.98999999999999</v>
      </c>
      <c r="H33" s="180">
        <f>ROUND(F33*G33,2)</f>
        <v/>
      </c>
      <c r="I33" s="143" t="n"/>
    </row>
    <row r="34">
      <c r="A34" s="311" t="n">
        <v>20</v>
      </c>
      <c r="B34" s="301" t="n"/>
      <c r="C34" s="202" t="inlineStr">
        <is>
          <t>91.14.02-002</t>
        </is>
      </c>
      <c r="D34" s="310" t="inlineStr">
        <is>
          <t>Автомобили бортовые, грузоподъемность до 8 т</t>
        </is>
      </c>
      <c r="E34" s="311" t="inlineStr">
        <is>
          <t>маш.-ч</t>
        </is>
      </c>
      <c r="F34" s="311" t="n">
        <v>1.9236</v>
      </c>
      <c r="G34" s="330" t="n">
        <v>85.84</v>
      </c>
      <c r="H34" s="180">
        <f>ROUND(F34*G34,2)</f>
        <v/>
      </c>
      <c r="I34" s="143" t="n"/>
    </row>
    <row r="35">
      <c r="A35" s="311" t="n">
        <v>21</v>
      </c>
      <c r="B35" s="301" t="n"/>
      <c r="C35" s="202" t="inlineStr">
        <is>
          <t>91.21.16-012</t>
        </is>
      </c>
      <c r="D35" s="310" t="inlineStr">
        <is>
          <t>Прессы гидравлические с электроприводом</t>
        </is>
      </c>
      <c r="E35" s="311" t="inlineStr">
        <is>
          <t>маш.-ч</t>
        </is>
      </c>
      <c r="F35" s="311" t="n">
        <v>123.6743037</v>
      </c>
      <c r="G35" s="330" t="n">
        <v>1.11</v>
      </c>
      <c r="H35" s="180">
        <f>ROUND(F35*G35,2)</f>
        <v/>
      </c>
    </row>
    <row r="36">
      <c r="A36" s="311" t="n">
        <v>22</v>
      </c>
      <c r="B36" s="301" t="n"/>
      <c r="C36" s="202" t="inlineStr">
        <is>
          <t>91.11.02-061</t>
        </is>
      </c>
      <c r="D36" s="310" t="inlineStr">
        <is>
          <t>Тележки раскаточные на гусеничном ходу</t>
        </is>
      </c>
      <c r="E36" s="311" t="inlineStr">
        <is>
          <t>маш.-ч</t>
        </is>
      </c>
      <c r="F36" s="311" t="n">
        <v>1.5572</v>
      </c>
      <c r="G36" s="330" t="n">
        <v>17.14</v>
      </c>
      <c r="H36" s="180">
        <f>ROUND(F36*G36,2)</f>
        <v/>
      </c>
    </row>
    <row r="37">
      <c r="A37" s="300" t="inlineStr">
        <is>
          <t>Материалы</t>
        </is>
      </c>
      <c r="B37" s="390" t="n"/>
      <c r="C37" s="390" t="n"/>
      <c r="D37" s="390" t="n"/>
      <c r="E37" s="391" t="n"/>
      <c r="F37" s="300" t="n"/>
      <c r="G37" s="194" t="n"/>
      <c r="H37" s="398">
        <f>SUM(H38:H73)</f>
        <v/>
      </c>
    </row>
    <row r="38">
      <c r="A38" s="159" t="n">
        <v>23</v>
      </c>
      <c r="B38" s="301" t="n"/>
      <c r="C38" s="202" t="inlineStr">
        <is>
          <t>Прайс из СД ОП</t>
        </is>
      </c>
      <c r="D38" s="310" t="inlineStr">
        <is>
          <t>Грозотрос ОКГТ 24 волокна (МПР 83кН)</t>
        </is>
      </c>
      <c r="E38" s="311" t="inlineStr">
        <is>
          <t>м</t>
        </is>
      </c>
      <c r="F38" s="311" t="n">
        <v>112120</v>
      </c>
      <c r="G38" s="180" t="n">
        <v>97.45999999999999</v>
      </c>
      <c r="H38" s="180">
        <f>ROUND(F38*G38,2)</f>
        <v/>
      </c>
      <c r="I38" s="151" t="n"/>
      <c r="K38" s="143" t="n"/>
    </row>
    <row r="39" ht="25.5" customHeight="1" s="242">
      <c r="A39" s="159" t="n">
        <v>24</v>
      </c>
      <c r="B39" s="301" t="n"/>
      <c r="C39" s="202" t="inlineStr">
        <is>
          <t>20.5.04.08-0005</t>
        </is>
      </c>
      <c r="D39" s="310" t="inlineStr">
        <is>
          <t>Зажим соединительный шлейфовый спиральный ШС-18,8-01 (прим. Зажим шлейфовый ЗКШ2-14/18-4)</t>
        </is>
      </c>
      <c r="E39" s="311" t="inlineStr">
        <is>
          <t>шт.</t>
        </is>
      </c>
      <c r="F39" s="311" t="n">
        <v>771</v>
      </c>
      <c r="G39" s="180" t="n">
        <v>330.46</v>
      </c>
      <c r="H39" s="180">
        <f>ROUND(F39*G39,2)</f>
        <v/>
      </c>
      <c r="I39" s="151" t="n"/>
      <c r="K39" s="143" t="n"/>
    </row>
    <row r="40" ht="25.5" customHeight="1" s="242">
      <c r="A40" s="159" t="n">
        <v>25</v>
      </c>
      <c r="B40" s="301" t="n"/>
      <c r="C40" s="202" t="inlineStr">
        <is>
          <t>20.1.01.12-0033</t>
        </is>
      </c>
      <c r="D40" s="310" t="inlineStr">
        <is>
          <t>Зажим поддерживающий спиральный ПС-15, 4П11 (прим. ПСО-14,1/14, 4П-33, 4П-21)</t>
        </is>
      </c>
      <c r="E40" s="311" t="inlineStr">
        <is>
          <t>шт.</t>
        </is>
      </c>
      <c r="F40" s="311" t="n">
        <v>273</v>
      </c>
      <c r="G40" s="180" t="n">
        <v>374.91</v>
      </c>
      <c r="H40" s="180">
        <f>ROUND(F40*G40,2)</f>
        <v/>
      </c>
      <c r="I40" s="151" t="n"/>
      <c r="K40" s="143" t="n"/>
    </row>
    <row r="41" ht="25.5" customHeight="1" s="242">
      <c r="A41" s="159" t="n">
        <v>26</v>
      </c>
      <c r="B41" s="301" t="n"/>
      <c r="C41" s="202" t="inlineStr">
        <is>
          <t>15.1.02.27-0002</t>
        </is>
      </c>
      <c r="D41" s="310" t="inlineStr">
        <is>
          <t>Барабан (крутящаяся часть с площадками) (прим. Барабан БШ-1-3)</t>
        </is>
      </c>
      <c r="E41" s="311" t="inlineStr">
        <is>
          <t>шт.</t>
        </is>
      </c>
      <c r="F41" s="311" t="n">
        <v>22</v>
      </c>
      <c r="G41" s="180" t="n">
        <v>4344.01</v>
      </c>
      <c r="H41" s="180">
        <f>ROUND(F41*G41,2)</f>
        <v/>
      </c>
      <c r="I41" s="151" t="n"/>
    </row>
    <row r="42">
      <c r="A42" s="159" t="n">
        <v>27</v>
      </c>
      <c r="B42" s="301" t="n"/>
      <c r="C42" s="202" t="inlineStr">
        <is>
          <t>22.2.02.01-0020</t>
        </is>
      </c>
      <c r="D42" s="310" t="inlineStr">
        <is>
          <t>Гаситель вибрации, марка ГВП-1,6-11</t>
        </is>
      </c>
      <c r="E42" s="311" t="inlineStr">
        <is>
          <t>шт.</t>
        </is>
      </c>
      <c r="F42" s="311" t="n">
        <v>684</v>
      </c>
      <c r="G42" s="180" t="n">
        <v>120.89</v>
      </c>
      <c r="H42" s="180">
        <f>ROUND(F42*G42,2)</f>
        <v/>
      </c>
      <c r="I42" s="151" t="n"/>
    </row>
    <row r="43" ht="25.5" customHeight="1" s="242">
      <c r="A43" s="159" t="n">
        <v>28</v>
      </c>
      <c r="B43" s="301" t="n"/>
      <c r="C43" s="202" t="inlineStr">
        <is>
          <t>20.5.04.04-0055</t>
        </is>
      </c>
      <c r="D43" s="310" t="inlineStr">
        <is>
          <t>Зажим натяжной спиральный НСО-13,0П-01 (прим. Зажим натяжной НСО-14.1/14)</t>
        </is>
      </c>
      <c r="E43" s="311" t="inlineStr">
        <is>
          <t>шт.</t>
        </is>
      </c>
      <c r="F43" s="311" t="n">
        <v>185</v>
      </c>
      <c r="G43" s="180" t="n">
        <v>374.45</v>
      </c>
      <c r="H43" s="180">
        <f>ROUND(F43*G43,2)</f>
        <v/>
      </c>
      <c r="I43" s="151" t="n"/>
    </row>
    <row r="44" ht="25.5" customHeight="1" s="242">
      <c r="A44" s="159" t="n">
        <v>29</v>
      </c>
      <c r="B44" s="301" t="n"/>
      <c r="C44" s="202" t="inlineStr">
        <is>
          <t>20.5.04.08-0005</t>
        </is>
      </c>
      <c r="D44" s="310" t="inlineStr">
        <is>
          <t>Зажим соединительный шлейфовый спиральный ШС-18,8-01 (прим. Зажим шлейфовый ЗКШ-18/22-4)</t>
        </is>
      </c>
      <c r="E44" s="311" t="inlineStr">
        <is>
          <t>шт</t>
        </is>
      </c>
      <c r="F44" s="311" t="n">
        <v>166</v>
      </c>
      <c r="G44" s="180" t="n">
        <v>330.46</v>
      </c>
      <c r="H44" s="180">
        <f>ROUND(F44*G44,2)</f>
        <v/>
      </c>
      <c r="I44" s="151" t="n"/>
    </row>
    <row r="45">
      <c r="A45" s="159" t="n">
        <v>30</v>
      </c>
      <c r="B45" s="301" t="n"/>
      <c r="C45" s="202" t="inlineStr">
        <is>
          <t>20.1.01.05-0009</t>
        </is>
      </c>
      <c r="D45" s="310" t="inlineStr">
        <is>
          <t>Зажим заземляющий 3ПС 120-3В</t>
        </is>
      </c>
      <c r="E45" s="311" t="inlineStr">
        <is>
          <t>шт</t>
        </is>
      </c>
      <c r="F45" s="311" t="n">
        <v>650</v>
      </c>
      <c r="G45" s="180" t="n">
        <v>76.04000000000001</v>
      </c>
      <c r="H45" s="180">
        <f>ROUND(F45*G45,2)</f>
        <v/>
      </c>
      <c r="I45" s="151" t="n"/>
    </row>
    <row r="46" ht="63.75" customHeight="1" s="242">
      <c r="A46" s="159" t="n">
        <v>31</v>
      </c>
      <c r="B46" s="301" t="n"/>
      <c r="C46" s="202" t="inlineStr">
        <is>
          <t>20.2.09.09-0006</t>
        </is>
      </c>
      <c r="D46" s="310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6" s="311" t="inlineStr">
        <is>
          <t>компл.</t>
        </is>
      </c>
      <c r="F46" s="311" t="n">
        <v>28</v>
      </c>
      <c r="G46" s="180" t="n">
        <v>1194.89</v>
      </c>
      <c r="H46" s="180">
        <f>ROUND(F46*G46,2)</f>
        <v/>
      </c>
      <c r="I46" s="151" t="n"/>
    </row>
    <row r="47">
      <c r="A47" s="159" t="n">
        <v>32</v>
      </c>
      <c r="B47" s="301" t="n"/>
      <c r="C47" s="202" t="inlineStr">
        <is>
          <t>22.2.02.04-0037</t>
        </is>
      </c>
      <c r="D47" s="310" t="inlineStr">
        <is>
          <t>Звено промежуточное регулируемое ПРР-12-1А</t>
        </is>
      </c>
      <c r="E47" s="311" t="inlineStr">
        <is>
          <t>шт.</t>
        </is>
      </c>
      <c r="F47" s="311" t="n">
        <v>197</v>
      </c>
      <c r="G47" s="180" t="n">
        <v>169.51</v>
      </c>
      <c r="H47" s="180">
        <f>ROUND(F47*G47,2)</f>
        <v/>
      </c>
      <c r="I47" s="151" t="n"/>
    </row>
    <row r="48" ht="25.5" customHeight="1" s="242">
      <c r="A48" s="159" t="n">
        <v>33</v>
      </c>
      <c r="B48" s="301" t="n"/>
      <c r="C48" s="202" t="inlineStr">
        <is>
          <t>20.2.09.13-0038</t>
        </is>
      </c>
      <c r="D48" s="310" t="inlineStr">
        <is>
          <t>Муфта свинцовая П-1200 (прим. Комплект для ввода ОКГТ в муфту КГВ 12-17/2-3.6)</t>
        </is>
      </c>
      <c r="E48" s="311" t="inlineStr">
        <is>
          <t>шт</t>
        </is>
      </c>
      <c r="F48" s="311" t="n">
        <v>37</v>
      </c>
      <c r="G48" s="180" t="n">
        <v>873.46</v>
      </c>
      <c r="H48" s="180">
        <f>ROUND(F48*G48,2)</f>
        <v/>
      </c>
      <c r="I48" s="151" t="n"/>
    </row>
    <row r="49">
      <c r="A49" s="159" t="n">
        <v>34</v>
      </c>
      <c r="B49" s="301" t="n"/>
      <c r="C49" s="202" t="inlineStr">
        <is>
          <t>20.1.02.22-0006</t>
        </is>
      </c>
      <c r="D49" s="310" t="inlineStr">
        <is>
          <t>Ушко однолапчатое У1-12-16</t>
        </is>
      </c>
      <c r="E49" s="311" t="inlineStr">
        <is>
          <t>шт.</t>
        </is>
      </c>
      <c r="F49" s="311" t="n">
        <v>197</v>
      </c>
      <c r="G49" s="180" t="n">
        <v>137.86</v>
      </c>
      <c r="H49" s="180">
        <f>ROUND(F49*G49,2)</f>
        <v/>
      </c>
      <c r="I49" s="151" t="n"/>
    </row>
    <row r="50">
      <c r="A50" s="159" t="n">
        <v>35</v>
      </c>
      <c r="B50" s="301" t="n"/>
      <c r="C50" s="202" t="inlineStr">
        <is>
          <t>01.7.15.10-0032</t>
        </is>
      </c>
      <c r="D50" s="310" t="inlineStr">
        <is>
          <t>Скоба СК-12-1А</t>
        </is>
      </c>
      <c r="E50" s="311" t="inlineStr">
        <is>
          <t>шт.</t>
        </is>
      </c>
      <c r="F50" s="311" t="n">
        <v>394</v>
      </c>
      <c r="G50" s="180" t="n">
        <v>54.7</v>
      </c>
      <c r="H50" s="180">
        <f>ROUND(F50*G50,2)</f>
        <v/>
      </c>
      <c r="I50" s="151" t="n"/>
    </row>
    <row r="51" customFormat="1" s="232">
      <c r="A51" s="159" t="n">
        <v>36</v>
      </c>
      <c r="B51" s="301" t="n"/>
      <c r="C51" s="202" t="inlineStr">
        <is>
          <t>20.1.01.05-0019</t>
        </is>
      </c>
      <c r="D51" s="310" t="inlineStr">
        <is>
          <t>Зажим заземляющий 3ПС 300-3</t>
        </is>
      </c>
      <c r="E51" s="311" t="inlineStr">
        <is>
          <t>шт</t>
        </is>
      </c>
      <c r="F51" s="311" t="n">
        <v>91</v>
      </c>
      <c r="G51" s="180" t="n">
        <v>209.79</v>
      </c>
      <c r="H51" s="180">
        <f>ROUND(F51*G51,2)</f>
        <v/>
      </c>
      <c r="I51" s="151" t="n"/>
    </row>
    <row r="52" ht="38.25" customHeight="1" s="242">
      <c r="A52" s="159" t="n">
        <v>37</v>
      </c>
      <c r="B52" s="301" t="n"/>
      <c r="C52" s="202" t="inlineStr">
        <is>
          <t>20.1.01.12-0033</t>
        </is>
      </c>
      <c r="D52" s="310" t="inlineStr">
        <is>
          <t>Зажим поддерживающий спиральный ПС-15, 4П11 (прим. Зажим поддерживающий спиральный  ПСО-21.3/21.7П-33)</t>
        </is>
      </c>
      <c r="E52" s="311" t="inlineStr">
        <is>
          <t>шт</t>
        </is>
      </c>
      <c r="F52" s="311" t="n">
        <v>32</v>
      </c>
      <c r="G52" s="180" t="n">
        <v>374.91</v>
      </c>
      <c r="H52" s="180">
        <f>ROUND(F52*G52,2)</f>
        <v/>
      </c>
      <c r="I52" s="151" t="n"/>
    </row>
    <row r="53">
      <c r="A53" s="159" t="n">
        <v>38</v>
      </c>
      <c r="B53" s="301" t="n"/>
      <c r="C53" s="202" t="inlineStr">
        <is>
          <t>22.2.02.04-0008</t>
        </is>
      </c>
      <c r="D53" s="310" t="inlineStr">
        <is>
          <t>Звено промежуточное монтажное ПТМ-12-2</t>
        </is>
      </c>
      <c r="E53" s="311" t="inlineStr">
        <is>
          <t>шт.</t>
        </is>
      </c>
      <c r="F53" s="311" t="n">
        <v>197</v>
      </c>
      <c r="G53" s="180" t="n">
        <v>57.83</v>
      </c>
      <c r="H53" s="180">
        <f>ROUND(F53*G53,2)</f>
        <v/>
      </c>
      <c r="I53" s="151" t="n"/>
      <c r="K53" s="143" t="n"/>
    </row>
    <row r="54">
      <c r="A54" s="159" t="n">
        <v>39</v>
      </c>
      <c r="B54" s="301" t="n"/>
      <c r="C54" s="202" t="inlineStr">
        <is>
          <t>20.1.02.22-0004</t>
        </is>
      </c>
      <c r="D54" s="310" t="inlineStr">
        <is>
          <t>Ушко однолапчатое укороченное У1К-7-16</t>
        </is>
      </c>
      <c r="E54" s="311" t="inlineStr">
        <is>
          <t>шт.</t>
        </is>
      </c>
      <c r="F54" s="311" t="n">
        <v>293</v>
      </c>
      <c r="G54" s="180" t="n">
        <v>35.75</v>
      </c>
      <c r="H54" s="180">
        <f>ROUND(F54*G54,2)</f>
        <v/>
      </c>
      <c r="I54" s="151" t="n"/>
      <c r="K54" s="143" t="n"/>
    </row>
    <row r="55" ht="38.25" customHeight="1" s="242">
      <c r="A55" s="159" t="n">
        <v>40</v>
      </c>
      <c r="B55" s="301" t="n"/>
      <c r="C55" s="202" t="inlineStr">
        <is>
          <t>20.5.04.08-0005</t>
        </is>
      </c>
      <c r="D55" s="310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5" s="311" t="inlineStr">
        <is>
          <t>шт.</t>
        </is>
      </c>
      <c r="F55" s="311" t="n">
        <v>28</v>
      </c>
      <c r="G55" s="180" t="n">
        <v>330.46</v>
      </c>
      <c r="H55" s="180">
        <f>ROUND(F55*G55,2)</f>
        <v/>
      </c>
      <c r="I55" s="151" t="n"/>
      <c r="K55" s="143" t="n"/>
    </row>
    <row r="56">
      <c r="A56" s="159" t="n">
        <v>41</v>
      </c>
      <c r="B56" s="301" t="n"/>
      <c r="C56" s="202" t="inlineStr">
        <is>
          <t>20.1.02.11-0004</t>
        </is>
      </c>
      <c r="D56" s="310" t="inlineStr">
        <is>
          <t>Протектор защитный спиральный ПЗС-15,2-13</t>
        </is>
      </c>
      <c r="E56" s="311" t="inlineStr">
        <is>
          <t>шт.</t>
        </is>
      </c>
      <c r="F56" s="311" t="n">
        <v>196</v>
      </c>
      <c r="G56" s="180" t="n">
        <v>43.66</v>
      </c>
      <c r="H56" s="180">
        <f>ROUND(F56*G56,2)</f>
        <v/>
      </c>
      <c r="I56" s="151" t="n"/>
      <c r="K56" s="143" t="n"/>
    </row>
    <row r="57">
      <c r="A57" s="159" t="n">
        <v>42</v>
      </c>
      <c r="B57" s="301" t="n"/>
      <c r="C57" s="202" t="inlineStr">
        <is>
          <t>01.7.15.10-0031</t>
        </is>
      </c>
      <c r="D57" s="310" t="inlineStr">
        <is>
          <t>Скоба СК-7-1А</t>
        </is>
      </c>
      <c r="E57" s="311" t="inlineStr">
        <is>
          <t>шт.</t>
        </is>
      </c>
      <c r="F57" s="311" t="n">
        <v>293</v>
      </c>
      <c r="G57" s="180" t="n">
        <v>28.07</v>
      </c>
      <c r="H57" s="180">
        <f>ROUND(F57*G57,2)</f>
        <v/>
      </c>
    </row>
    <row r="58">
      <c r="A58" s="159" t="n">
        <v>43</v>
      </c>
      <c r="B58" s="301" t="n"/>
      <c r="C58" s="202" t="inlineStr">
        <is>
          <t>20.1.02.21-0043</t>
        </is>
      </c>
      <c r="D58" s="310" t="inlineStr">
        <is>
          <t>Узел крепления КГП-7-3</t>
        </is>
      </c>
      <c r="E58" s="311" t="inlineStr">
        <is>
          <t>шт.</t>
        </is>
      </c>
      <c r="F58" s="311" t="n">
        <v>285</v>
      </c>
      <c r="G58" s="180" t="n">
        <v>25.55</v>
      </c>
      <c r="H58" s="180">
        <f>ROUND(F58*G58,2)</f>
        <v/>
      </c>
    </row>
    <row r="59" ht="25.5" customHeight="1" s="242">
      <c r="A59" s="159" t="n">
        <v>44</v>
      </c>
      <c r="B59" s="301" t="n"/>
      <c r="C59" s="202" t="inlineStr">
        <is>
          <t>20.5.04.08-0002</t>
        </is>
      </c>
      <c r="D59" s="310" t="inlineStr">
        <is>
          <t>Зажим соединительный шлейфовый спиральный ШС-13,5-01</t>
        </is>
      </c>
      <c r="E59" s="311" t="inlineStr">
        <is>
          <t>шт.</t>
        </is>
      </c>
      <c r="F59" s="311" t="n">
        <v>51</v>
      </c>
      <c r="G59" s="180" t="n">
        <v>110.9</v>
      </c>
      <c r="H59" s="180">
        <f>ROUND(F59*G59,2)</f>
        <v/>
      </c>
    </row>
    <row r="60" ht="51" customHeight="1" s="242">
      <c r="A60" s="159" t="n">
        <v>45</v>
      </c>
      <c r="B60" s="301" t="n"/>
      <c r="C60" s="202" t="inlineStr">
        <is>
          <t>21.2.01.02-0088</t>
        </is>
      </c>
      <c r="D60" s="31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0" s="311" t="inlineStr">
        <is>
          <t>т</t>
        </is>
      </c>
      <c r="F60" s="311" t="n">
        <v>0.1559</v>
      </c>
      <c r="G60" s="180" t="n">
        <v>31961.67</v>
      </c>
      <c r="H60" s="180">
        <f>ROUND(F60*G60,2)</f>
        <v/>
      </c>
    </row>
    <row r="61">
      <c r="A61" s="159" t="n">
        <v>46</v>
      </c>
      <c r="B61" s="301" t="n"/>
      <c r="C61" s="202" t="inlineStr">
        <is>
          <t>20.1.01.11-0002</t>
        </is>
      </c>
      <c r="D61" s="310" t="inlineStr">
        <is>
          <t>Зажим плашечный соединительный ПА-6-1</t>
        </is>
      </c>
      <c r="E61" s="311" t="inlineStr">
        <is>
          <t>шт.</t>
        </is>
      </c>
      <c r="F61" s="311" t="n">
        <v>69</v>
      </c>
      <c r="G61" s="180" t="n">
        <v>59.16</v>
      </c>
      <c r="H61" s="180">
        <f>ROUND(F61*G61,2)</f>
        <v/>
      </c>
    </row>
    <row r="62" ht="38.25" customHeight="1" s="242">
      <c r="A62" s="159" t="n">
        <v>47</v>
      </c>
      <c r="B62" s="301" t="n"/>
      <c r="C62" s="202" t="inlineStr">
        <is>
          <t>01.7.15.03-0022</t>
        </is>
      </c>
      <c r="D62" s="310" t="inlineStr">
        <is>
          <t>Болты с гайками и шайбами оцинкованные для монтажа стальных конструкций, диаметр 16 мм, длина 55-200 мм</t>
        </is>
      </c>
      <c r="E62" s="311" t="inlineStr">
        <is>
          <t>т</t>
        </is>
      </c>
      <c r="F62" s="311" t="n">
        <v>0.185312</v>
      </c>
      <c r="G62" s="180" t="n">
        <v>18796.65</v>
      </c>
      <c r="H62" s="180">
        <f>ROUND(F62*G62,2)</f>
        <v/>
      </c>
    </row>
    <row r="63" ht="25.5" customHeight="1" s="242">
      <c r="A63" s="159" t="n">
        <v>48</v>
      </c>
      <c r="B63" s="301" t="n"/>
      <c r="C63" s="202" t="inlineStr">
        <is>
          <t>20.1.02.21-0032</t>
        </is>
      </c>
      <c r="D63" s="310" t="inlineStr">
        <is>
          <t>Узел крепления КГ-12-3 (прим. Узел подвески УПШ-03-01)</t>
        </is>
      </c>
      <c r="E63" s="311" t="inlineStr">
        <is>
          <t>шт.</t>
        </is>
      </c>
      <c r="F63" s="311" t="n">
        <v>44</v>
      </c>
      <c r="G63" s="180" t="n">
        <v>63.73</v>
      </c>
      <c r="H63" s="180">
        <f>ROUND(F63*G63,2)</f>
        <v/>
      </c>
    </row>
    <row r="64">
      <c r="A64" s="159" t="n">
        <v>49</v>
      </c>
      <c r="B64" s="301" t="n"/>
      <c r="C64" s="202" t="inlineStr">
        <is>
          <t>20.1.02.14-1014</t>
        </is>
      </c>
      <c r="D64" s="310" t="inlineStr">
        <is>
          <t>Серьга СР-7-16</t>
        </is>
      </c>
      <c r="E64" s="311" t="inlineStr">
        <is>
          <t>шт.</t>
        </is>
      </c>
      <c r="F64" s="311" t="n">
        <v>293</v>
      </c>
      <c r="G64" s="180" t="n">
        <v>9.359999999999999</v>
      </c>
      <c r="H64" s="180">
        <f>ROUND(F64*G64,2)</f>
        <v/>
      </c>
    </row>
    <row r="65">
      <c r="A65" s="159" t="n">
        <v>50</v>
      </c>
      <c r="B65" s="301" t="n"/>
      <c r="C65" s="202" t="inlineStr">
        <is>
          <t>20.1.02.14-1006</t>
        </is>
      </c>
      <c r="D65" s="310" t="inlineStr">
        <is>
          <t>Серьга СР-12-16</t>
        </is>
      </c>
      <c r="E65" s="311" t="inlineStr">
        <is>
          <t>шт.</t>
        </is>
      </c>
      <c r="F65" s="311" t="n">
        <v>197</v>
      </c>
      <c r="G65" s="180" t="n">
        <v>13.29</v>
      </c>
      <c r="H65" s="180">
        <f>ROUND(F65*G65,2)</f>
        <v/>
      </c>
    </row>
    <row r="66" ht="51" customHeight="1" s="242">
      <c r="A66" s="159" t="n">
        <v>51</v>
      </c>
      <c r="B66" s="301" t="n"/>
      <c r="C66" s="202" t="inlineStr">
        <is>
          <t>01.5.03.03-0031</t>
        </is>
      </c>
      <c r="D66" s="310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6" s="311" t="inlineStr">
        <is>
          <t>шт.</t>
        </is>
      </c>
      <c r="F66" s="311" t="n">
        <v>22</v>
      </c>
      <c r="G66" s="180" t="n">
        <v>112.6</v>
      </c>
      <c r="H66" s="180">
        <f>ROUND(F66*G66,2)</f>
        <v/>
      </c>
    </row>
    <row r="67" ht="51" customHeight="1" s="242">
      <c r="A67" s="159" t="n">
        <v>52</v>
      </c>
      <c r="B67" s="301" t="n"/>
      <c r="C67" s="202" t="inlineStr">
        <is>
          <t>21.2.01.02-0093</t>
        </is>
      </c>
      <c r="D67" s="31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7" s="311" t="inlineStr">
        <is>
          <t>т</t>
        </is>
      </c>
      <c r="F67" s="311" t="n">
        <v>0.0688</v>
      </c>
      <c r="G67" s="180" t="n">
        <v>32752.18</v>
      </c>
      <c r="H67" s="180">
        <f>ROUND(F67*G67,2)</f>
        <v/>
      </c>
      <c r="I67" s="151" t="n"/>
    </row>
    <row r="68" ht="25.5" customHeight="1" s="242">
      <c r="A68" s="159" t="n">
        <v>53</v>
      </c>
      <c r="B68" s="301" t="n"/>
      <c r="C68" s="202" t="inlineStr">
        <is>
          <t>20.2.09.13-0038</t>
        </is>
      </c>
      <c r="D68" s="310" t="inlineStr">
        <is>
          <t>Муфта свинцовая П-1200 (прим. Комплект для ввода ОКСН (ДПМ) в муфту КВСц6-22)</t>
        </is>
      </c>
      <c r="E68" s="311" t="inlineStr">
        <is>
          <t>шт</t>
        </is>
      </c>
      <c r="F68" s="311" t="n">
        <v>2</v>
      </c>
      <c r="G68" s="180" t="n">
        <v>873.46</v>
      </c>
      <c r="H68" s="180">
        <f>ROUND(F68*G68,2)</f>
        <v/>
      </c>
      <c r="I68" s="151" t="n"/>
    </row>
    <row r="69">
      <c r="A69" s="159" t="n">
        <v>54</v>
      </c>
      <c r="B69" s="301" t="n"/>
      <c r="C69" s="202" t="inlineStr">
        <is>
          <t>20.1.01.11-0006</t>
        </is>
      </c>
      <c r="D69" s="310" t="inlineStr">
        <is>
          <t>Зажим плашечный соединительный ПА 3-2</t>
        </is>
      </c>
      <c r="E69" s="311" t="inlineStr">
        <is>
          <t>шт.</t>
        </is>
      </c>
      <c r="F69" s="311" t="n">
        <v>129</v>
      </c>
      <c r="G69" s="180" t="n">
        <v>12.24</v>
      </c>
      <c r="H69" s="180">
        <f>ROUND(F69*G69,2)</f>
        <v/>
      </c>
      <c r="I69" s="151" t="n"/>
    </row>
    <row r="70">
      <c r="A70" s="159" t="n">
        <v>55</v>
      </c>
      <c r="B70" s="301" t="n"/>
      <c r="C70" s="202" t="inlineStr">
        <is>
          <t>01.7.15.10-0035</t>
        </is>
      </c>
      <c r="D70" s="310" t="inlineStr">
        <is>
          <t>Скобы СК-21-1А (прим. Скоба СК-70-1Б)</t>
        </is>
      </c>
      <c r="E70" s="311" t="inlineStr">
        <is>
          <t>шт</t>
        </is>
      </c>
      <c r="F70" s="311" t="n">
        <v>8</v>
      </c>
      <c r="G70" s="180" t="n">
        <v>116.92</v>
      </c>
      <c r="H70" s="180">
        <f>ROUND(F70*G70,2)</f>
        <v/>
      </c>
      <c r="I70" s="151" t="n"/>
    </row>
    <row r="71">
      <c r="A71" s="159" t="n">
        <v>56</v>
      </c>
      <c r="B71" s="301" t="n"/>
      <c r="C71" s="202" t="inlineStr">
        <is>
          <t>08.1.02.25-0011</t>
        </is>
      </c>
      <c r="D71" s="310" t="inlineStr">
        <is>
          <t>Детали крепления</t>
        </is>
      </c>
      <c r="E71" s="311" t="inlineStr">
        <is>
          <t>компл.</t>
        </is>
      </c>
      <c r="F71" s="311" t="n">
        <v>22</v>
      </c>
      <c r="G71" s="180" t="n">
        <v>25.46</v>
      </c>
      <c r="H71" s="180">
        <f>ROUND(F71*G71,2)</f>
        <v/>
      </c>
      <c r="I71" s="151" t="n"/>
    </row>
    <row r="72">
      <c r="A72" s="159" t="n">
        <v>57</v>
      </c>
      <c r="B72" s="301" t="n"/>
      <c r="C72" s="202" t="inlineStr">
        <is>
          <t>01.3.01.07-0009</t>
        </is>
      </c>
      <c r="D72" s="310" t="inlineStr">
        <is>
          <t>Спирт этиловый ректификованный технический, сорт I</t>
        </is>
      </c>
      <c r="E72" s="311" t="inlineStr">
        <is>
          <t>кг</t>
        </is>
      </c>
      <c r="F72" s="311" t="n">
        <v>3.3</v>
      </c>
      <c r="G72" s="180" t="n">
        <v>38.89</v>
      </c>
      <c r="H72" s="180">
        <f>ROUND(F72*G72,2)</f>
        <v/>
      </c>
      <c r="I72" s="151" t="n"/>
    </row>
    <row r="73">
      <c r="A73" s="159" t="n">
        <v>58</v>
      </c>
      <c r="B73" s="301" t="n"/>
      <c r="C73" s="202" t="inlineStr">
        <is>
          <t>999-9950</t>
        </is>
      </c>
      <c r="D73" s="310" t="inlineStr">
        <is>
          <t>Вспомогательные ненормируемые материалы</t>
        </is>
      </c>
      <c r="E73" s="311" t="inlineStr">
        <is>
          <t>руб</t>
        </is>
      </c>
      <c r="F73" s="311" t="n">
        <v>91.3</v>
      </c>
      <c r="G73" s="180" t="n">
        <v>1</v>
      </c>
      <c r="H73" s="180">
        <f>ROUND(F73*G73,2)</f>
        <v/>
      </c>
      <c r="I73" s="151" t="n"/>
    </row>
    <row r="76">
      <c r="B76" s="244" t="inlineStr">
        <is>
          <t>Составил ______________________     Д.А. Самуйленко</t>
        </is>
      </c>
    </row>
    <row r="77">
      <c r="B77" s="223" t="inlineStr">
        <is>
          <t xml:space="preserve">                         (подпись, инициалы, фамилия)</t>
        </is>
      </c>
    </row>
    <row r="79">
      <c r="B79" s="244" t="inlineStr">
        <is>
          <t>Проверил ______________________        А.В. Костянецкая</t>
        </is>
      </c>
    </row>
    <row r="80">
      <c r="B80" s="223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4:H4"/>
    <mergeCell ref="A9:A10"/>
    <mergeCell ref="A2:H2"/>
    <mergeCell ref="A19:E19"/>
    <mergeCell ref="A37:E37"/>
    <mergeCell ref="G9:H9"/>
    <mergeCell ref="A6:H6"/>
  </mergeCells>
  <pageMargins left="0.7" right="0.7" top="0.75" bottom="0.75" header="0.3" footer="0.3"/>
  <pageSetup orientation="portrait" paperSize="9" scale="54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2" min="1" max="1"/>
    <col width="36.28515625" customWidth="1" style="242" min="2" max="2"/>
    <col width="18.85546875" customWidth="1" style="242" min="3" max="3"/>
    <col width="18.28515625" customWidth="1" style="242" min="4" max="4"/>
    <col width="18.85546875" customWidth="1" style="242" min="5" max="5"/>
    <col width="13.42578125" customWidth="1" style="242" min="7" max="7"/>
    <col width="13.5703125" customWidth="1" style="242" min="12" max="12"/>
  </cols>
  <sheetData>
    <row r="1">
      <c r="B1" s="238" t="n"/>
      <c r="C1" s="238" t="n"/>
      <c r="D1" s="238" t="n"/>
      <c r="E1" s="238" t="n"/>
    </row>
    <row r="2">
      <c r="B2" s="238" t="n"/>
      <c r="C2" s="238" t="n"/>
      <c r="D2" s="238" t="n"/>
      <c r="E2" s="326" t="inlineStr">
        <is>
          <t>Приложение № 4</t>
        </is>
      </c>
    </row>
    <row r="3">
      <c r="B3" s="238" t="n"/>
      <c r="C3" s="238" t="n"/>
      <c r="D3" s="238" t="n"/>
      <c r="E3" s="238" t="n"/>
    </row>
    <row r="4">
      <c r="B4" s="238" t="n"/>
      <c r="C4" s="238" t="n"/>
      <c r="D4" s="238" t="n"/>
      <c r="E4" s="238" t="n"/>
    </row>
    <row r="5">
      <c r="B5" s="276" t="inlineStr">
        <is>
          <t>Ресурсная модель</t>
        </is>
      </c>
    </row>
    <row r="6">
      <c r="B6" s="148" t="n"/>
      <c r="C6" s="238" t="n"/>
      <c r="D6" s="238" t="n"/>
      <c r="E6" s="238" t="n"/>
    </row>
    <row r="7" ht="25.5" customHeight="1" s="242">
      <c r="B7" s="308" t="inlineStr">
        <is>
          <t>Наименование разрабатываемого показателя УНЦ — Демонтаж ОКГТ механическая прочность на разрыв 83кН, количество волокон 24 шт.</t>
        </is>
      </c>
    </row>
    <row r="8">
      <c r="B8" s="309" t="inlineStr">
        <is>
          <t>Единица измерения  — 1 ед</t>
        </is>
      </c>
    </row>
    <row r="9">
      <c r="B9" s="148" t="n"/>
      <c r="C9" s="238" t="n"/>
      <c r="D9" s="238" t="n"/>
      <c r="E9" s="238" t="n"/>
    </row>
    <row r="10" ht="51" customHeight="1" s="242">
      <c r="B10" s="311" t="inlineStr">
        <is>
          <t>Наименование</t>
        </is>
      </c>
      <c r="C10" s="311" t="inlineStr">
        <is>
          <t>Сметная стоимость в ценах на 01.01.2023
 (руб.)</t>
        </is>
      </c>
      <c r="D10" s="311" t="inlineStr">
        <is>
          <t>Удельный вес, 
(в СМР)</t>
        </is>
      </c>
      <c r="E10" s="31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ОБ'!J16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ОБ'!J40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ОБ'!J42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ОБ'!J19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ОБ'!J51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ОБ'!J52</f>
        <v/>
      </c>
      <c r="D17" s="26">
        <f>C17/$C$24</f>
        <v/>
      </c>
      <c r="E17" s="26">
        <f>C17/$C$40</f>
        <v/>
      </c>
      <c r="G17" s="401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ОБ'!D58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ОБ'!D56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42">
      <c r="B25" s="24" t="inlineStr">
        <is>
          <t>ВСЕГО стоимость оборудования, в том числе</t>
        </is>
      </c>
      <c r="C25" s="145">
        <f>'Прил.5 Расчет СМР и ОБ'!J47</f>
        <v/>
      </c>
      <c r="D25" s="26" t="n"/>
      <c r="E25" s="26">
        <f>C25/$C$40</f>
        <v/>
      </c>
    </row>
    <row r="26" ht="25.5" customHeight="1" s="242">
      <c r="B26" s="24" t="inlineStr">
        <is>
          <t>стоимость оборудования технологического</t>
        </is>
      </c>
      <c r="C26" s="145">
        <f>'Прил.5 Расчет СМР и ОБ'!J48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ОБ'!J61</f>
        <v/>
      </c>
      <c r="D27" s="26" t="n"/>
      <c r="E27" s="26">
        <f>C27/$C$40</f>
        <v/>
      </c>
      <c r="G27" s="146" t="n"/>
    </row>
    <row r="28" ht="33" customHeight="1" s="24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2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42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42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42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4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4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42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200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201" t="n"/>
      <c r="L37" s="146" t="n"/>
    </row>
    <row r="38" ht="38.25" customHeight="1" s="242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42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ОБ'!E62</f>
        <v/>
      </c>
      <c r="D41" s="24" t="n"/>
      <c r="E41" s="24" t="n"/>
    </row>
    <row r="42">
      <c r="B42" s="198" t="n"/>
      <c r="C42" s="238" t="n"/>
      <c r="D42" s="238" t="n"/>
      <c r="E42" s="238" t="n"/>
    </row>
    <row r="43">
      <c r="B43" s="198" t="inlineStr">
        <is>
          <t>Составил ____________________________  Д.А. Самуйленко</t>
        </is>
      </c>
      <c r="C43" s="238" t="n"/>
      <c r="D43" s="238" t="n"/>
      <c r="E43" s="238" t="n"/>
    </row>
    <row r="44">
      <c r="B44" s="198" t="inlineStr">
        <is>
          <t xml:space="preserve">(должность, подпись, инициалы, фамилия) </t>
        </is>
      </c>
      <c r="C44" s="238" t="n"/>
      <c r="D44" s="238" t="n"/>
      <c r="E44" s="238" t="n"/>
    </row>
    <row r="45">
      <c r="B45" s="198" t="n"/>
      <c r="C45" s="238" t="n"/>
      <c r="D45" s="238" t="n"/>
      <c r="E45" s="238" t="n"/>
    </row>
    <row r="46">
      <c r="B46" s="198" t="inlineStr">
        <is>
          <t>Проверил ____________________________ А.В. Костянецкая</t>
        </is>
      </c>
      <c r="C46" s="238" t="n"/>
      <c r="D46" s="238" t="n"/>
      <c r="E46" s="238" t="n"/>
    </row>
    <row r="47">
      <c r="B47" s="309" t="inlineStr">
        <is>
          <t>(должность, подпись, инициалы, фамилия)</t>
        </is>
      </c>
      <c r="D47" s="238" t="n"/>
      <c r="E47" s="238" t="n"/>
    </row>
    <row r="49">
      <c r="B49" s="238" t="n"/>
      <c r="C49" s="238" t="n"/>
      <c r="D49" s="238" t="n"/>
      <c r="E49" s="238" t="n"/>
    </row>
    <row r="50">
      <c r="B50" s="238" t="n"/>
      <c r="C50" s="238" t="n"/>
      <c r="D50" s="238" t="n"/>
      <c r="E50" s="23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5" zoomScale="85" workbookViewId="0">
      <selection activeCell="B49" sqref="B49:H49"/>
    </sheetView>
  </sheetViews>
  <sheetFormatPr baseColWidth="8" defaultColWidth="9.140625" defaultRowHeight="15" outlineLevelRow="1"/>
  <cols>
    <col width="5.7109375" customWidth="1" style="239" min="1" max="1"/>
    <col width="22.5703125" customWidth="1" style="239" min="2" max="2"/>
    <col width="39.140625" customWidth="1" style="239" min="3" max="3"/>
    <col width="13.5703125" customWidth="1" style="239" min="4" max="4"/>
    <col width="12.7109375" customWidth="1" style="239" min="5" max="5"/>
    <col width="14.5703125" customWidth="1" style="239" min="6" max="6"/>
    <col width="15.85546875" customWidth="1" style="239" min="7" max="7"/>
    <col width="12.7109375" customWidth="1" style="239" min="8" max="8"/>
    <col width="15.85546875" customWidth="1" style="239" min="9" max="9"/>
    <col width="17.5703125" customWidth="1" style="239" min="10" max="10"/>
    <col width="10.85546875" customWidth="1" style="239" min="11" max="11"/>
    <col width="13.85546875" customWidth="1" style="239" min="12" max="12"/>
  </cols>
  <sheetData>
    <row r="1">
      <c r="M1" s="239" t="n"/>
      <c r="N1" s="239" t="n"/>
    </row>
    <row r="2" ht="15.75" customHeight="1" s="242">
      <c r="H2" s="321" t="inlineStr">
        <is>
          <t>Приложение №5</t>
        </is>
      </c>
      <c r="M2" s="239" t="n"/>
      <c r="N2" s="239" t="n"/>
    </row>
    <row r="3">
      <c r="M3" s="239" t="n"/>
      <c r="N3" s="239" t="n"/>
    </row>
    <row r="4" ht="12.75" customFormat="1" customHeight="1" s="238">
      <c r="A4" s="276" t="inlineStr">
        <is>
          <t>Расчет стоимости СМР и оборудования</t>
        </is>
      </c>
    </row>
    <row r="5" ht="12.75" customFormat="1" customHeight="1" s="238">
      <c r="A5" s="276" t="n"/>
      <c r="B5" s="276" t="n"/>
      <c r="C5" s="334" t="n"/>
      <c r="D5" s="276" t="n"/>
      <c r="E5" s="276" t="n"/>
      <c r="F5" s="276" t="n"/>
      <c r="G5" s="276" t="n"/>
      <c r="H5" s="276" t="n"/>
      <c r="I5" s="276" t="n"/>
      <c r="J5" s="276" t="n"/>
    </row>
    <row r="6" ht="12.75" customFormat="1" customHeight="1" s="238">
      <c r="A6" s="135" t="inlineStr">
        <is>
          <t>Наименование разрабатываемого показателя УНЦ</t>
        </is>
      </c>
      <c r="B6" s="134" t="n"/>
      <c r="C6" s="134" t="n"/>
      <c r="D6" s="279" t="inlineStr">
        <is>
          <t>Демонтаж ОКГТ механическая прочность на разрыв 83кН, количество волокон 24 шт.</t>
        </is>
      </c>
    </row>
    <row r="7" ht="12.75" customFormat="1" customHeight="1" s="238">
      <c r="A7" s="279" t="inlineStr">
        <is>
          <t>Единица измерения  — 1 ед</t>
        </is>
      </c>
      <c r="I7" s="308" t="n"/>
      <c r="J7" s="308" t="n"/>
    </row>
    <row r="8" ht="13.5" customFormat="1" customHeight="1" s="238">
      <c r="A8" s="279" t="n"/>
    </row>
    <row r="9" ht="27" customHeight="1" s="242">
      <c r="A9" s="311" t="inlineStr">
        <is>
          <t>№ пп.</t>
        </is>
      </c>
      <c r="B9" s="311" t="inlineStr">
        <is>
          <t>Код ресурса</t>
        </is>
      </c>
      <c r="C9" s="311" t="inlineStr">
        <is>
          <t>Наименование</t>
        </is>
      </c>
      <c r="D9" s="311" t="inlineStr">
        <is>
          <t>Ед. изм.</t>
        </is>
      </c>
      <c r="E9" s="311" t="inlineStr">
        <is>
          <t>Кол-во единиц по проектным данным</t>
        </is>
      </c>
      <c r="F9" s="311" t="inlineStr">
        <is>
          <t>Сметная стоимость в ценах на 01.01.2000 (руб.)</t>
        </is>
      </c>
      <c r="G9" s="391" t="n"/>
      <c r="H9" s="311" t="inlineStr">
        <is>
          <t>Удельный вес, %</t>
        </is>
      </c>
      <c r="I9" s="311" t="inlineStr">
        <is>
          <t>Сметная стоимость в ценах на 01.01.2023 (руб.)</t>
        </is>
      </c>
      <c r="J9" s="391" t="n"/>
      <c r="M9" s="239" t="n"/>
      <c r="N9" s="239" t="n"/>
    </row>
    <row r="10" ht="28.5" customHeight="1" s="242">
      <c r="A10" s="393" t="n"/>
      <c r="B10" s="393" t="n"/>
      <c r="C10" s="393" t="n"/>
      <c r="D10" s="393" t="n"/>
      <c r="E10" s="393" t="n"/>
      <c r="F10" s="311" t="inlineStr">
        <is>
          <t>на ед. изм.</t>
        </is>
      </c>
      <c r="G10" s="311" t="inlineStr">
        <is>
          <t>общая</t>
        </is>
      </c>
      <c r="H10" s="393" t="n"/>
      <c r="I10" s="311" t="inlineStr">
        <is>
          <t>на ед. изм.</t>
        </is>
      </c>
      <c r="J10" s="311" t="inlineStr">
        <is>
          <t>общая</t>
        </is>
      </c>
      <c r="M10" s="239" t="n"/>
      <c r="N10" s="239" t="n"/>
    </row>
    <row r="11">
      <c r="A11" s="311" t="n">
        <v>1</v>
      </c>
      <c r="B11" s="311" t="n">
        <v>2</v>
      </c>
      <c r="C11" s="311" t="n">
        <v>3</v>
      </c>
      <c r="D11" s="311" t="n">
        <v>4</v>
      </c>
      <c r="E11" s="311" t="n">
        <v>5</v>
      </c>
      <c r="F11" s="311" t="n">
        <v>6</v>
      </c>
      <c r="G11" s="311" t="n">
        <v>7</v>
      </c>
      <c r="H11" s="311" t="n">
        <v>8</v>
      </c>
      <c r="I11" s="324" t="n">
        <v>9</v>
      </c>
      <c r="J11" s="324" t="n">
        <v>10</v>
      </c>
      <c r="M11" s="239" t="n"/>
      <c r="N11" s="239" t="n"/>
    </row>
    <row r="12">
      <c r="A12" s="311" t="n"/>
      <c r="B12" s="299" t="inlineStr">
        <is>
          <t>Затраты труда рабочих-строителей</t>
        </is>
      </c>
      <c r="C12" s="390" t="n"/>
      <c r="D12" s="390" t="n"/>
      <c r="E12" s="390" t="n"/>
      <c r="F12" s="390" t="n"/>
      <c r="G12" s="390" t="n"/>
      <c r="H12" s="391" t="n"/>
      <c r="I12" s="167" t="n"/>
      <c r="J12" s="167" t="n"/>
    </row>
    <row r="13" ht="25.5" customHeight="1" s="242">
      <c r="A13" s="311" t="n">
        <v>1</v>
      </c>
      <c r="B13" s="202" t="inlineStr">
        <is>
          <t>1-4-1</t>
        </is>
      </c>
      <c r="C13" s="310" t="inlineStr">
        <is>
          <t>Затраты труда рабочих-строителей среднего разряда (4,1)</t>
        </is>
      </c>
      <c r="D13" s="311" t="inlineStr">
        <is>
          <t>чел.-ч.</t>
        </is>
      </c>
      <c r="E13" s="402" t="n">
        <v>2319.1721</v>
      </c>
      <c r="F13" s="180" t="n">
        <v>9.76</v>
      </c>
      <c r="G13" s="180" t="n">
        <v>22635.12</v>
      </c>
      <c r="H13" s="314">
        <f>G13/$G$15</f>
        <v/>
      </c>
      <c r="I13" s="180">
        <f>ФОТр.тек.!E13</f>
        <v/>
      </c>
      <c r="J13" s="180">
        <f>ROUND(I13*E13,2)</f>
        <v/>
      </c>
    </row>
    <row r="14">
      <c r="A14" s="311" t="n">
        <v>2</v>
      </c>
      <c r="B14" s="202" t="inlineStr">
        <is>
          <t>10-3-1</t>
        </is>
      </c>
      <c r="C14" s="310" t="inlineStr">
        <is>
          <t>Инженер I категории</t>
        </is>
      </c>
      <c r="D14" s="311" t="inlineStr">
        <is>
          <t>чел.-ч.</t>
        </is>
      </c>
      <c r="E14" s="402" t="n">
        <v>46.56</v>
      </c>
      <c r="F14" s="180" t="n">
        <v>15.49</v>
      </c>
      <c r="G14" s="180" t="n">
        <v>721.21</v>
      </c>
      <c r="H14" s="314">
        <f>G14/$G$15</f>
        <v/>
      </c>
      <c r="I14" s="180">
        <f>ФОТр.тек.!E21</f>
        <v/>
      </c>
      <c r="J14" s="180">
        <f>ROUND(I14*E14,2)</f>
        <v/>
      </c>
    </row>
    <row r="15" ht="25.5" customFormat="1" customHeight="1" s="239">
      <c r="A15" s="311" t="n"/>
      <c r="B15" s="311" t="n"/>
      <c r="C15" s="299" t="inlineStr">
        <is>
          <t>Итого по разделу "Затраты труда рабочих-строителей"</t>
        </is>
      </c>
      <c r="D15" s="311" t="inlineStr">
        <is>
          <t>чел.-ч.</t>
        </is>
      </c>
      <c r="E15" s="402">
        <f>SUM(E13:E14)</f>
        <v/>
      </c>
      <c r="F15" s="180" t="n"/>
      <c r="G15" s="180">
        <f>SUM(G13:G14)</f>
        <v/>
      </c>
      <c r="H15" s="315" t="n">
        <v>1</v>
      </c>
      <c r="I15" s="167" t="n"/>
      <c r="J15" s="180">
        <f>SUM(J13:J14)</f>
        <v/>
      </c>
    </row>
    <row r="16" ht="38.25" customFormat="1" customHeight="1" s="239">
      <c r="A16" s="311" t="n"/>
      <c r="B16" s="311" t="n"/>
      <c r="C16" s="299" t="inlineStr">
        <is>
          <t>Итого по разделу "Затраты труда рабочих-строителей" 
(с коэффициентом на демонтаж 0,7)</t>
        </is>
      </c>
      <c r="D16" s="311" t="inlineStr">
        <is>
          <t>чел.-ч.</t>
        </is>
      </c>
      <c r="E16" s="312" t="n"/>
      <c r="F16" s="313" t="n"/>
      <c r="G16" s="180">
        <f>SUM(G15)*0.7</f>
        <v/>
      </c>
      <c r="H16" s="315" t="n">
        <v>1</v>
      </c>
      <c r="I16" s="167" t="n"/>
      <c r="J16" s="180">
        <f>SUM(J15)*0.7</f>
        <v/>
      </c>
    </row>
    <row r="17" ht="14.25" customFormat="1" customHeight="1" s="239">
      <c r="A17" s="311" t="n"/>
      <c r="B17" s="310" t="inlineStr">
        <is>
          <t>Затраты труда машинистов</t>
        </is>
      </c>
      <c r="C17" s="390" t="n"/>
      <c r="D17" s="390" t="n"/>
      <c r="E17" s="390" t="n"/>
      <c r="F17" s="390" t="n"/>
      <c r="G17" s="390" t="n"/>
      <c r="H17" s="391" t="n"/>
      <c r="I17" s="167" t="n"/>
      <c r="J17" s="167" t="n"/>
    </row>
    <row r="18" ht="14.25" customFormat="1" customHeight="1" s="239">
      <c r="A18" s="311" t="n">
        <v>3</v>
      </c>
      <c r="B18" s="311" t="n">
        <v>2</v>
      </c>
      <c r="C18" s="310" t="inlineStr">
        <is>
          <t>Затраты труда машинистов</t>
        </is>
      </c>
      <c r="D18" s="311" t="inlineStr">
        <is>
          <t>чел.-ч.</t>
        </is>
      </c>
      <c r="E18" s="402" t="n">
        <v>334.24</v>
      </c>
      <c r="F18" s="180" t="n">
        <v>54.954643370034</v>
      </c>
      <c r="G18" s="180" t="n">
        <v>18368.04</v>
      </c>
      <c r="H18" s="315" t="n">
        <v>1</v>
      </c>
      <c r="I18" s="180">
        <f>ROUND(F18*Прил.10!D11,2)</f>
        <v/>
      </c>
      <c r="J18" s="180">
        <f>ROUND(I18*E18,2)</f>
        <v/>
      </c>
    </row>
    <row r="19" ht="25.5" customFormat="1" customHeight="1" s="239">
      <c r="A19" s="311" t="n"/>
      <c r="B19" s="311" t="n"/>
      <c r="C19" s="176" t="inlineStr">
        <is>
          <t>Затраты труда машинистов 
(с коэффициентом на демонтаж 0,7)</t>
        </is>
      </c>
      <c r="D19" s="170" t="n"/>
      <c r="E19" s="170" t="n"/>
      <c r="F19" s="170" t="n"/>
      <c r="G19" s="175">
        <f>G18*0.7</f>
        <v/>
      </c>
      <c r="H19" s="171">
        <f>H18</f>
        <v/>
      </c>
      <c r="I19" s="172" t="n"/>
      <c r="J19" s="175">
        <f>J18*0.7</f>
        <v/>
      </c>
    </row>
    <row r="20" ht="14.25" customFormat="1" customHeight="1" s="239">
      <c r="A20" s="311" t="n"/>
      <c r="B20" s="299" t="inlineStr">
        <is>
          <t>Машины и механизмы</t>
        </is>
      </c>
      <c r="C20" s="390" t="n"/>
      <c r="D20" s="390" t="n"/>
      <c r="E20" s="390" t="n"/>
      <c r="F20" s="390" t="n"/>
      <c r="G20" s="390" t="n"/>
      <c r="H20" s="391" t="n"/>
      <c r="I20" s="167" t="n"/>
      <c r="J20" s="167" t="n"/>
    </row>
    <row r="21" ht="14.25" customFormat="1" customHeight="1" s="239">
      <c r="A21" s="311" t="n"/>
      <c r="B21" s="310" t="inlineStr">
        <is>
          <t>Основные машины и механизмы</t>
        </is>
      </c>
      <c r="C21" s="390" t="n"/>
      <c r="D21" s="390" t="n"/>
      <c r="E21" s="390" t="n"/>
      <c r="F21" s="390" t="n"/>
      <c r="G21" s="390" t="n"/>
      <c r="H21" s="391" t="n"/>
      <c r="I21" s="167" t="n"/>
      <c r="J21" s="167" t="n"/>
    </row>
    <row r="22" ht="25.5" customFormat="1" customHeight="1" s="239">
      <c r="A22" s="311" t="n">
        <v>4</v>
      </c>
      <c r="B22" s="202" t="inlineStr">
        <is>
          <t>91.06.06-014</t>
        </is>
      </c>
      <c r="C22" s="310" t="inlineStr">
        <is>
          <t>Автогидроподъемники, высота подъема 28 м</t>
        </is>
      </c>
      <c r="D22" s="311" t="inlineStr">
        <is>
          <t>маш.-ч</t>
        </is>
      </c>
      <c r="E22" s="402" t="n">
        <v>298.179088</v>
      </c>
      <c r="F22" s="313" t="n">
        <v>243.49</v>
      </c>
      <c r="G22" s="180">
        <f>ROUND(E22*F22,2)</f>
        <v/>
      </c>
      <c r="H22" s="314">
        <f>G22/$G$41</f>
        <v/>
      </c>
      <c r="I22" s="180">
        <f>ROUND(F22*Прил.10!$D$12,2)</f>
        <v/>
      </c>
      <c r="J22" s="180">
        <f>ROUND(I22*E22,2)</f>
        <v/>
      </c>
    </row>
    <row r="23" ht="25.5" customFormat="1" customHeight="1" s="239">
      <c r="A23" s="311" t="n">
        <v>5</v>
      </c>
      <c r="B23" s="202" t="inlineStr">
        <is>
          <t>91.11.02-021</t>
        </is>
      </c>
      <c r="C23" s="310" t="inlineStr">
        <is>
          <t>Комплексы для монтажа проводов методом "под тяжением"</t>
        </is>
      </c>
      <c r="D23" s="311" t="inlineStr">
        <is>
          <t>маш.-ч</t>
        </is>
      </c>
      <c r="E23" s="402" t="n">
        <v>109.116778</v>
      </c>
      <c r="F23" s="313" t="n">
        <v>637.76</v>
      </c>
      <c r="G23" s="180">
        <f>ROUND(E23*F23,2)</f>
        <v/>
      </c>
      <c r="H23" s="314">
        <f>G23/$G$41</f>
        <v/>
      </c>
      <c r="I23" s="180">
        <f>ROUND(F23*Прил.10!$D$12,2)</f>
        <v/>
      </c>
      <c r="J23" s="180">
        <f>ROUND(I23*E23,2)</f>
        <v/>
      </c>
    </row>
    <row r="24" ht="25.5" customFormat="1" customHeight="1" s="239">
      <c r="A24" s="311" t="n">
        <v>6</v>
      </c>
      <c r="B24" s="202" t="inlineStr">
        <is>
          <t>91.15.02-029</t>
        </is>
      </c>
      <c r="C24" s="310" t="inlineStr">
        <is>
          <t>Тракторы на гусеничном ходу с лебедкой 132 кВт (180 л.с.)</t>
        </is>
      </c>
      <c r="D24" s="311" t="inlineStr">
        <is>
          <t>маш.-ч</t>
        </is>
      </c>
      <c r="E24" s="402" t="n">
        <v>398.001999</v>
      </c>
      <c r="F24" s="313" t="n">
        <v>147.43</v>
      </c>
      <c r="G24" s="180">
        <f>ROUND(E24*F24,2)</f>
        <v/>
      </c>
      <c r="H24" s="314">
        <f>G24/$G$41</f>
        <v/>
      </c>
      <c r="I24" s="180">
        <f>ROUND(F24*Прил.10!$D$12,2)</f>
        <v/>
      </c>
      <c r="J24" s="180">
        <f>ROUND(I24*E24,2)</f>
        <v/>
      </c>
    </row>
    <row r="25" ht="25.5" customFormat="1" customHeight="1" s="239">
      <c r="A25" s="311" t="n">
        <v>7</v>
      </c>
      <c r="B25" s="202" t="inlineStr">
        <is>
          <t>91.05.05-016</t>
        </is>
      </c>
      <c r="C25" s="310" t="inlineStr">
        <is>
          <t>Краны на автомобильном ходу, грузоподъемность 25 т</t>
        </is>
      </c>
      <c r="D25" s="311" t="inlineStr">
        <is>
          <t>маш.-ч</t>
        </is>
      </c>
      <c r="E25" s="402" t="n">
        <v>119.015512</v>
      </c>
      <c r="F25" s="313" t="n">
        <v>476.43</v>
      </c>
      <c r="G25" s="180">
        <f>ROUND(E25*F25,2)</f>
        <v/>
      </c>
      <c r="H25" s="314">
        <f>G25/$G$41</f>
        <v/>
      </c>
      <c r="I25" s="180">
        <f>ROUND(F25*Прил.10!$D$12,2)</f>
        <v/>
      </c>
      <c r="J25" s="180">
        <f>ROUND(I25*E25,2)</f>
        <v/>
      </c>
    </row>
    <row r="26" ht="14.25" customFormat="1" customHeight="1" s="239">
      <c r="A26" s="311" t="n"/>
      <c r="B26" s="311" t="n"/>
      <c r="C26" s="310" t="inlineStr">
        <is>
          <t>Итого основные машины и механизмы</t>
        </is>
      </c>
      <c r="D26" s="311" t="n"/>
      <c r="E26" s="402" t="n"/>
      <c r="F26" s="180" t="n"/>
      <c r="G26" s="180">
        <f>SUM(G22:G25)</f>
        <v/>
      </c>
      <c r="H26" s="315">
        <f>G26/G41</f>
        <v/>
      </c>
      <c r="I26" s="126" t="n"/>
      <c r="J26" s="180">
        <f>SUM(J22:J25)</f>
        <v/>
      </c>
    </row>
    <row r="27" ht="25.5" customFormat="1" customHeight="1" s="239">
      <c r="A27" s="311" t="n"/>
      <c r="B27" s="311" t="n"/>
      <c r="C27" s="176" t="inlineStr">
        <is>
          <t>Итого основные машины и механизмы 
(с коэффициентом на демонтаж 0,7)</t>
        </is>
      </c>
      <c r="D27" s="311" t="n"/>
      <c r="E27" s="403" t="n"/>
      <c r="F27" s="312" t="n"/>
      <c r="G27" s="180">
        <f>G26*0.7</f>
        <v/>
      </c>
      <c r="H27" s="314">
        <f>G27/G42</f>
        <v/>
      </c>
      <c r="I27" s="180" t="n"/>
      <c r="J27" s="180">
        <f>J26*0.7</f>
        <v/>
      </c>
    </row>
    <row r="28" hidden="1" outlineLevel="1" ht="14.25" customFormat="1" customHeight="1" s="239">
      <c r="A28" s="311" t="n">
        <v>8</v>
      </c>
      <c r="B28" s="202" t="inlineStr">
        <is>
          <t>91.14.04-002</t>
        </is>
      </c>
      <c r="C28" s="310" t="inlineStr">
        <is>
          <t>Тягачи седельные, грузоподъемность 15 т</t>
        </is>
      </c>
      <c r="D28" s="311" t="inlineStr">
        <is>
          <t>маш.-ч</t>
        </is>
      </c>
      <c r="E28" s="402" t="n">
        <v>160.6995124</v>
      </c>
      <c r="F28" s="313" t="n">
        <v>94.38</v>
      </c>
      <c r="G28" s="180">
        <f>ROUND(E28*F28,2)</f>
        <v/>
      </c>
      <c r="H28" s="314">
        <f>G28/$G$41</f>
        <v/>
      </c>
      <c r="I28" s="180">
        <f>ROUND(F28*Прил.10!$D$12,2)</f>
        <v/>
      </c>
      <c r="J28" s="180">
        <f>ROUND(I28*E28,2)</f>
        <v/>
      </c>
    </row>
    <row r="29" hidden="1" outlineLevel="1" ht="25.5" customFormat="1" customHeight="1" s="239">
      <c r="A29" s="311" t="n">
        <v>9</v>
      </c>
      <c r="B29" s="202" t="inlineStr">
        <is>
          <t>91.16.01-002</t>
        </is>
      </c>
      <c r="C29" s="310" t="inlineStr">
        <is>
          <t>Электростанции передвижные, мощность 4 кВт</t>
        </is>
      </c>
      <c r="D29" s="311" t="inlineStr">
        <is>
          <t>маш.-ч</t>
        </is>
      </c>
      <c r="E29" s="402" t="n">
        <v>145.92</v>
      </c>
      <c r="F29" s="313" t="n">
        <v>27.11</v>
      </c>
      <c r="G29" s="180">
        <f>ROUND(E29*F29,2)</f>
        <v/>
      </c>
      <c r="H29" s="314">
        <f>G29/$G$41</f>
        <v/>
      </c>
      <c r="I29" s="180">
        <f>ROUND(F29*Прил.10!$D$12,2)</f>
        <v/>
      </c>
      <c r="J29" s="180">
        <f>ROUND(I29*E29,2)</f>
        <v/>
      </c>
    </row>
    <row r="30" hidden="1" outlineLevel="1" ht="25.5" customFormat="1" customHeight="1" s="239">
      <c r="A30" s="311" t="n">
        <v>10</v>
      </c>
      <c r="B30" s="202" t="inlineStr">
        <is>
          <t>91.14.05-012</t>
        </is>
      </c>
      <c r="C30" s="310" t="inlineStr">
        <is>
          <t>Полуприцепы общего назначения, грузоподъемность 15 т</t>
        </is>
      </c>
      <c r="D30" s="311" t="inlineStr">
        <is>
          <t>маш.-ч</t>
        </is>
      </c>
      <c r="E30" s="402" t="n">
        <v>160.6995124</v>
      </c>
      <c r="F30" s="313" t="n">
        <v>19.76</v>
      </c>
      <c r="G30" s="180">
        <f>ROUND(E30*F30,2)</f>
        <v/>
      </c>
      <c r="H30" s="314">
        <f>G30/$G$41</f>
        <v/>
      </c>
      <c r="I30" s="180">
        <f>ROUND(F30*Прил.10!$D$12,2)</f>
        <v/>
      </c>
      <c r="J30" s="180">
        <f>ROUND(I30*E30,2)</f>
        <v/>
      </c>
    </row>
    <row r="31" hidden="1" outlineLevel="1" ht="25.5" customFormat="1" customHeight="1" s="239">
      <c r="A31" s="311" t="n">
        <v>11</v>
      </c>
      <c r="B31" s="202" t="inlineStr">
        <is>
          <t>91.14.02-004</t>
        </is>
      </c>
      <c r="C31" s="310" t="inlineStr">
        <is>
          <t>Автомобили бортовые, грузоподъемность до 15 т</t>
        </is>
      </c>
      <c r="D31" s="311" t="inlineStr">
        <is>
          <t>маш.-ч</t>
        </is>
      </c>
      <c r="E31" s="402" t="n">
        <v>32.456039</v>
      </c>
      <c r="F31" s="313" t="n">
        <v>92.94</v>
      </c>
      <c r="G31" s="180">
        <f>ROUND(E31*F31,2)</f>
        <v/>
      </c>
      <c r="H31" s="314">
        <f>G31/$G$41</f>
        <v/>
      </c>
      <c r="I31" s="180">
        <f>ROUND(F31*Прил.10!$D$12,2)</f>
        <v/>
      </c>
      <c r="J31" s="180">
        <f>ROUND(I31*E31,2)</f>
        <v/>
      </c>
    </row>
    <row r="32" hidden="1" outlineLevel="1" ht="25.5" customFormat="1" customHeight="1" s="239">
      <c r="A32" s="311" t="n">
        <v>12</v>
      </c>
      <c r="B32" s="202" t="inlineStr">
        <is>
          <t>91.13.03-111</t>
        </is>
      </c>
      <c r="C32" s="310" t="inlineStr">
        <is>
          <t>Спецавтомобили-вездеходы, грузоподъемность до 8 т</t>
        </is>
      </c>
      <c r="D32" s="311" t="inlineStr">
        <is>
          <t>маш.-ч</t>
        </is>
      </c>
      <c r="E32" s="402" t="n">
        <v>12.9156</v>
      </c>
      <c r="F32" s="313" t="n">
        <v>189.95</v>
      </c>
      <c r="G32" s="180">
        <f>ROUND(E32*F32,2)</f>
        <v/>
      </c>
      <c r="H32" s="314">
        <f>G32/$G$41</f>
        <v/>
      </c>
      <c r="I32" s="180">
        <f>ROUND(F32*Прил.10!$D$12,2)</f>
        <v/>
      </c>
      <c r="J32" s="180">
        <f>ROUND(I32*E32,2)</f>
        <v/>
      </c>
    </row>
    <row r="33" hidden="1" outlineLevel="1" ht="14.25" customFormat="1" customHeight="1" s="239">
      <c r="A33" s="311" t="n">
        <v>13</v>
      </c>
      <c r="B33" s="202" t="inlineStr">
        <is>
          <t>91.21.22-341</t>
        </is>
      </c>
      <c r="C33" s="310" t="inlineStr">
        <is>
          <t>Рефлектометры</t>
        </is>
      </c>
      <c r="D33" s="311" t="inlineStr">
        <is>
          <t>маш.-ч</t>
        </is>
      </c>
      <c r="E33" s="402" t="n">
        <v>170.88</v>
      </c>
      <c r="F33" s="313" t="n">
        <v>10.62</v>
      </c>
      <c r="G33" s="180">
        <f>ROUND(E33*F33,2)</f>
        <v/>
      </c>
      <c r="H33" s="314">
        <f>G33/$G$41</f>
        <v/>
      </c>
      <c r="I33" s="180">
        <f>ROUND(F33*Прил.10!$D$12,2)</f>
        <v/>
      </c>
      <c r="J33" s="180">
        <f>ROUND(I33*E33,2)</f>
        <v/>
      </c>
    </row>
    <row r="34" hidden="1" outlineLevel="1" ht="25.5" customFormat="1" customHeight="1" s="239">
      <c r="A34" s="311" t="n">
        <v>14</v>
      </c>
      <c r="B34" s="202" t="inlineStr">
        <is>
          <t>91.17.04-194</t>
        </is>
      </c>
      <c r="C34" s="310" t="inlineStr">
        <is>
          <t>Аппараты сварочные для сварки оптических кабелей со скалывателем</t>
        </is>
      </c>
      <c r="D34" s="311" t="inlineStr">
        <is>
          <t>маш.-ч</t>
        </is>
      </c>
      <c r="E34" s="402" t="n">
        <v>134.64</v>
      </c>
      <c r="F34" s="313" t="n">
        <v>12.14</v>
      </c>
      <c r="G34" s="180">
        <f>ROUND(E34*F34,2)</f>
        <v/>
      </c>
      <c r="H34" s="314">
        <f>G34/$G$41</f>
        <v/>
      </c>
      <c r="I34" s="180">
        <f>ROUND(F34*Прил.10!$D$12,2)</f>
        <v/>
      </c>
      <c r="J34" s="180">
        <f>ROUND(I34*E34,2)</f>
        <v/>
      </c>
    </row>
    <row r="35" hidden="1" outlineLevel="1" ht="14.25" customFormat="1" customHeight="1" s="239">
      <c r="A35" s="311" t="n">
        <v>15</v>
      </c>
      <c r="B35" s="202" t="inlineStr">
        <is>
          <t>91.06.05-011</t>
        </is>
      </c>
      <c r="C35" s="310" t="inlineStr">
        <is>
          <t>Погрузчики, грузоподъемность 5 т</t>
        </is>
      </c>
      <c r="D35" s="311" t="inlineStr">
        <is>
          <t>маш.-ч</t>
        </is>
      </c>
      <c r="E35" s="402" t="n">
        <v>16.151862</v>
      </c>
      <c r="F35" s="313" t="n">
        <v>89.98999999999999</v>
      </c>
      <c r="G35" s="180">
        <f>ROUND(E35*F35,2)</f>
        <v/>
      </c>
      <c r="H35" s="314">
        <f>G35/$G$41</f>
        <v/>
      </c>
      <c r="I35" s="180">
        <f>ROUND(F35*Прил.10!$D$12,2)</f>
        <v/>
      </c>
      <c r="J35" s="180">
        <f>ROUND(I35*E35,2)</f>
        <v/>
      </c>
    </row>
    <row r="36" hidden="1" outlineLevel="1" ht="25.5" customFormat="1" customHeight="1" s="239">
      <c r="A36" s="311" t="n">
        <v>16</v>
      </c>
      <c r="B36" s="202" t="inlineStr">
        <is>
          <t>91.14.02-002</t>
        </is>
      </c>
      <c r="C36" s="310" t="inlineStr">
        <is>
          <t>Автомобили бортовые, грузоподъемность до 8 т</t>
        </is>
      </c>
      <c r="D36" s="311" t="inlineStr">
        <is>
          <t>маш.-ч</t>
        </is>
      </c>
      <c r="E36" s="402" t="n">
        <v>1.9236</v>
      </c>
      <c r="F36" s="313" t="n">
        <v>85.84</v>
      </c>
      <c r="G36" s="180">
        <f>ROUND(E36*F36,2)</f>
        <v/>
      </c>
      <c r="H36" s="314">
        <f>G36/$G$41</f>
        <v/>
      </c>
      <c r="I36" s="180">
        <f>ROUND(F36*Прил.10!$D$12,2)</f>
        <v/>
      </c>
      <c r="J36" s="180">
        <f>ROUND(I36*E36,2)</f>
        <v/>
      </c>
    </row>
    <row r="37" hidden="1" outlineLevel="1" ht="25.5" customFormat="1" customHeight="1" s="239">
      <c r="A37" s="311" t="n">
        <v>17</v>
      </c>
      <c r="B37" s="202" t="inlineStr">
        <is>
          <t>91.21.16-012</t>
        </is>
      </c>
      <c r="C37" s="310" t="inlineStr">
        <is>
          <t>Прессы гидравлические с электроприводом</t>
        </is>
      </c>
      <c r="D37" s="311" t="inlineStr">
        <is>
          <t>маш.-ч</t>
        </is>
      </c>
      <c r="E37" s="402" t="n">
        <v>123.6743037</v>
      </c>
      <c r="F37" s="313" t="n">
        <v>1.11</v>
      </c>
      <c r="G37" s="180">
        <f>ROUND(E37*F37,2)</f>
        <v/>
      </c>
      <c r="H37" s="314">
        <f>G37/$G$41</f>
        <v/>
      </c>
      <c r="I37" s="180">
        <f>ROUND(F37*Прил.10!$D$12,2)</f>
        <v/>
      </c>
      <c r="J37" s="180">
        <f>ROUND(I37*E37,2)</f>
        <v/>
      </c>
    </row>
    <row r="38" hidden="1" outlineLevel="1" ht="14.25" customFormat="1" customHeight="1" s="239">
      <c r="A38" s="311" t="n">
        <v>18</v>
      </c>
      <c r="B38" s="202" t="inlineStr">
        <is>
          <t>91.11.02-061</t>
        </is>
      </c>
      <c r="C38" s="310" t="inlineStr">
        <is>
          <t>Тележки раскаточные на гусеничном ходу</t>
        </is>
      </c>
      <c r="D38" s="311" t="inlineStr">
        <is>
          <t>маш.-ч</t>
        </is>
      </c>
      <c r="E38" s="402" t="n">
        <v>1.5572</v>
      </c>
      <c r="F38" s="313" t="n">
        <v>17.14</v>
      </c>
      <c r="G38" s="180">
        <f>ROUND(E38*F38,2)</f>
        <v/>
      </c>
      <c r="H38" s="314">
        <f>G38/$G$41</f>
        <v/>
      </c>
      <c r="I38" s="180">
        <f>ROUND(F38*Прил.10!$D$12,2)</f>
        <v/>
      </c>
      <c r="J38" s="180">
        <f>ROUND(I38*E38,2)</f>
        <v/>
      </c>
    </row>
    <row r="39" collapsed="1" ht="14.25" customFormat="1" customHeight="1" s="239">
      <c r="A39" s="311" t="n"/>
      <c r="B39" s="311" t="n"/>
      <c r="C39" s="310" t="inlineStr">
        <is>
          <t>Итого прочие машины и механизмы</t>
        </is>
      </c>
      <c r="D39" s="311" t="n"/>
      <c r="E39" s="312" t="n"/>
      <c r="F39" s="180" t="n"/>
      <c r="G39" s="126">
        <f>SUM(G28:G38)</f>
        <v/>
      </c>
      <c r="H39" s="314">
        <f>G39/G41</f>
        <v/>
      </c>
      <c r="I39" s="180" t="n"/>
      <c r="J39" s="126">
        <f>SUM(J28:J38)</f>
        <v/>
      </c>
    </row>
    <row r="40" ht="25.5" customFormat="1" customHeight="1" s="239">
      <c r="A40" s="311" t="n"/>
      <c r="B40" s="311" t="n"/>
      <c r="C40" s="176" t="inlineStr">
        <is>
          <t>Итого прочие машины и механизмы 
(с коэффициентом на демонтаж 0,7)</t>
        </is>
      </c>
      <c r="D40" s="311" t="n"/>
      <c r="E40" s="312" t="n"/>
      <c r="F40" s="180" t="n"/>
      <c r="G40" s="180">
        <f>G39*0.7</f>
        <v/>
      </c>
      <c r="H40" s="314">
        <f>G40/G42</f>
        <v/>
      </c>
      <c r="I40" s="180" t="n"/>
      <c r="J40" s="180">
        <f>J39*0.7</f>
        <v/>
      </c>
    </row>
    <row r="41" ht="25.5" customFormat="1" customHeight="1" s="239">
      <c r="A41" s="311" t="n"/>
      <c r="B41" s="311" t="n"/>
      <c r="C41" s="299" t="inlineStr">
        <is>
          <t>Итого по разделу «Машины и механизмы»</t>
        </is>
      </c>
      <c r="D41" s="311" t="n"/>
      <c r="E41" s="312" t="n"/>
      <c r="F41" s="180" t="n"/>
      <c r="G41" s="180">
        <f>G39+G26</f>
        <v/>
      </c>
      <c r="H41" s="188" t="n">
        <v>1</v>
      </c>
      <c r="I41" s="189" t="n"/>
      <c r="J41" s="187">
        <f>J39+J26</f>
        <v/>
      </c>
    </row>
    <row r="42" ht="38.25" customFormat="1" customHeight="1" s="239">
      <c r="A42" s="311" t="n"/>
      <c r="B42" s="311" t="n"/>
      <c r="C42" s="184" t="inlineStr">
        <is>
          <t>Итого по разделу «Машины и механизмы»  
(с коэффициентом на демонтаж 0,7)</t>
        </is>
      </c>
      <c r="D42" s="325" t="n"/>
      <c r="E42" s="186" t="n"/>
      <c r="F42" s="187" t="n"/>
      <c r="G42" s="187">
        <f>G27+G40</f>
        <v/>
      </c>
      <c r="H42" s="188" t="n">
        <v>1</v>
      </c>
      <c r="I42" s="189" t="n"/>
      <c r="J42" s="187">
        <f>J27+J40</f>
        <v/>
      </c>
    </row>
    <row r="43" ht="14.25" customFormat="1" customHeight="1" s="239">
      <c r="A43" s="311" t="n"/>
      <c r="B43" s="299" t="inlineStr">
        <is>
          <t>Оборудование</t>
        </is>
      </c>
      <c r="C43" s="390" t="n"/>
      <c r="D43" s="390" t="n"/>
      <c r="E43" s="390" t="n"/>
      <c r="F43" s="390" t="n"/>
      <c r="G43" s="390" t="n"/>
      <c r="H43" s="391" t="n"/>
      <c r="I43" s="167" t="n"/>
      <c r="J43" s="167" t="n"/>
    </row>
    <row r="44">
      <c r="A44" s="311" t="n"/>
      <c r="B44" s="310" t="inlineStr">
        <is>
          <t>Основное оборудование</t>
        </is>
      </c>
      <c r="C44" s="390" t="n"/>
      <c r="D44" s="390" t="n"/>
      <c r="E44" s="390" t="n"/>
      <c r="F44" s="390" t="n"/>
      <c r="G44" s="390" t="n"/>
      <c r="H44" s="391" t="n"/>
      <c r="I44" s="167" t="n"/>
      <c r="J44" s="167" t="n"/>
    </row>
    <row r="45">
      <c r="A45" s="311" t="n"/>
      <c r="B45" s="157" t="n"/>
      <c r="C45" s="158" t="inlineStr">
        <is>
          <t>Итого основное оборудование</t>
        </is>
      </c>
      <c r="D45" s="311" t="n"/>
      <c r="E45" s="402" t="n"/>
      <c r="F45" s="313" t="n"/>
      <c r="G45" s="180" t="n">
        <v>0</v>
      </c>
      <c r="H45" s="315" t="n">
        <v>0</v>
      </c>
      <c r="I45" s="126" t="n"/>
      <c r="J45" s="180" t="n">
        <v>0</v>
      </c>
    </row>
    <row r="46">
      <c r="A46" s="311" t="n"/>
      <c r="B46" s="311" t="n"/>
      <c r="C46" s="310" t="inlineStr">
        <is>
          <t>Итого прочее оборудование</t>
        </is>
      </c>
      <c r="D46" s="311" t="n"/>
      <c r="E46" s="402" t="n"/>
      <c r="F46" s="313" t="n"/>
      <c r="G46" s="180" t="n">
        <v>0</v>
      </c>
      <c r="H46" s="314" t="n">
        <v>0</v>
      </c>
      <c r="I46" s="126" t="n"/>
      <c r="J46" s="180" t="n">
        <v>0</v>
      </c>
    </row>
    <row r="47">
      <c r="A47" s="311" t="n"/>
      <c r="B47" s="311" t="n"/>
      <c r="C47" s="299" t="inlineStr">
        <is>
          <t>Итого по разделу «Оборудование»</t>
        </is>
      </c>
      <c r="D47" s="311" t="n"/>
      <c r="E47" s="312" t="n"/>
      <c r="F47" s="313" t="n"/>
      <c r="G47" s="180">
        <f>G46+G45</f>
        <v/>
      </c>
      <c r="H47" s="315">
        <f>H46+H45</f>
        <v/>
      </c>
      <c r="I47" s="126" t="n"/>
      <c r="J47" s="180">
        <f>J46+J45</f>
        <v/>
      </c>
    </row>
    <row r="48" ht="25.5" customHeight="1" s="242">
      <c r="A48" s="311" t="n"/>
      <c r="B48" s="311" t="n"/>
      <c r="C48" s="310" t="inlineStr">
        <is>
          <t>в том числе технологическое оборудование</t>
        </is>
      </c>
      <c r="D48" s="311" t="n"/>
      <c r="E48" s="403" t="n"/>
      <c r="F48" s="313" t="n"/>
      <c r="G48" s="180" t="n">
        <v>0</v>
      </c>
      <c r="H48" s="315" t="n"/>
      <c r="I48" s="126" t="n"/>
      <c r="J48" s="180">
        <f>J47</f>
        <v/>
      </c>
    </row>
    <row r="49" ht="14.25" customFormat="1" customHeight="1" s="239">
      <c r="A49" s="311" t="n"/>
      <c r="B49" s="299" t="inlineStr">
        <is>
          <t>Материалы</t>
        </is>
      </c>
      <c r="C49" s="390" t="n"/>
      <c r="D49" s="390" t="n"/>
      <c r="E49" s="390" t="n"/>
      <c r="F49" s="390" t="n"/>
      <c r="G49" s="390" t="n"/>
      <c r="H49" s="391" t="n"/>
      <c r="I49" s="191" t="n"/>
      <c r="J49" s="191" t="n"/>
    </row>
    <row r="50" ht="14.25" customFormat="1" customHeight="1" s="239">
      <c r="A50" s="311" t="n"/>
      <c r="B50" s="310" t="inlineStr">
        <is>
          <t>Основные материалы</t>
        </is>
      </c>
      <c r="C50" s="390" t="n"/>
      <c r="D50" s="390" t="n"/>
      <c r="E50" s="390" t="n"/>
      <c r="F50" s="390" t="n"/>
      <c r="G50" s="390" t="n"/>
      <c r="H50" s="391" t="n"/>
      <c r="I50" s="191" t="n"/>
      <c r="J50" s="191" t="n"/>
    </row>
    <row r="51" ht="14.25" customFormat="1" customHeight="1" s="239">
      <c r="A51" s="311" t="n"/>
      <c r="B51" s="202" t="n"/>
      <c r="C51" s="310" t="inlineStr">
        <is>
          <t>Итого основные материалы</t>
        </is>
      </c>
      <c r="D51" s="311" t="n"/>
      <c r="E51" s="402" t="n"/>
      <c r="F51" s="180" t="n"/>
      <c r="G51" s="180" t="n">
        <v>0</v>
      </c>
      <c r="H51" s="314" t="n">
        <v>0</v>
      </c>
      <c r="I51" s="180" t="n"/>
      <c r="J51" s="180" t="n">
        <v>0</v>
      </c>
    </row>
    <row r="52" ht="14.25" customFormat="1" customHeight="1" s="239">
      <c r="A52" s="311" t="n"/>
      <c r="B52" s="311" t="n"/>
      <c r="C52" s="310" t="inlineStr">
        <is>
          <t>Итого прочие материалы</t>
        </is>
      </c>
      <c r="D52" s="311" t="n"/>
      <c r="E52" s="312" t="n"/>
      <c r="F52" s="313" t="n"/>
      <c r="G52" s="180" t="n">
        <v>0</v>
      </c>
      <c r="H52" s="314" t="n">
        <v>0</v>
      </c>
      <c r="I52" s="180" t="n"/>
      <c r="J52" s="180" t="n">
        <v>0</v>
      </c>
    </row>
    <row r="53" ht="14.25" customFormat="1" customHeight="1" s="239">
      <c r="A53" s="311" t="n"/>
      <c r="B53" s="311" t="n"/>
      <c r="C53" s="299" t="inlineStr">
        <is>
          <t>Итого по разделу «Материалы»</t>
        </is>
      </c>
      <c r="D53" s="311" t="n"/>
      <c r="E53" s="312" t="n"/>
      <c r="F53" s="313" t="n"/>
      <c r="G53" s="180">
        <f>G51+G52</f>
        <v/>
      </c>
      <c r="H53" s="314" t="n">
        <v>0</v>
      </c>
      <c r="I53" s="180" t="n"/>
      <c r="J53" s="180">
        <f>J51+J52</f>
        <v/>
      </c>
    </row>
    <row r="54" ht="14.25" customFormat="1" customHeight="1" s="239">
      <c r="A54" s="311" t="n"/>
      <c r="B54" s="311" t="n"/>
      <c r="C54" s="310" t="inlineStr">
        <is>
          <t>ИТОГО ПО РМ</t>
        </is>
      </c>
      <c r="D54" s="311" t="n"/>
      <c r="E54" s="312" t="n"/>
      <c r="F54" s="313" t="n"/>
      <c r="G54" s="180">
        <f>G15+G41</f>
        <v/>
      </c>
      <c r="H54" s="314" t="n"/>
      <c r="I54" s="180" t="n"/>
      <c r="J54" s="180">
        <f>J15+J41+J53</f>
        <v/>
      </c>
    </row>
    <row r="55" ht="25.5" customFormat="1" customHeight="1" s="239">
      <c r="A55" s="311" t="n"/>
      <c r="B55" s="311" t="n"/>
      <c r="C55" s="310" t="inlineStr">
        <is>
          <t>ИТОГО ПО РМ
(с коэффициентом на демонтаж 0,7)</t>
        </is>
      </c>
      <c r="D55" s="311" t="n"/>
      <c r="E55" s="312" t="n"/>
      <c r="F55" s="313" t="n"/>
      <c r="G55" s="180">
        <f>G16+G42</f>
        <v/>
      </c>
      <c r="H55" s="314" t="n"/>
      <c r="I55" s="180" t="n"/>
      <c r="J55" s="180">
        <f>J15*0.7+J41*0.7+J53</f>
        <v/>
      </c>
    </row>
    <row r="56" ht="14.25" customFormat="1" customHeight="1" s="239">
      <c r="A56" s="311" t="n"/>
      <c r="B56" s="311" t="n"/>
      <c r="C56" s="310" t="inlineStr">
        <is>
          <t>Накладные расходы</t>
        </is>
      </c>
      <c r="D56" s="132">
        <f>ROUND(G56/(G$18+$G$15),2)</f>
        <v/>
      </c>
      <c r="E56" s="312" t="n"/>
      <c r="F56" s="313" t="n"/>
      <c r="G56" s="180" t="n">
        <v>67777.639060606</v>
      </c>
      <c r="H56" s="315" t="n"/>
      <c r="I56" s="180" t="n"/>
      <c r="J56" s="180">
        <f>ROUND(D56*(J15+J18),2)</f>
        <v/>
      </c>
    </row>
    <row r="57" ht="25.5" customFormat="1" customHeight="1" s="239">
      <c r="A57" s="311" t="n"/>
      <c r="B57" s="311" t="n"/>
      <c r="C57" s="310" t="inlineStr">
        <is>
          <t>Накладные расходы 
(с коэффициентом на демонтаж 0,7)</t>
        </is>
      </c>
      <c r="D57" s="190">
        <f>ROUND(G57/(G$19+$G$16),2)</f>
        <v/>
      </c>
      <c r="E57" s="312" t="n"/>
      <c r="F57" s="313" t="n"/>
      <c r="G57" s="180">
        <f>G56*0.7</f>
        <v/>
      </c>
      <c r="H57" s="315" t="n"/>
      <c r="I57" s="180" t="n"/>
      <c r="J57" s="180">
        <f>ROUND(D57*(J16+J19),2)</f>
        <v/>
      </c>
    </row>
    <row r="58" ht="14.25" customFormat="1" customHeight="1" s="239">
      <c r="A58" s="311" t="n"/>
      <c r="B58" s="311" t="n"/>
      <c r="C58" s="310" t="inlineStr">
        <is>
          <t>Сметная прибыль</t>
        </is>
      </c>
      <c r="D58" s="132">
        <f>ROUND(G58/(G$15+G$18),2)</f>
        <v/>
      </c>
      <c r="E58" s="312" t="n"/>
      <c r="F58" s="313" t="n"/>
      <c r="G58" s="180" t="n">
        <v>39645.627645647</v>
      </c>
      <c r="H58" s="315" t="n"/>
      <c r="I58" s="180" t="n"/>
      <c r="J58" s="180">
        <f>ROUND(D58*(J15+J18),2)</f>
        <v/>
      </c>
    </row>
    <row r="59" ht="25.5" customFormat="1" customHeight="1" s="239">
      <c r="A59" s="311" t="n"/>
      <c r="B59" s="311" t="n"/>
      <c r="C59" s="310" t="inlineStr">
        <is>
          <t>Сметная прибыль 
(с коэффициентом на демонтаж 0,7)</t>
        </is>
      </c>
      <c r="D59" s="190">
        <f>ROUND(G59/(G$16+G$19),2)</f>
        <v/>
      </c>
      <c r="E59" s="312" t="n"/>
      <c r="F59" s="313" t="n"/>
      <c r="G59" s="180">
        <f>G58*0.7</f>
        <v/>
      </c>
      <c r="H59" s="315" t="n"/>
      <c r="I59" s="180" t="n"/>
      <c r="J59" s="180">
        <f>ROUND(D59*(J16+J19),2)</f>
        <v/>
      </c>
    </row>
    <row r="60" ht="25.5" customFormat="1" customHeight="1" s="239">
      <c r="A60" s="311" t="n"/>
      <c r="B60" s="311" t="n"/>
      <c r="C60" s="310" t="inlineStr">
        <is>
          <t>Итого СМР (с НР и СП) 
(с коэффициентом на демонтаж 0,7)</t>
        </is>
      </c>
      <c r="D60" s="311" t="n"/>
      <c r="E60" s="312" t="n"/>
      <c r="F60" s="313" t="n"/>
      <c r="G60" s="180">
        <f>G55+G57+G59</f>
        <v/>
      </c>
      <c r="H60" s="315" t="n"/>
      <c r="I60" s="180" t="n"/>
      <c r="J60" s="180">
        <f>ROUND((J55+J57+J59),2)</f>
        <v/>
      </c>
    </row>
    <row r="61" ht="25.5" customFormat="1" customHeight="1" s="239">
      <c r="A61" s="311" t="n"/>
      <c r="B61" s="311" t="n"/>
      <c r="C61" s="310" t="inlineStr">
        <is>
          <t>ВСЕГО СМР + ОБОРУДОВАНИЕ 
(с коэффициентом на демонтаж 0,7)</t>
        </is>
      </c>
      <c r="D61" s="311" t="n"/>
      <c r="E61" s="312" t="n"/>
      <c r="F61" s="313" t="n"/>
      <c r="G61" s="180">
        <f>G60</f>
        <v/>
      </c>
      <c r="H61" s="315" t="n"/>
      <c r="I61" s="180" t="n"/>
      <c r="J61" s="180">
        <f>J60</f>
        <v/>
      </c>
    </row>
    <row r="62" ht="34.5" customFormat="1" customHeight="1" s="239">
      <c r="A62" s="311" t="n"/>
      <c r="B62" s="311" t="n"/>
      <c r="C62" s="310" t="inlineStr">
        <is>
          <t>ИТОГО ПОКАЗАТЕЛЬ НА ЕД. ИЗМ.</t>
        </is>
      </c>
      <c r="D62" s="311" t="inlineStr">
        <is>
          <t>ед.</t>
        </is>
      </c>
      <c r="E62" s="312" t="n">
        <v>90</v>
      </c>
      <c r="F62" s="313" t="n"/>
      <c r="G62" s="180">
        <f>G61/E62</f>
        <v/>
      </c>
      <c r="H62" s="315" t="n"/>
      <c r="I62" s="180" t="n"/>
      <c r="J62" s="187">
        <f>J61/E62</f>
        <v/>
      </c>
    </row>
    <row r="64" ht="14.25" customFormat="1" customHeight="1" s="239">
      <c r="A64" s="238" t="inlineStr">
        <is>
          <t>Составил ______________________     Д.А. Самуйленко</t>
        </is>
      </c>
    </row>
    <row r="65" ht="14.25" customFormat="1" customHeight="1" s="239">
      <c r="A65" s="241" t="inlineStr">
        <is>
          <t xml:space="preserve">                         (подпись, инициалы, фамилия)</t>
        </is>
      </c>
    </row>
    <row r="66" ht="14.25" customFormat="1" customHeight="1" s="239">
      <c r="A66" s="238" t="n"/>
    </row>
    <row r="67" ht="14.25" customFormat="1" customHeight="1" s="239">
      <c r="A67" s="238" t="inlineStr">
        <is>
          <t>Проверил ______________________        А.В. Костянецкая</t>
        </is>
      </c>
    </row>
    <row r="68" ht="14.25" customFormat="1" customHeight="1" s="239">
      <c r="A68" s="241" t="inlineStr">
        <is>
          <t xml:space="preserve">                        (подпись, инициалы, фамилия)</t>
        </is>
      </c>
    </row>
  </sheetData>
  <mergeCells count="21">
    <mergeCell ref="H9:H10"/>
    <mergeCell ref="B49:H49"/>
    <mergeCell ref="A4:J4"/>
    <mergeCell ref="H2:J2"/>
    <mergeCell ref="B20:H20"/>
    <mergeCell ref="C9:C10"/>
    <mergeCell ref="E9:E10"/>
    <mergeCell ref="B50:H50"/>
    <mergeCell ref="A7:H7"/>
    <mergeCell ref="B9:B10"/>
    <mergeCell ref="D9:D10"/>
    <mergeCell ref="B21:H21"/>
    <mergeCell ref="B43:H43"/>
    <mergeCell ref="B12:H12"/>
    <mergeCell ref="D6:J6"/>
    <mergeCell ref="A8:H8"/>
    <mergeCell ref="F9:G9"/>
    <mergeCell ref="B17:H17"/>
    <mergeCell ref="A9:A10"/>
    <mergeCell ref="B44:H44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2" min="1" max="1"/>
    <col width="17.5703125" customWidth="1" style="242" min="2" max="2"/>
    <col width="39.140625" customWidth="1" style="242" min="3" max="3"/>
    <col width="10.7109375" customWidth="1" style="333" min="4" max="4"/>
    <col width="13.85546875" customWidth="1" style="242" min="5" max="5"/>
    <col width="13.28515625" customWidth="1" style="242" min="6" max="6"/>
    <col width="14.140625" customWidth="1" style="242" min="7" max="7"/>
  </cols>
  <sheetData>
    <row r="1">
      <c r="A1" s="326" t="inlineStr">
        <is>
          <t>Приложение №6</t>
        </is>
      </c>
    </row>
    <row r="2" ht="21.75" customHeight="1" s="242">
      <c r="A2" s="326" t="n"/>
      <c r="B2" s="326" t="n"/>
      <c r="C2" s="326" t="n"/>
      <c r="D2" s="335" t="n"/>
      <c r="E2" s="326" t="n"/>
      <c r="F2" s="326" t="n"/>
      <c r="G2" s="326" t="n"/>
    </row>
    <row r="3">
      <c r="A3" s="276" t="inlineStr">
        <is>
          <t>Расчет стоимости оборудования</t>
        </is>
      </c>
    </row>
    <row r="4" ht="25.5" customHeight="1" s="242">
      <c r="A4" s="279" t="inlineStr">
        <is>
          <t>Наименование разрабатываемого показателя УНЦ — Демонтаж ОКГТ механическая прочность на разрыв 83кН, количество волокон 24 шт.</t>
        </is>
      </c>
    </row>
    <row r="5">
      <c r="A5" s="238" t="n"/>
      <c r="B5" s="238" t="n"/>
      <c r="C5" s="238" t="n"/>
      <c r="D5" s="335" t="n"/>
      <c r="E5" s="238" t="n"/>
      <c r="F5" s="238" t="n"/>
      <c r="G5" s="238" t="n"/>
    </row>
    <row r="6" ht="30" customHeight="1" s="242">
      <c r="A6" s="331" t="inlineStr">
        <is>
          <t>№ пп.</t>
        </is>
      </c>
      <c r="B6" s="331" t="inlineStr">
        <is>
          <t>Код ресурса</t>
        </is>
      </c>
      <c r="C6" s="331" t="inlineStr">
        <is>
          <t>Наименование</t>
        </is>
      </c>
      <c r="D6" s="331" t="inlineStr">
        <is>
          <t>Ед. изм.</t>
        </is>
      </c>
      <c r="E6" s="311" t="inlineStr">
        <is>
          <t>Кол-во единиц по проектным данным</t>
        </is>
      </c>
      <c r="F6" s="331" t="inlineStr">
        <is>
          <t>Сметная стоимость в ценах на 01.01.2000 (руб.)</t>
        </is>
      </c>
      <c r="G6" s="391" t="n"/>
    </row>
    <row r="7">
      <c r="A7" s="393" t="n"/>
      <c r="B7" s="393" t="n"/>
      <c r="C7" s="393" t="n"/>
      <c r="D7" s="393" t="n"/>
      <c r="E7" s="393" t="n"/>
      <c r="F7" s="311" t="inlineStr">
        <is>
          <t>на ед. изм.</t>
        </is>
      </c>
      <c r="G7" s="311" t="inlineStr">
        <is>
          <t>общая</t>
        </is>
      </c>
    </row>
    <row r="8">
      <c r="A8" s="311" t="n">
        <v>1</v>
      </c>
      <c r="B8" s="311" t="n">
        <v>2</v>
      </c>
      <c r="C8" s="311" t="n">
        <v>3</v>
      </c>
      <c r="D8" s="311" t="n">
        <v>4</v>
      </c>
      <c r="E8" s="311" t="n">
        <v>5</v>
      </c>
      <c r="F8" s="311" t="n">
        <v>6</v>
      </c>
      <c r="G8" s="311" t="n">
        <v>7</v>
      </c>
    </row>
    <row r="9" ht="15" customHeight="1" s="242">
      <c r="A9" s="24" t="n"/>
      <c r="B9" s="310" t="inlineStr">
        <is>
          <t>ИНЖЕНЕРНОЕ ОБОРУДОВАНИЕ</t>
        </is>
      </c>
      <c r="C9" s="390" t="n"/>
      <c r="D9" s="390" t="n"/>
      <c r="E9" s="390" t="n"/>
      <c r="F9" s="390" t="n"/>
      <c r="G9" s="391" t="n"/>
    </row>
    <row r="10" ht="27" customHeight="1" s="242">
      <c r="A10" s="311" t="n"/>
      <c r="B10" s="299" t="n"/>
      <c r="C10" s="310" t="inlineStr">
        <is>
          <t>ИТОГО ИНЖЕНЕРНОЕ ОБОРУДОВАНИЕ</t>
        </is>
      </c>
      <c r="D10" s="316" t="n"/>
      <c r="E10" s="103" t="n"/>
      <c r="F10" s="313" t="n"/>
      <c r="G10" s="313" t="n">
        <v>0</v>
      </c>
    </row>
    <row r="11">
      <c r="A11" s="311" t="n"/>
      <c r="B11" s="310" t="inlineStr">
        <is>
          <t>ТЕХНОЛОГИЧЕСКОЕ ОБОРУДОВАНИЕ</t>
        </is>
      </c>
      <c r="C11" s="390" t="n"/>
      <c r="D11" s="390" t="n"/>
      <c r="E11" s="390" t="n"/>
      <c r="F11" s="390" t="n"/>
      <c r="G11" s="391" t="n"/>
    </row>
    <row r="12" ht="25.5" customHeight="1" s="242">
      <c r="A12" s="311" t="n"/>
      <c r="B12" s="310" t="n"/>
      <c r="C12" s="310" t="inlineStr">
        <is>
          <t>ИТОГО ТЕХНОЛОГИЧЕСКОЕ ОБОРУДОВАНИЕ</t>
        </is>
      </c>
      <c r="D12" s="311" t="n"/>
      <c r="E12" s="330" t="n"/>
      <c r="F12" s="313" t="n"/>
      <c r="G12" s="180" t="n">
        <v>0</v>
      </c>
    </row>
    <row r="13" ht="19.5" customHeight="1" s="242">
      <c r="A13" s="311" t="n"/>
      <c r="B13" s="310" t="n"/>
      <c r="C13" s="310" t="inlineStr">
        <is>
          <t>Всего по разделу «Оборудование»</t>
        </is>
      </c>
      <c r="D13" s="311" t="n"/>
      <c r="E13" s="330" t="n"/>
      <c r="F13" s="313" t="n"/>
      <c r="G13" s="180">
        <f>G10+G12</f>
        <v/>
      </c>
    </row>
    <row r="14">
      <c r="A14" s="240" t="n"/>
      <c r="B14" s="104" t="n"/>
      <c r="C14" s="240" t="n"/>
      <c r="D14" s="155" t="n"/>
      <c r="E14" s="240" t="n"/>
      <c r="F14" s="240" t="n"/>
      <c r="G14" s="240" t="n"/>
    </row>
    <row r="15">
      <c r="A15" s="238" t="inlineStr">
        <is>
          <t>Составил ______________________    Д.А. Самуйленко</t>
        </is>
      </c>
      <c r="B15" s="239" t="n"/>
      <c r="C15" s="239" t="n"/>
      <c r="D15" s="155" t="n"/>
      <c r="E15" s="240" t="n"/>
      <c r="F15" s="240" t="n"/>
      <c r="G15" s="240" t="n"/>
    </row>
    <row r="16">
      <c r="A16" s="241" t="inlineStr">
        <is>
          <t xml:space="preserve">                         (подпись, инициалы, фамилия)</t>
        </is>
      </c>
      <c r="B16" s="239" t="n"/>
      <c r="C16" s="239" t="n"/>
      <c r="D16" s="155" t="n"/>
      <c r="E16" s="240" t="n"/>
      <c r="F16" s="240" t="n"/>
      <c r="G16" s="240" t="n"/>
    </row>
    <row r="17">
      <c r="A17" s="238" t="n"/>
      <c r="B17" s="239" t="n"/>
      <c r="C17" s="239" t="n"/>
      <c r="D17" s="155" t="n"/>
      <c r="E17" s="240" t="n"/>
      <c r="F17" s="240" t="n"/>
      <c r="G17" s="240" t="n"/>
    </row>
    <row r="18">
      <c r="A18" s="238" t="inlineStr">
        <is>
          <t>Проверил ______________________        А.В. Костянецкая</t>
        </is>
      </c>
      <c r="B18" s="239" t="n"/>
      <c r="C18" s="239" t="n"/>
      <c r="D18" s="155" t="n"/>
      <c r="E18" s="240" t="n"/>
      <c r="F18" s="240" t="n"/>
      <c r="G18" s="240" t="n"/>
    </row>
    <row r="19">
      <c r="A19" s="241" t="inlineStr">
        <is>
          <t xml:space="preserve">                        (подпись, инициалы, фамилия)</t>
        </is>
      </c>
      <c r="B19" s="239" t="n"/>
      <c r="C19" s="239" t="n"/>
      <c r="D19" s="155" t="n"/>
      <c r="E19" s="240" t="n"/>
      <c r="F19" s="240" t="n"/>
      <c r="G19" s="2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2" min="1" max="1"/>
    <col width="16.42578125" customWidth="1" style="242" min="2" max="2"/>
    <col width="37.140625" customWidth="1" style="242" min="3" max="3"/>
    <col width="49" customWidth="1" style="242" min="4" max="4"/>
    <col width="9.140625" customWidth="1" style="242" min="5" max="5"/>
  </cols>
  <sheetData>
    <row r="1" ht="15.75" customHeight="1" s="242">
      <c r="A1" s="244" t="n"/>
      <c r="B1" s="244" t="n"/>
      <c r="C1" s="244" t="n"/>
      <c r="D1" s="244" t="inlineStr">
        <is>
          <t>Приложение №7</t>
        </is>
      </c>
    </row>
    <row r="2" ht="15.75" customHeight="1" s="242">
      <c r="A2" s="244" t="n"/>
      <c r="B2" s="244" t="n"/>
      <c r="C2" s="244" t="n"/>
      <c r="D2" s="244" t="n"/>
    </row>
    <row r="3" ht="15.75" customHeight="1" s="242">
      <c r="A3" s="244" t="n"/>
      <c r="B3" s="232" t="inlineStr">
        <is>
          <t>Расчет показателя УНЦ</t>
        </is>
      </c>
      <c r="C3" s="244" t="n"/>
      <c r="D3" s="244" t="n"/>
    </row>
    <row r="4" ht="15.75" customHeight="1" s="242">
      <c r="A4" s="244" t="n"/>
      <c r="B4" s="244" t="n"/>
      <c r="C4" s="244" t="n"/>
      <c r="D4" s="244" t="n"/>
    </row>
    <row r="5" ht="31.5" customHeight="1" s="242">
      <c r="A5" s="332" t="inlineStr">
        <is>
          <t xml:space="preserve">Наименование разрабатываемого показателя УНЦ - </t>
        </is>
      </c>
      <c r="D5" s="332">
        <f>'Прил.5 Расчет СМР и ОБ'!D6:J6</f>
        <v/>
      </c>
    </row>
    <row r="6" ht="15.75" customHeight="1" s="242">
      <c r="A6" s="244" t="inlineStr">
        <is>
          <t>Единица измерения  — 1 км</t>
        </is>
      </c>
      <c r="B6" s="244" t="n"/>
      <c r="C6" s="244" t="n"/>
      <c r="D6" s="244" t="n"/>
    </row>
    <row r="7" ht="15.75" customHeight="1" s="242">
      <c r="A7" s="244" t="n"/>
      <c r="B7" s="244" t="n"/>
      <c r="C7" s="244" t="n"/>
      <c r="D7" s="244" t="n"/>
    </row>
    <row r="8">
      <c r="A8" s="292" t="inlineStr">
        <is>
          <t>Код показателя</t>
        </is>
      </c>
      <c r="B8" s="292" t="inlineStr">
        <is>
          <t>Наименование показателя</t>
        </is>
      </c>
      <c r="C8" s="292" t="inlineStr">
        <is>
          <t>Наименование РМ, входящих в состав показателя</t>
        </is>
      </c>
      <c r="D8" s="292" t="inlineStr">
        <is>
          <t>Норматив цены на 01.01.2023, тыс.руб.</t>
        </is>
      </c>
    </row>
    <row r="9">
      <c r="A9" s="393" t="n"/>
      <c r="B9" s="393" t="n"/>
      <c r="C9" s="393" t="n"/>
      <c r="D9" s="393" t="n"/>
    </row>
    <row r="10" ht="15.75" customHeight="1" s="242">
      <c r="A10" s="292" t="n">
        <v>1</v>
      </c>
      <c r="B10" s="292" t="n">
        <v>2</v>
      </c>
      <c r="C10" s="292" t="n">
        <v>3</v>
      </c>
      <c r="D10" s="292" t="n">
        <v>4</v>
      </c>
    </row>
    <row r="11" ht="47.25" customHeight="1" s="242">
      <c r="A11" s="292" t="inlineStr">
        <is>
          <t>М2-07-1</t>
        </is>
      </c>
      <c r="B11" s="292" t="inlineStr">
        <is>
          <t>УНЦ на демонтаж ВЛ 0,4-750 кВ</t>
        </is>
      </c>
      <c r="C11" s="236">
        <f>D5</f>
        <v/>
      </c>
      <c r="D11" s="250">
        <f>'Прил.4 РМ'!C41/1000</f>
        <v/>
      </c>
    </row>
    <row r="13">
      <c r="A13" s="238" t="inlineStr">
        <is>
          <t>Составил ______________________     Д.А. Самуйленко</t>
        </is>
      </c>
      <c r="B13" s="239" t="n"/>
      <c r="C13" s="239" t="n"/>
      <c r="D13" s="240" t="n"/>
    </row>
    <row r="14">
      <c r="A14" s="241" t="inlineStr">
        <is>
          <t xml:space="preserve">                         (подпись, инициалы, фамилия)</t>
        </is>
      </c>
      <c r="B14" s="239" t="n"/>
      <c r="C14" s="239" t="n"/>
      <c r="D14" s="240" t="n"/>
    </row>
    <row r="15">
      <c r="A15" s="238" t="n"/>
      <c r="B15" s="239" t="n"/>
      <c r="C15" s="239" t="n"/>
      <c r="D15" s="240" t="n"/>
    </row>
    <row r="16">
      <c r="A16" s="238" t="inlineStr">
        <is>
          <t>Проверил ______________________        А.В. Костянецкая</t>
        </is>
      </c>
      <c r="B16" s="239" t="n"/>
      <c r="C16" s="239" t="n"/>
      <c r="D16" s="240" t="n"/>
    </row>
    <row r="17">
      <c r="A17" s="241" t="inlineStr">
        <is>
          <t xml:space="preserve">                        (подпись, инициалы, фамилия)</t>
        </is>
      </c>
      <c r="B17" s="239" t="n"/>
      <c r="C17" s="239" t="n"/>
      <c r="D17" s="24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D29" sqref="D29"/>
    </sheetView>
  </sheetViews>
  <sheetFormatPr baseColWidth="8" defaultColWidth="9.140625" defaultRowHeight="15"/>
  <cols>
    <col width="40.7109375" customWidth="1" style="242" min="2" max="2"/>
    <col width="37" customWidth="1" style="242" min="3" max="3"/>
    <col width="32" customWidth="1" style="242" min="4" max="4"/>
  </cols>
  <sheetData>
    <row r="4" ht="15.75" customHeight="1" s="242">
      <c r="B4" s="283" t="inlineStr">
        <is>
          <t>Приложение № 10</t>
        </is>
      </c>
    </row>
    <row r="5" ht="18.75" customHeight="1" s="242">
      <c r="B5" s="117" t="n"/>
    </row>
    <row r="6" ht="15.75" customHeight="1" s="242">
      <c r="B6" s="290" t="inlineStr">
        <is>
          <t>Используемые индексы изменений сметной стоимости и нормы сопутствующих затрат</t>
        </is>
      </c>
    </row>
    <row r="7">
      <c r="B7" s="333" t="n"/>
    </row>
    <row r="8">
      <c r="B8" s="333" t="n"/>
      <c r="C8" s="333" t="n"/>
      <c r="D8" s="333" t="n"/>
      <c r="E8" s="333" t="n"/>
    </row>
    <row r="9" ht="47.25" customHeight="1" s="242">
      <c r="B9" s="292" t="inlineStr">
        <is>
          <t>Наименование индекса / норм сопутствующих затрат</t>
        </is>
      </c>
      <c r="C9" s="292" t="inlineStr">
        <is>
          <t>Дата применения и обоснование индекса / норм сопутствующих затрат</t>
        </is>
      </c>
      <c r="D9" s="292" t="inlineStr">
        <is>
          <t>Размер индекса / норма сопутствующих затрат</t>
        </is>
      </c>
    </row>
    <row r="10" ht="15.75" customHeight="1" s="242">
      <c r="B10" s="292" t="n">
        <v>1</v>
      </c>
      <c r="C10" s="292" t="n">
        <v>2</v>
      </c>
      <c r="D10" s="292" t="n">
        <v>3</v>
      </c>
    </row>
    <row r="11" ht="45" customHeight="1" s="242">
      <c r="B11" s="292" t="inlineStr">
        <is>
          <t xml:space="preserve">Индекс изменения сметной стоимости на 1 квартал 2023 года. ОЗП </t>
        </is>
      </c>
      <c r="C11" s="292" t="inlineStr">
        <is>
          <t>Письмо Минстроя России от 30.03.2023г. №17106-ИФ/09  прил.1</t>
        </is>
      </c>
      <c r="D11" s="292" t="n">
        <v>46.83</v>
      </c>
    </row>
    <row r="12" ht="29.25" customHeight="1" s="242">
      <c r="B12" s="292" t="inlineStr">
        <is>
          <t>Индекс изменения сметной стоимости на 1 квартал 2023 года. ЭМ</t>
        </is>
      </c>
      <c r="C12" s="292" t="inlineStr">
        <is>
          <t>Письмо Минстроя России от 30.03.2023г. №17106-ИФ/09  прил.1</t>
        </is>
      </c>
      <c r="D12" s="292" t="n">
        <v>11.96</v>
      </c>
    </row>
    <row r="13" ht="29.25" customHeight="1" s="242">
      <c r="B13" s="292" t="inlineStr">
        <is>
          <t>Индекс изменения сметной стоимости на 1 квартал 2023 года. МАТ</t>
        </is>
      </c>
      <c r="C13" s="292" t="inlineStr">
        <is>
          <t>Письмо Минстроя России от 30.03.2023г. №17106-ИФ/09  прил.1</t>
        </is>
      </c>
      <c r="D13" s="292" t="n">
        <v>9.84</v>
      </c>
    </row>
    <row r="14" ht="30.75" customHeight="1" s="242">
      <c r="B14" s="292" t="inlineStr">
        <is>
          <t>Индекс изменения сметной стоимости на 1 квартал 2023 года. ОБ</t>
        </is>
      </c>
      <c r="C14" s="219" t="inlineStr">
        <is>
          <t>Письмо Минстроя России от 23.02.2023г. №9791-ИФ/09 прил.6</t>
        </is>
      </c>
      <c r="D14" s="292" t="n">
        <v>6.26</v>
      </c>
    </row>
    <row r="15" ht="89.25" customHeight="1" s="242">
      <c r="B15" s="292" t="inlineStr">
        <is>
          <t>Временные здания и сооружения</t>
        </is>
      </c>
      <c r="C15" s="29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42">
      <c r="B16" s="292" t="inlineStr">
        <is>
          <t>Дополнительные затраты при производстве строительно-монтажных работ в зимнее время</t>
        </is>
      </c>
      <c r="C16" s="29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42">
      <c r="B17" s="292" t="inlineStr">
        <is>
          <t>Строительный контроль</t>
        </is>
      </c>
      <c r="C17" s="292" t="inlineStr">
        <is>
          <t>Постановление Правительства РФ от 21.06.10 г. № 468</t>
        </is>
      </c>
      <c r="D17" s="119" t="n">
        <v>0.0214</v>
      </c>
    </row>
    <row r="18" ht="31.5" customHeight="1" s="242">
      <c r="B18" s="292" t="inlineStr">
        <is>
          <t>Авторский надзор - 0,2%</t>
        </is>
      </c>
      <c r="C18" s="292" t="inlineStr">
        <is>
          <t>Приказ от 4.08.2020 № 421/пр п.173</t>
        </is>
      </c>
      <c r="D18" s="119" t="n">
        <v>0.002</v>
      </c>
    </row>
    <row r="19" ht="24" customHeight="1" s="242">
      <c r="B19" s="292" t="inlineStr">
        <is>
          <t>Непредвиденные расходы</t>
        </is>
      </c>
      <c r="C19" s="292" t="inlineStr">
        <is>
          <t>Приказ от 4.08.2020 № 421/пр п.179</t>
        </is>
      </c>
      <c r="D19" s="119" t="n">
        <v>0.03</v>
      </c>
    </row>
    <row r="20" ht="18.75" customHeight="1" s="242">
      <c r="B20" s="215" t="n"/>
    </row>
    <row r="21" ht="18.75" customHeight="1" s="242">
      <c r="B21" s="215" t="n"/>
    </row>
    <row r="22" ht="18.75" customHeight="1" s="242">
      <c r="B22" s="215" t="n"/>
    </row>
    <row r="23" ht="18.75" customHeight="1" s="242">
      <c r="B23" s="215" t="n"/>
    </row>
    <row r="26">
      <c r="B26" s="238" t="inlineStr">
        <is>
          <t>Составил ______________________        Д.А. Самуйленко</t>
        </is>
      </c>
      <c r="C26" s="239" t="n"/>
    </row>
    <row r="27">
      <c r="B27" s="241" t="inlineStr">
        <is>
          <t xml:space="preserve">                         (подпись, инициалы, фамилия)</t>
        </is>
      </c>
      <c r="C27" s="239" t="n"/>
    </row>
    <row r="28">
      <c r="B28" s="238" t="n"/>
      <c r="C28" s="239" t="n"/>
    </row>
    <row r="29">
      <c r="B29" s="238" t="inlineStr">
        <is>
          <t>Проверил ______________________        А.В. Костянецкая</t>
        </is>
      </c>
      <c r="C29" s="239" t="n"/>
    </row>
    <row r="30">
      <c r="B30" s="241" t="inlineStr">
        <is>
          <t xml:space="preserve">                        (подпись, инициалы, фамилия)</t>
        </is>
      </c>
      <c r="C30" s="2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1"/>
  <sheetViews>
    <sheetView view="pageBreakPreview" topLeftCell="A19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2" min="2" max="2"/>
    <col width="13" customWidth="1" style="242" min="3" max="3"/>
    <col width="22.85546875" customWidth="1" style="242" min="4" max="4"/>
    <col width="21.5703125" customWidth="1" style="242" min="5" max="5"/>
    <col width="43.85546875" customWidth="1" style="242" min="6" max="6"/>
  </cols>
  <sheetData>
    <row r="1" s="242"/>
    <row r="2" ht="17.25" customHeight="1" s="242">
      <c r="A2" s="290" t="inlineStr">
        <is>
          <t>Расчет размера средств на оплату труда рабочих-строителей в текущем уровне цен (ФОТр.тек.)</t>
        </is>
      </c>
    </row>
    <row r="3" s="242"/>
    <row r="4" ht="18" customHeight="1" s="242">
      <c r="A4" s="243" t="inlineStr">
        <is>
          <t>Составлен в уровне цен на 01.01.2023 г.</t>
        </is>
      </c>
      <c r="B4" s="244" t="n"/>
      <c r="C4" s="244" t="n"/>
      <c r="D4" s="244" t="n"/>
      <c r="E4" s="244" t="n"/>
      <c r="F4" s="244" t="n"/>
      <c r="G4" s="244" t="n"/>
    </row>
    <row r="5" ht="15.75" customHeight="1" s="242">
      <c r="A5" s="245" t="inlineStr">
        <is>
          <t>№ пп.</t>
        </is>
      </c>
      <c r="B5" s="245" t="inlineStr">
        <is>
          <t>Наименование элемента</t>
        </is>
      </c>
      <c r="C5" s="245" t="inlineStr">
        <is>
          <t>Обозначение</t>
        </is>
      </c>
      <c r="D5" s="245" t="inlineStr">
        <is>
          <t>Формула</t>
        </is>
      </c>
      <c r="E5" s="245" t="inlineStr">
        <is>
          <t>Величина элемента</t>
        </is>
      </c>
      <c r="F5" s="245" t="inlineStr">
        <is>
          <t>Наименования обосновывающих документов</t>
        </is>
      </c>
      <c r="G5" s="244" t="n"/>
    </row>
    <row r="6" ht="15.75" customHeight="1" s="242">
      <c r="A6" s="245" t="n">
        <v>1</v>
      </c>
      <c r="B6" s="245" t="n">
        <v>2</v>
      </c>
      <c r="C6" s="245" t="n">
        <v>3</v>
      </c>
      <c r="D6" s="245" t="n">
        <v>4</v>
      </c>
      <c r="E6" s="245" t="n">
        <v>5</v>
      </c>
      <c r="F6" s="245" t="n">
        <v>6</v>
      </c>
      <c r="G6" s="244" t="n"/>
    </row>
    <row r="7" ht="110.25" customHeight="1" s="242">
      <c r="A7" s="246" t="inlineStr">
        <is>
          <t>1.1</t>
        </is>
      </c>
      <c r="B7" s="2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2" t="inlineStr">
        <is>
          <t>С1ср</t>
        </is>
      </c>
      <c r="D7" s="292" t="inlineStr">
        <is>
          <t>-</t>
        </is>
      </c>
      <c r="E7" s="249" t="n">
        <v>47872.94</v>
      </c>
      <c r="F7" s="2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4" t="n"/>
    </row>
    <row r="8" ht="31.5" customHeight="1" s="242">
      <c r="A8" s="246" t="inlineStr">
        <is>
          <t>1.2</t>
        </is>
      </c>
      <c r="B8" s="251" t="inlineStr">
        <is>
          <t>Среднегодовое нормативное число часов работы одного рабочего в месяц, часы (ч.)</t>
        </is>
      </c>
      <c r="C8" s="292" t="inlineStr">
        <is>
          <t>tср</t>
        </is>
      </c>
      <c r="D8" s="292" t="inlineStr">
        <is>
          <t>1973ч/12мес.</t>
        </is>
      </c>
      <c r="E8" s="250">
        <f>1973/12</f>
        <v/>
      </c>
      <c r="F8" s="251" t="inlineStr">
        <is>
          <t>Производственный календарь 2023 год
(40-часов.неделя)</t>
        </is>
      </c>
      <c r="G8" s="253" t="n"/>
    </row>
    <row r="9" ht="15.75" customHeight="1" s="242">
      <c r="A9" s="246" t="inlineStr">
        <is>
          <t>1.3</t>
        </is>
      </c>
      <c r="B9" s="251" t="inlineStr">
        <is>
          <t>Коэффициент увеличения</t>
        </is>
      </c>
      <c r="C9" s="292" t="inlineStr">
        <is>
          <t>Кув</t>
        </is>
      </c>
      <c r="D9" s="292" t="inlineStr">
        <is>
          <t>-</t>
        </is>
      </c>
      <c r="E9" s="250" t="n">
        <v>1</v>
      </c>
      <c r="F9" s="251" t="n"/>
      <c r="G9" s="253" t="n"/>
    </row>
    <row r="10" ht="15.75" customHeight="1" s="242">
      <c r="A10" s="246" t="inlineStr">
        <is>
          <t>1.4</t>
        </is>
      </c>
      <c r="B10" s="251" t="inlineStr">
        <is>
          <t>Средний разряд работ</t>
        </is>
      </c>
      <c r="C10" s="292" t="n"/>
      <c r="D10" s="292" t="n"/>
      <c r="E10" s="404" t="n">
        <v>4.1</v>
      </c>
      <c r="F10" s="251" t="inlineStr">
        <is>
          <t>РТМ</t>
        </is>
      </c>
      <c r="G10" s="253" t="n"/>
    </row>
    <row r="11" ht="78.75" customHeight="1" s="242">
      <c r="A11" s="246" t="inlineStr">
        <is>
          <t>1.5</t>
        </is>
      </c>
      <c r="B11" s="251" t="inlineStr">
        <is>
          <t>Тарифный коэффициент среднего разряда работ</t>
        </is>
      </c>
      <c r="C11" s="292" t="inlineStr">
        <is>
          <t>КТ</t>
        </is>
      </c>
      <c r="D11" s="292" t="inlineStr">
        <is>
          <t>-</t>
        </is>
      </c>
      <c r="E11" s="405" t="n">
        <v>1.359</v>
      </c>
      <c r="F11" s="2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4" t="n"/>
    </row>
    <row r="12" ht="78.75" customHeight="1" s="242">
      <c r="A12" s="259" t="inlineStr">
        <is>
          <t>1.6</t>
        </is>
      </c>
      <c r="B12" s="378" t="inlineStr">
        <is>
          <t>Коэффициент инфляции, определяемый поквартально</t>
        </is>
      </c>
      <c r="C12" s="260" t="inlineStr">
        <is>
          <t>Кинф</t>
        </is>
      </c>
      <c r="D12" s="260" t="inlineStr">
        <is>
          <t>-</t>
        </is>
      </c>
      <c r="E12" s="406" t="n">
        <v>1.139</v>
      </c>
      <c r="F12" s="38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3" t="n"/>
    </row>
    <row r="13" ht="63" customHeight="1" s="242">
      <c r="A13" s="384" t="inlineStr">
        <is>
          <t>1.7</t>
        </is>
      </c>
      <c r="B13" s="385" t="inlineStr">
        <is>
          <t>Размер средств на оплату труда рабочих-строителей в текущем уровне цен (ФОТр.тек.), руб/чел.-ч</t>
        </is>
      </c>
      <c r="C13" s="386" t="inlineStr">
        <is>
          <t>ФОТр.тек.</t>
        </is>
      </c>
      <c r="D13" s="386" t="inlineStr">
        <is>
          <t>(С1ср/tср*КТ*Т*Кув)*Кинф</t>
        </is>
      </c>
      <c r="E13" s="387">
        <f>((E7*E9/E8)*E11)*E12</f>
        <v/>
      </c>
      <c r="F13" s="38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4" t="n"/>
    </row>
    <row r="14" ht="15.75" customHeight="1" s="242">
      <c r="A14" s="381" t="n"/>
      <c r="B14" s="382" t="inlineStr">
        <is>
          <t>Инженер I категории</t>
        </is>
      </c>
      <c r="C14" s="382" t="n"/>
      <c r="D14" s="382" t="n"/>
      <c r="E14" s="382" t="n"/>
      <c r="F14" s="383" t="n"/>
    </row>
    <row r="15" ht="110.25" customHeight="1" s="242">
      <c r="A15" s="246" t="inlineStr">
        <is>
          <t>1.1</t>
        </is>
      </c>
      <c r="B15" s="2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92" t="inlineStr">
        <is>
          <t>С1ср</t>
        </is>
      </c>
      <c r="D15" s="292" t="inlineStr">
        <is>
          <t>-</t>
        </is>
      </c>
      <c r="E15" s="249" t="n">
        <v>47872.94</v>
      </c>
      <c r="F15" s="2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4" t="n"/>
    </row>
    <row r="16" ht="31.5" customHeight="1" s="242">
      <c r="A16" s="246" t="inlineStr">
        <is>
          <t>1.2</t>
        </is>
      </c>
      <c r="B16" s="251" t="inlineStr">
        <is>
          <t>Среднегодовое нормативное число часов работы одного рабочего в месяц, часы (ч.)</t>
        </is>
      </c>
      <c r="C16" s="292" t="inlineStr">
        <is>
          <t>tср</t>
        </is>
      </c>
      <c r="D16" s="292" t="inlineStr">
        <is>
          <t>1973ч/12мес.</t>
        </is>
      </c>
      <c r="E16" s="250">
        <f>1973/12</f>
        <v/>
      </c>
      <c r="F16" s="251" t="inlineStr">
        <is>
          <t>Производственный календарь 2023 год
(40-часов.неделя)</t>
        </is>
      </c>
      <c r="G16" s="253" t="n"/>
    </row>
    <row r="17" ht="15.75" customHeight="1" s="242">
      <c r="A17" s="246" t="inlineStr">
        <is>
          <t>1.3</t>
        </is>
      </c>
      <c r="B17" s="251" t="inlineStr">
        <is>
          <t>Коэффициент увеличения</t>
        </is>
      </c>
      <c r="C17" s="292" t="inlineStr">
        <is>
          <t>Кув</t>
        </is>
      </c>
      <c r="D17" s="292" t="inlineStr">
        <is>
          <t>-</t>
        </is>
      </c>
      <c r="E17" s="250" t="n">
        <v>1</v>
      </c>
      <c r="F17" s="251" t="n"/>
      <c r="G17" s="253" t="n"/>
    </row>
    <row r="18" ht="15.75" customHeight="1" s="242">
      <c r="A18" s="246" t="inlineStr">
        <is>
          <t>1.4</t>
        </is>
      </c>
      <c r="B18" s="251" t="inlineStr">
        <is>
          <t>Средний разряд работ</t>
        </is>
      </c>
      <c r="C18" s="292" t="n"/>
      <c r="D18" s="292" t="n"/>
      <c r="E18" s="404" t="inlineStr">
        <is>
          <t>Инженер I категории</t>
        </is>
      </c>
      <c r="F18" s="251" t="inlineStr">
        <is>
          <t>РТМ</t>
        </is>
      </c>
      <c r="G18" s="253" t="n"/>
    </row>
    <row r="19" ht="78.75" customHeight="1" s="242">
      <c r="A19" s="259" t="inlineStr">
        <is>
          <t>1.5</t>
        </is>
      </c>
      <c r="B19" s="261" t="inlineStr">
        <is>
          <t>Тарифный коэффициент среднего разряда работ</t>
        </is>
      </c>
      <c r="C19" s="260" t="inlineStr">
        <is>
          <t>КТ</t>
        </is>
      </c>
      <c r="D19" s="260" t="inlineStr">
        <is>
          <t>-</t>
        </is>
      </c>
      <c r="E19" s="407" t="n">
        <v>2.15</v>
      </c>
      <c r="F19" s="26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4" t="n"/>
    </row>
    <row r="20" ht="78.75" customHeight="1" s="242">
      <c r="A20" s="246" t="inlineStr">
        <is>
          <t>1.6</t>
        </is>
      </c>
      <c r="B20" s="302" t="inlineStr">
        <is>
          <t>Коэффициент инфляции, определяемый поквартально</t>
        </is>
      </c>
      <c r="C20" s="292" t="inlineStr">
        <is>
          <t>Кинф</t>
        </is>
      </c>
      <c r="D20" s="292" t="inlineStr">
        <is>
          <t>-</t>
        </is>
      </c>
      <c r="E20" s="408" t="n">
        <v>1.139</v>
      </c>
      <c r="F20" s="2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53" t="n"/>
    </row>
    <row r="21" ht="63" customHeight="1" s="242">
      <c r="A21" s="246" t="inlineStr">
        <is>
          <t>1.7</t>
        </is>
      </c>
      <c r="B21" s="263" t="inlineStr">
        <is>
          <t>Размер средств на оплату труда рабочих-строителей в текущем уровне цен (ФОТр.тек.), руб/чел.-ч</t>
        </is>
      </c>
      <c r="C21" s="292" t="inlineStr">
        <is>
          <t>ФОТр.тек.</t>
        </is>
      </c>
      <c r="D21" s="292" t="inlineStr">
        <is>
          <t>(С1ср/tср*КТ*Т*Кув)*Кинф</t>
        </is>
      </c>
      <c r="E21" s="264">
        <f>((E15*E17/E16)*E19)*E20</f>
        <v/>
      </c>
      <c r="F21" s="2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2025-01-24T12:11:03Z</dcterms:modified>
  <cp:lastModifiedBy>Nikolay Ivanov</cp:lastModifiedBy>
  <cp:lastPrinted>2023-11-28T13:18:02Z</cp:lastPrinted>
</cp:coreProperties>
</file>