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7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1" xfId="0">
      <alignment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vertical="center" wrapText="1"/>
    </xf>
    <xf numFmtId="10" fontId="20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vertical="top"/>
    </xf>
    <xf numFmtId="14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wrapText="1"/>
    </xf>
    <xf numFmtId="4" fontId="1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9" fontId="1" fillId="4" borderId="1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49" fontId="16" fillId="0" borderId="5" applyAlignment="1" pivotButton="0" quotePrefix="0" xfId="0">
      <alignment horizontal="left" vertical="center" wrapText="1"/>
    </xf>
    <xf numFmtId="49" fontId="16" fillId="0" borderId="4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2" fontId="16" fillId="0" borderId="5" applyAlignment="1" pivotButton="0" quotePrefix="0" xfId="0">
      <alignment horizontal="right" vertical="center"/>
    </xf>
    <xf numFmtId="2" fontId="16" fillId="0" borderId="4" applyAlignment="1" pivotButton="0" quotePrefix="0" xfId="0">
      <alignment horizontal="right" vertical="center"/>
    </xf>
    <xf numFmtId="2" fontId="16" fillId="0" borderId="5" applyAlignment="1" pivotButton="0" quotePrefix="0" xfId="0">
      <alignment horizontal="right" vertical="center" wrapText="1"/>
    </xf>
    <xf numFmtId="2" fontId="16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9" fontId="16" fillId="0" borderId="1" applyAlignment="1" pivotButton="0" quotePrefix="0" xfId="0">
      <alignment horizontal="lef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F32"/>
  <sheetViews>
    <sheetView tabSelected="1" view="pageBreakPreview" topLeftCell="A13" zoomScale="55" zoomScaleNormal="55" workbookViewId="0">
      <selection activeCell="E29" sqref="E29"/>
    </sheetView>
  </sheetViews>
  <sheetFormatPr baseColWidth="8" defaultColWidth="9.140625" defaultRowHeight="15.75"/>
  <cols>
    <col width="9.140625" customWidth="1" style="216" min="1" max="2"/>
    <col width="36.85546875" customWidth="1" style="216" min="3" max="3"/>
    <col width="36.5703125" customWidth="1" style="216" min="4" max="5"/>
    <col width="37.42578125" customWidth="1" style="216" min="6" max="6"/>
    <col width="9.140625" customWidth="1" style="216" min="7" max="7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>
      <c r="B5" s="149" t="n"/>
      <c r="C5" s="149" t="n"/>
      <c r="D5" s="149" t="n"/>
      <c r="E5" s="149" t="n"/>
    </row>
    <row r="6">
      <c r="B6" s="149" t="n"/>
      <c r="C6" s="149" t="n"/>
      <c r="D6" s="149" t="n"/>
      <c r="E6" s="149" t="n"/>
    </row>
    <row r="7">
      <c r="B7" s="241" t="inlineStr">
        <is>
          <t xml:space="preserve">Наименование разрабатываемого показателя УНЦ — Трелевка хлыстов древесины при вырубке (расширении) просеки ВЛ </t>
        </is>
      </c>
      <c r="F7" s="148" t="n"/>
    </row>
    <row r="8" ht="31.5" customHeight="1" s="214">
      <c r="B8" s="241" t="inlineStr">
        <is>
          <t>Сопоставимый уровень цен: 1 кв. 2022 г.</t>
        </is>
      </c>
    </row>
    <row r="9">
      <c r="B9" s="241" t="inlineStr">
        <is>
          <t>Единица измерения  — 100 шт. хлыстов на 100м.</t>
        </is>
      </c>
      <c r="F9" s="148" t="n"/>
    </row>
    <row r="10">
      <c r="B10" s="241" t="n"/>
    </row>
    <row r="11">
      <c r="B11" s="243" t="inlineStr">
        <is>
          <t>№ п/п</t>
        </is>
      </c>
      <c r="C11" s="243" t="inlineStr">
        <is>
          <t>Параметр</t>
        </is>
      </c>
      <c r="D11" s="143" t="inlineStr">
        <is>
          <t>Объект-представитель 1</t>
        </is>
      </c>
      <c r="E11" s="143" t="inlineStr">
        <is>
          <t>Объект-представитель 2</t>
        </is>
      </c>
      <c r="F11" s="148" t="n"/>
    </row>
    <row r="12" ht="119.45" customHeight="1" s="214">
      <c r="B12" s="243" t="n">
        <v>1</v>
      </c>
      <c r="C12" s="143" t="inlineStr">
        <is>
          <t>Наименование объекта-представителя</t>
        </is>
      </c>
      <c r="D12" s="246" t="inlineStr">
        <is>
          <t>Строительство ВЛ 220 кВ Комсомольская - Старт № 1 с отпайкой на ПС ГПП-4</t>
        </is>
      </c>
      <c r="E12" s="243" t="inlineStr">
        <is>
          <t>Строительство заходов ВЛ 220 кВ Урушат/т-Ерофей Павлович/т в РУ 220 кВ ПС 220 кВ Сгибеево/т</t>
        </is>
      </c>
    </row>
    <row r="13" ht="31.5" customHeight="1" s="214">
      <c r="B13" s="243" t="n">
        <v>2</v>
      </c>
      <c r="C13" s="143" t="inlineStr">
        <is>
          <t>Наименование субъекта Российской Федерации</t>
        </is>
      </c>
      <c r="D13" s="243" t="inlineStr">
        <is>
          <t>Хабаровский край</t>
        </is>
      </c>
      <c r="E13" s="243" t="inlineStr">
        <is>
          <t>Амурская область</t>
        </is>
      </c>
    </row>
    <row r="14">
      <c r="B14" s="243" t="n">
        <v>3</v>
      </c>
      <c r="C14" s="143" t="inlineStr">
        <is>
          <t>Климатический район и подрайон</t>
        </is>
      </c>
      <c r="D14" s="243" t="inlineStr">
        <is>
          <t>IВ</t>
        </is>
      </c>
      <c r="E14" s="243" t="inlineStr">
        <is>
          <t>IА</t>
        </is>
      </c>
    </row>
    <row r="15">
      <c r="B15" s="243" t="n">
        <v>4</v>
      </c>
      <c r="C15" s="143" t="inlineStr">
        <is>
          <t>Мощность объекта</t>
        </is>
      </c>
      <c r="D15" s="243" t="n">
        <v>992.28</v>
      </c>
      <c r="E15" s="243">
        <f>'Прил.5 Расчет СМР и ОБ'!E39</f>
        <v/>
      </c>
    </row>
    <row r="16" ht="99" customHeight="1" s="214">
      <c r="B16" s="24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Трелевка 49614  деревьев на расстояние до 300 м</t>
        </is>
      </c>
      <c r="E16" s="243" t="inlineStr">
        <is>
          <t>Трелевка 22104 деревьев на расстояние до 300 м</t>
        </is>
      </c>
    </row>
    <row r="17" ht="78.75" customHeight="1" s="214">
      <c r="B17" s="24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4">
        <f>SUM(D18:D21)</f>
        <v/>
      </c>
      <c r="E17" s="164">
        <f>SUM(E18:E21)</f>
        <v/>
      </c>
      <c r="F17" s="144" t="n"/>
    </row>
    <row r="18">
      <c r="B18" s="147" t="inlineStr">
        <is>
          <t>6.1</t>
        </is>
      </c>
      <c r="C18" s="143" t="inlineStr">
        <is>
          <t>строительно-монтажные работы</t>
        </is>
      </c>
      <c r="D18" s="164" t="n">
        <v>14885.57</v>
      </c>
      <c r="E18" s="164" t="n">
        <v>1454.93</v>
      </c>
    </row>
    <row r="19" ht="15.75" customHeight="1" s="214">
      <c r="B19" s="147" t="inlineStr">
        <is>
          <t>6.2</t>
        </is>
      </c>
      <c r="C19" s="143" t="inlineStr">
        <is>
          <t>оборудование и инвентарь</t>
        </is>
      </c>
      <c r="D19" s="164" t="n">
        <v>0</v>
      </c>
      <c r="E19" s="164" t="n">
        <v>0</v>
      </c>
    </row>
    <row r="20" ht="16.5" customHeight="1" s="214">
      <c r="B20" s="147" t="inlineStr">
        <is>
          <t>6.3</t>
        </is>
      </c>
      <c r="C20" s="143" t="inlineStr">
        <is>
          <t>пусконаладочные работы</t>
        </is>
      </c>
      <c r="D20" s="164" t="n">
        <v>0</v>
      </c>
      <c r="E20" s="164" t="n">
        <v>0</v>
      </c>
    </row>
    <row r="21" ht="35.25" customHeight="1" s="214">
      <c r="B21" s="147" t="inlineStr">
        <is>
          <t>6.4</t>
        </is>
      </c>
      <c r="C21" s="146" t="inlineStr">
        <is>
          <t>прочие и лимитированные затраты</t>
        </is>
      </c>
      <c r="D21" s="164">
        <f>D18*3.3%+(D18+D18*3.3%)*4.3%*0.9</f>
        <v/>
      </c>
      <c r="E21" s="164">
        <f>E18*3.3%+(E18+E18*3.3%)*2.7%*0.9</f>
        <v/>
      </c>
    </row>
    <row r="22">
      <c r="B22" s="243" t="n">
        <v>7</v>
      </c>
      <c r="C22" s="146" t="inlineStr">
        <is>
          <t>Сопоставимый уровень цен</t>
        </is>
      </c>
      <c r="D22" s="243" t="inlineStr">
        <is>
          <t>1 кв. 2022 г.</t>
        </is>
      </c>
      <c r="E22" s="243" t="inlineStr">
        <is>
          <t>1 кв. 2022 г.</t>
        </is>
      </c>
      <c r="F22" s="144" t="n"/>
    </row>
    <row r="23" ht="123" customHeight="1" s="214">
      <c r="B23" s="243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4">
        <f>((526.47797)+(526.47797)*3.3%+((526.47797)+(526.47797)*3.3%)*4.3%*0.9)*10.32</f>
        <v/>
      </c>
      <c r="E23" s="164">
        <f>E17/8.55*10.32</f>
        <v/>
      </c>
    </row>
    <row r="24" ht="60.75" customHeight="1" s="214">
      <c r="B24" s="24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64">
        <f>D23/D15</f>
        <v/>
      </c>
      <c r="E24" s="164">
        <f>E23/E15</f>
        <v/>
      </c>
      <c r="F24" s="144" t="n"/>
    </row>
    <row r="25" ht="120" customHeight="1" s="214">
      <c r="B25" s="243" t="n">
        <v>10</v>
      </c>
      <c r="C25" s="143" t="inlineStr">
        <is>
          <t>Примечание</t>
        </is>
      </c>
      <c r="D25" s="143" t="n"/>
      <c r="E25" s="143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- 100 м</t>
        </is>
      </c>
    </row>
    <row r="26">
      <c r="B26" s="142" t="n"/>
      <c r="C26" s="141" t="n"/>
      <c r="D26" s="141" t="n"/>
      <c r="E26" s="141" t="n"/>
    </row>
    <row r="27" ht="37.5" customHeight="1" s="214">
      <c r="B27" s="140" t="n"/>
    </row>
    <row r="28">
      <c r="B28" s="216" t="inlineStr">
        <is>
          <t>Составил ______________________    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57"/>
  <sheetViews>
    <sheetView view="pageBreakPreview" zoomScale="70" zoomScaleNormal="70" workbookViewId="0">
      <selection activeCell="E29" sqref="E29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5.2851562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39" t="inlineStr">
        <is>
          <t>Приложение № 2</t>
        </is>
      </c>
      <c r="K3" s="140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15.75" customHeight="1" s="214">
      <c r="B6" s="244" t="inlineStr">
        <is>
          <t xml:space="preserve">Наименование разрабатываемого показателя УНЦ —   Трелевка хлыстов древесины при вырубке (расширении) просеки ВЛ </t>
        </is>
      </c>
      <c r="K6" s="140" t="n"/>
      <c r="L6" s="148" t="n"/>
    </row>
    <row r="7">
      <c r="B7" s="241" t="inlineStr">
        <is>
          <t>Единица измерения  — 100 м</t>
        </is>
      </c>
      <c r="L7" s="148" t="n"/>
    </row>
    <row r="8">
      <c r="B8" s="241" t="n"/>
    </row>
    <row r="9" ht="15.75" customHeight="1" s="214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14">
      <c r="B10" s="342" t="n"/>
      <c r="C10" s="342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кв.2021г., тыс. руб.</t>
        </is>
      </c>
      <c r="G10" s="340" t="n"/>
      <c r="H10" s="340" t="n"/>
      <c r="I10" s="340" t="n"/>
      <c r="J10" s="341" t="n"/>
    </row>
    <row r="11" ht="31.5" customHeight="1" s="214">
      <c r="B11" s="343" t="n"/>
      <c r="C11" s="343" t="n"/>
      <c r="D11" s="343" t="n"/>
      <c r="E11" s="343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84.59999999999999" customHeight="1" s="214">
      <c r="B12" s="217" t="n">
        <v>1</v>
      </c>
      <c r="C12" s="243" t="inlineStr">
        <is>
          <t>Трелевка 49614  деревьев на расстояние до 300 м</t>
        </is>
      </c>
      <c r="D12" s="344" t="inlineStr">
        <is>
          <t>01-01-01</t>
        </is>
      </c>
      <c r="E12" s="223" t="inlineStr">
        <is>
          <t>Строительство ВЛ 220 кВ Комсомольская - Старт № 1 с отпайкой на ПС ГПП-4. Вырубка просеки</t>
        </is>
      </c>
      <c r="F12" s="158">
        <f>14885571/1000</f>
        <v/>
      </c>
      <c r="G12" s="158" t="n"/>
      <c r="H12" s="217" t="n"/>
      <c r="I12" s="217" t="n"/>
      <c r="J12" s="160">
        <f>SUM(F12:I12)</f>
        <v/>
      </c>
    </row>
    <row r="13" hidden="1" ht="150.6" customHeight="1" s="214">
      <c r="B13" s="343" t="n"/>
      <c r="C13" s="343" t="n"/>
      <c r="D13" s="343" t="n"/>
      <c r="E13" s="343" t="n"/>
      <c r="F13" s="343" t="n"/>
      <c r="G13" s="343" t="n"/>
      <c r="H13" s="343" t="n"/>
      <c r="I13" s="343" t="n"/>
      <c r="J13" s="343" t="n"/>
    </row>
    <row r="14" ht="15.75" customHeight="1" s="214">
      <c r="B14" s="242" t="inlineStr">
        <is>
          <t>Всего по объекту:</t>
        </is>
      </c>
      <c r="C14" s="340" t="n"/>
      <c r="D14" s="340" t="n"/>
      <c r="E14" s="341" t="n"/>
      <c r="F14" s="159">
        <f>F12</f>
        <v/>
      </c>
      <c r="G14" s="159" t="n"/>
      <c r="H14" s="151" t="n"/>
      <c r="I14" s="151" t="n"/>
      <c r="J14" s="161">
        <f>SUM(F14:I14)</f>
        <v/>
      </c>
    </row>
    <row r="15" ht="28.5" customHeight="1" s="214">
      <c r="B15" s="242" t="inlineStr">
        <is>
          <t>Всего по объекту в сопоставимом уровне цен 4 кв.2021г..:</t>
        </is>
      </c>
      <c r="C15" s="340" t="n"/>
      <c r="D15" s="340" t="n"/>
      <c r="E15" s="341" t="n"/>
      <c r="F15" s="159">
        <f>F14</f>
        <v/>
      </c>
      <c r="G15" s="159" t="n"/>
      <c r="H15" s="151" t="n"/>
      <c r="I15" s="151" t="n"/>
      <c r="J15" s="161">
        <f>SUM(F15:I15)</f>
        <v/>
      </c>
    </row>
    <row r="16">
      <c r="B16" s="241" t="n"/>
    </row>
    <row r="17">
      <c r="B17" s="243" t="inlineStr">
        <is>
          <t>№ п/п</t>
        </is>
      </c>
      <c r="C17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43" t="inlineStr">
        <is>
          <t>Объект-представитель 2</t>
        </is>
      </c>
      <c r="E17" s="340" t="n"/>
      <c r="F17" s="340" t="n"/>
      <c r="G17" s="340" t="n"/>
      <c r="H17" s="340" t="n"/>
      <c r="I17" s="340" t="n"/>
      <c r="J17" s="341" t="n"/>
    </row>
    <row r="18" ht="15.75" customHeight="1" s="214">
      <c r="B18" s="342" t="n"/>
      <c r="C18" s="342" t="n"/>
      <c r="D18" s="243" t="inlineStr">
        <is>
          <t>Номер сметы</t>
        </is>
      </c>
      <c r="E18" s="243" t="inlineStr">
        <is>
          <t>Наименование сметы</t>
        </is>
      </c>
      <c r="F18" s="243" t="inlineStr">
        <is>
          <t>Сметная стоимость в уровне цен 4 кв. 2018г.., тыс. руб.</t>
        </is>
      </c>
      <c r="G18" s="340" t="n"/>
      <c r="H18" s="340" t="n"/>
      <c r="I18" s="340" t="n"/>
      <c r="J18" s="341" t="n"/>
    </row>
    <row r="19" ht="31.5" customHeight="1" s="214">
      <c r="B19" s="343" t="n"/>
      <c r="C19" s="343" t="n"/>
      <c r="D19" s="343" t="n"/>
      <c r="E19" s="343" t="n"/>
      <c r="F19" s="243" t="inlineStr">
        <is>
          <t>Строительные работы</t>
        </is>
      </c>
      <c r="G19" s="243" t="inlineStr">
        <is>
          <t>Монтажные работы</t>
        </is>
      </c>
      <c r="H19" s="243" t="inlineStr">
        <is>
          <t>Оборудование</t>
        </is>
      </c>
      <c r="I19" s="243" t="inlineStr">
        <is>
          <t>Прочее</t>
        </is>
      </c>
      <c r="J19" s="243" t="inlineStr">
        <is>
          <t>Всего</t>
        </is>
      </c>
    </row>
    <row r="20" ht="31.5" customHeight="1" s="214">
      <c r="B20" s="217" t="n">
        <v>1</v>
      </c>
      <c r="C20" s="245" t="inlineStr">
        <is>
          <t>Трелевка 22104 деревьев на расстояние до 300 м</t>
        </is>
      </c>
      <c r="D20" s="162" t="inlineStr">
        <is>
          <t>01-01-01</t>
        </is>
      </c>
      <c r="E20" s="175" t="inlineStr">
        <is>
          <t xml:space="preserve">Лесоочистительные работы </t>
        </is>
      </c>
      <c r="F20" s="158">
        <f>170167*8.55/1000</f>
        <v/>
      </c>
      <c r="G20" s="158" t="n"/>
      <c r="H20" s="152" t="n"/>
      <c r="I20" s="152" t="n"/>
      <c r="J20" s="160">
        <f>SUM(F20:I20)</f>
        <v/>
      </c>
    </row>
    <row r="21">
      <c r="B21" s="242" t="inlineStr">
        <is>
          <t>Всего по объекту:</t>
        </is>
      </c>
      <c r="C21" s="340" t="n"/>
      <c r="D21" s="340" t="n"/>
      <c r="E21" s="341" t="n"/>
      <c r="F21" s="159">
        <f>SUM(F20:F20)</f>
        <v/>
      </c>
      <c r="G21" s="159" t="n"/>
      <c r="H21" s="151" t="n"/>
      <c r="I21" s="151" t="n"/>
      <c r="J21" s="161">
        <f>SUM(F21:I21)</f>
        <v/>
      </c>
    </row>
    <row r="22" ht="28.5" customHeight="1" s="214">
      <c r="B22" s="242" t="inlineStr">
        <is>
          <t>Всего по объекту в сопоставимом уровне цен 4 кв. 2018г:</t>
        </is>
      </c>
      <c r="C22" s="340" t="n"/>
      <c r="D22" s="340" t="n"/>
      <c r="E22" s="341" t="n"/>
      <c r="F22" s="159">
        <f>F21</f>
        <v/>
      </c>
      <c r="G22" s="159" t="n"/>
      <c r="H22" s="151" t="n"/>
      <c r="I22" s="151" t="n"/>
      <c r="J22" s="161">
        <f>SUM(F22:I22)</f>
        <v/>
      </c>
    </row>
    <row r="25">
      <c r="B25" s="264" t="inlineStr">
        <is>
          <t>*</t>
        </is>
      </c>
      <c r="C25" s="216" t="inlineStr">
        <is>
          <t xml:space="preserve"> - стоимость с учетом исключения затрат на корректровку по транспортировке  свыше 30 км.</t>
        </is>
      </c>
    </row>
    <row r="29">
      <c r="B29" s="216" t="inlineStr">
        <is>
          <t>Составил ______________________        А.Р. Маркова</t>
        </is>
      </c>
    </row>
    <row r="30">
      <c r="B30" s="140" t="inlineStr">
        <is>
          <t xml:space="preserve">                         (подпись, инициалы, фамилия)</t>
        </is>
      </c>
    </row>
    <row r="32">
      <c r="B32" s="216" t="inlineStr">
        <is>
          <t>Проверил ______________________        А.В. Костянецкая</t>
        </is>
      </c>
    </row>
    <row r="33">
      <c r="B33" s="140" t="inlineStr">
        <is>
          <t xml:space="preserve">                        (подпись, инициалы, фамилия)</t>
        </is>
      </c>
    </row>
    <row r="52">
      <c r="B52" s="243" t="inlineStr">
        <is>
          <t>№ п/п</t>
        </is>
      </c>
      <c r="C52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52" s="243" t="inlineStr">
        <is>
          <t>Объект-представитель 2</t>
        </is>
      </c>
      <c r="E52" s="340" t="n"/>
      <c r="F52" s="340" t="n"/>
      <c r="G52" s="340" t="n"/>
      <c r="H52" s="340" t="n"/>
      <c r="I52" s="340" t="n"/>
      <c r="J52" s="341" t="n"/>
    </row>
    <row r="53">
      <c r="B53" s="342" t="n"/>
      <c r="C53" s="342" t="n"/>
      <c r="D53" s="243" t="inlineStr">
        <is>
          <t>Номер сметы</t>
        </is>
      </c>
      <c r="E53" s="243" t="inlineStr">
        <is>
          <t>Наименование сметы</t>
        </is>
      </c>
      <c r="F53" s="243" t="inlineStr">
        <is>
          <t>Сметная стоимость в уровне цен 4 кв. 2020 г., тыс. руб.</t>
        </is>
      </c>
      <c r="G53" s="340" t="n"/>
      <c r="H53" s="340" t="n"/>
      <c r="I53" s="340" t="n"/>
      <c r="J53" s="341" t="n"/>
    </row>
    <row r="54" ht="31.5" customHeight="1" s="214">
      <c r="B54" s="343" t="n"/>
      <c r="C54" s="343" t="n"/>
      <c r="D54" s="343" t="n"/>
      <c r="E54" s="343" t="n"/>
      <c r="F54" s="243" t="inlineStr">
        <is>
          <t>Строительные работы</t>
        </is>
      </c>
      <c r="G54" s="243" t="inlineStr">
        <is>
          <t>Монтажные работы</t>
        </is>
      </c>
      <c r="H54" s="243" t="inlineStr">
        <is>
          <t>Оборудование</t>
        </is>
      </c>
      <c r="I54" s="243" t="inlineStr">
        <is>
          <t>Прочее</t>
        </is>
      </c>
      <c r="J54" s="243" t="inlineStr">
        <is>
          <t>Всего</t>
        </is>
      </c>
    </row>
    <row r="55" ht="244.5" customHeight="1" s="214">
      <c r="B55" s="163" t="n">
        <v>1</v>
      </c>
      <c r="C55" s="165" t="inlineStr">
        <is>
          <t>П220н-4.2т - 10 шт;
П220н-4.2т+6 - 1 шт;
П220н-4.2т-7.5 - 1 шт;
П220н-4.1 - 129 шт;
П220н-4.1-7.5 - 7 шт;
П220н-4.1+6 - 1 шт;
У220н-2.2 - 5 шт;
У220н-2.2+5 - 9 шт;
У220н-2.2+9 - 8 шт;
У220н-2.2+14 - 14 шт;
У220н-2.2т+5 - 4 шт;
У220н-2.2т+9 - 4 шт;
У220н-2.2т+14 - 7 шт.
Общая масса 2370, 56т</t>
        </is>
      </c>
      <c r="D55" s="162" t="inlineStr">
        <is>
          <t>02-01-02</t>
        </is>
      </c>
      <c r="E55" s="143" t="inlineStr">
        <is>
          <t>Конструктивно-строительные решения</t>
        </is>
      </c>
      <c r="F55" s="158">
        <f>14802540.18/1000*8.46</f>
        <v/>
      </c>
      <c r="G55" s="152" t="n"/>
      <c r="H55" s="152" t="n"/>
      <c r="I55" s="152" t="n"/>
      <c r="J55" s="160">
        <f>SUM(F55:I55)</f>
        <v/>
      </c>
    </row>
    <row r="56">
      <c r="B56" s="242" t="inlineStr">
        <is>
          <t>Всего по объекту:</t>
        </is>
      </c>
      <c r="C56" s="340" t="n"/>
      <c r="D56" s="340" t="n"/>
      <c r="E56" s="341" t="n"/>
      <c r="F56" s="159">
        <f>SUM(F55:F55)</f>
        <v/>
      </c>
      <c r="G56" s="151" t="n"/>
      <c r="H56" s="151" t="n"/>
      <c r="I56" s="151" t="n"/>
      <c r="J56" s="161">
        <f>SUM(F56:I56)</f>
        <v/>
      </c>
    </row>
    <row r="57" ht="28.5" customHeight="1" s="214">
      <c r="B57" s="242" t="inlineStr">
        <is>
          <t>Всего по объекту в сопоставимом уровне цен 4 кв. 2020 г:</t>
        </is>
      </c>
      <c r="C57" s="340" t="n"/>
      <c r="D57" s="340" t="n"/>
      <c r="E57" s="341" t="n"/>
      <c r="F57" s="159">
        <f>F56</f>
        <v/>
      </c>
      <c r="G57" s="151" t="n"/>
      <c r="H57" s="151" t="n"/>
      <c r="I57" s="151" t="n"/>
      <c r="J57" s="161">
        <f>SUM(F57:I57)</f>
        <v/>
      </c>
    </row>
  </sheetData>
  <mergeCells count="37">
    <mergeCell ref="F53:J53"/>
    <mergeCell ref="D9:J9"/>
    <mergeCell ref="B12:B13"/>
    <mergeCell ref="F10:J10"/>
    <mergeCell ref="F12:F13"/>
    <mergeCell ref="C17:C19"/>
    <mergeCell ref="B15:E15"/>
    <mergeCell ref="E10:E11"/>
    <mergeCell ref="B4:K4"/>
    <mergeCell ref="C12:C13"/>
    <mergeCell ref="I12:I13"/>
    <mergeCell ref="B7:K7"/>
    <mergeCell ref="F18:J18"/>
    <mergeCell ref="D12:D13"/>
    <mergeCell ref="B6:J6"/>
    <mergeCell ref="B22:E22"/>
    <mergeCell ref="D53:D54"/>
    <mergeCell ref="B56:E56"/>
    <mergeCell ref="D18:D19"/>
    <mergeCell ref="H12:H13"/>
    <mergeCell ref="B21:E21"/>
    <mergeCell ref="B52:B54"/>
    <mergeCell ref="J12:J13"/>
    <mergeCell ref="D52:J52"/>
    <mergeCell ref="B14:E14"/>
    <mergeCell ref="B17:B19"/>
    <mergeCell ref="B3:J3"/>
    <mergeCell ref="D10:D11"/>
    <mergeCell ref="B57:E57"/>
    <mergeCell ref="E53:E54"/>
    <mergeCell ref="D17:J17"/>
    <mergeCell ref="E12:E13"/>
    <mergeCell ref="E18:E19"/>
    <mergeCell ref="G12:G13"/>
    <mergeCell ref="C52:C54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K23"/>
  <sheetViews>
    <sheetView view="pageBreakPreview" zoomScale="85" workbookViewId="0">
      <selection activeCell="E22" sqref="E22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149" min="3" max="3"/>
    <col width="49.7109375" customWidth="1" style="184" min="4" max="4"/>
    <col width="10.140625" customWidth="1" style="183" min="5" max="5"/>
    <col width="20.7109375" customWidth="1" style="216" min="6" max="6"/>
    <col width="16.140625" customWidth="1" style="216" min="7" max="7"/>
    <col width="16.7109375" customWidth="1" style="216" min="8" max="8"/>
    <col width="9.140625" customWidth="1" style="216" min="9" max="9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s="214">
      <c r="A4" s="240" t="n"/>
      <c r="B4" s="240" t="n"/>
      <c r="C4" s="240" t="n"/>
      <c r="D4" s="240" t="n"/>
      <c r="E4" s="240" t="n"/>
      <c r="F4" s="240" t="n"/>
      <c r="G4" s="240" t="n"/>
      <c r="H4" s="240" t="n"/>
      <c r="I4" s="216" t="n"/>
    </row>
    <row r="5">
      <c r="A5" s="241" t="n"/>
    </row>
    <row r="6">
      <c r="A6" s="244" t="inlineStr">
        <is>
          <t xml:space="preserve">Наименование разрабатываемого показателя УНЦ -  Трелевка хлыстов древесины при вырубке (расширении) просеки ВЛ </t>
        </is>
      </c>
    </row>
    <row r="7" s="214">
      <c r="A7" s="244" t="n"/>
      <c r="B7" s="244" t="n"/>
      <c r="C7" s="244" t="n"/>
      <c r="D7" s="244" t="n"/>
      <c r="E7" s="244" t="n"/>
      <c r="F7" s="244" t="n"/>
      <c r="G7" s="244" t="n"/>
      <c r="H7" s="244" t="n"/>
      <c r="I7" s="216" t="n"/>
    </row>
    <row r="8">
      <c r="A8" s="244" t="n"/>
      <c r="B8" s="244" t="n"/>
      <c r="E8" s="184" t="n"/>
      <c r="F8" s="244" t="n"/>
      <c r="G8" s="244" t="n"/>
      <c r="H8" s="244" t="n"/>
    </row>
    <row r="9" ht="38.25" customHeight="1" s="214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60" t="inlineStr">
        <is>
          <t>Наименование ресурса</t>
        </is>
      </c>
      <c r="E9" s="261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41" t="n"/>
    </row>
    <row r="10" ht="40.5" customHeight="1" s="214">
      <c r="A10" s="343" t="n"/>
      <c r="B10" s="343" t="n"/>
      <c r="C10" s="343" t="n"/>
      <c r="D10" s="343" t="n"/>
      <c r="E10" s="343" t="n"/>
      <c r="F10" s="343" t="n"/>
      <c r="G10" s="243" t="inlineStr">
        <is>
          <t>на ед.изм.</t>
        </is>
      </c>
      <c r="H10" s="243" t="inlineStr">
        <is>
          <t>общая</t>
        </is>
      </c>
    </row>
    <row r="11">
      <c r="A11" s="245" t="n">
        <v>1</v>
      </c>
      <c r="B11" s="245" t="n"/>
      <c r="C11" s="245" t="n">
        <v>2</v>
      </c>
      <c r="D11" s="186" t="inlineStr">
        <is>
          <t>З</t>
        </is>
      </c>
      <c r="E11" s="185" t="n">
        <v>4</v>
      </c>
      <c r="F11" s="245" t="n">
        <v>5</v>
      </c>
      <c r="G11" s="245" t="n">
        <v>6</v>
      </c>
      <c r="H11" s="245" t="n">
        <v>7</v>
      </c>
    </row>
    <row r="12" customFormat="1" s="204">
      <c r="A12" s="257" t="inlineStr">
        <is>
          <t>Затраты труда рабочих</t>
        </is>
      </c>
      <c r="B12" s="340" t="n"/>
      <c r="C12" s="340" t="n"/>
      <c r="D12" s="340" t="n"/>
      <c r="E12" s="341" t="n"/>
      <c r="F12" s="195" t="n">
        <v>2301.592</v>
      </c>
      <c r="G12" s="195" t="n"/>
      <c r="H12" s="195">
        <f>SUM(H13:H13)</f>
        <v/>
      </c>
    </row>
    <row r="13">
      <c r="A13" s="190" t="n">
        <v>1</v>
      </c>
      <c r="B13" s="191" t="n"/>
      <c r="C13" s="199" t="inlineStr">
        <is>
          <t>1-2-0</t>
        </is>
      </c>
      <c r="D13" s="192" t="inlineStr">
        <is>
          <t>Затраты труда рабочих (ср 2,0)</t>
        </is>
      </c>
      <c r="E13" s="178" t="inlineStr">
        <is>
          <t>чел.-ч</t>
        </is>
      </c>
      <c r="F13" s="193" t="n">
        <v>2301.592</v>
      </c>
      <c r="G13" s="193" t="n">
        <v>7.8</v>
      </c>
      <c r="H13" s="194">
        <f>ROUND(F13*G13,2)</f>
        <v/>
      </c>
    </row>
    <row r="14">
      <c r="A14" s="257" t="inlineStr">
        <is>
          <t>Затраты труда машинистов</t>
        </is>
      </c>
      <c r="B14" s="340" t="n"/>
      <c r="C14" s="340" t="n"/>
      <c r="D14" s="340" t="n"/>
      <c r="E14" s="341" t="n"/>
      <c r="F14" s="197" t="n">
        <v>1318.15</v>
      </c>
      <c r="G14" s="195" t="n"/>
      <c r="H14" s="195">
        <f>H15</f>
        <v/>
      </c>
    </row>
    <row r="15">
      <c r="A15" s="190" t="n">
        <v>2</v>
      </c>
      <c r="B15" s="190" t="inlineStr">
        <is>
          <t> </t>
        </is>
      </c>
      <c r="C15" s="267" t="n">
        <v>2</v>
      </c>
      <c r="D15" s="196" t="inlineStr">
        <is>
          <t>Затраты труда машинистов(справочно)</t>
        </is>
      </c>
      <c r="E15" s="190" t="inlineStr">
        <is>
          <t>чел.-ч</t>
        </is>
      </c>
      <c r="F15" s="190" t="n">
        <v>1318.15</v>
      </c>
      <c r="G15" s="194" t="n"/>
      <c r="H15" s="194" t="n">
        <v>18981.92</v>
      </c>
    </row>
    <row r="16" customFormat="1" s="204">
      <c r="A16" s="257" t="inlineStr">
        <is>
          <t>Машины и механизмы</t>
        </is>
      </c>
      <c r="B16" s="340" t="n"/>
      <c r="C16" s="340" t="n"/>
      <c r="D16" s="340" t="n"/>
      <c r="E16" s="341" t="n"/>
      <c r="F16" s="257" t="n"/>
      <c r="G16" s="155" t="n"/>
      <c r="H16" s="195">
        <f>SUM(H17:H17)</f>
        <v/>
      </c>
    </row>
    <row r="17" ht="29.45" customHeight="1" s="214">
      <c r="A17" s="190" t="n">
        <v>3</v>
      </c>
      <c r="B17" s="190" t="inlineStr">
        <is>
          <t> </t>
        </is>
      </c>
      <c r="C17" s="267" t="inlineStr">
        <is>
          <t>91.15.02-024</t>
        </is>
      </c>
      <c r="D17" s="189" t="inlineStr">
        <is>
          <t>Тракторы на гусеничном ходу, мощность 79 кВт (108 л.с.)</t>
        </is>
      </c>
      <c r="E17" s="198" t="inlineStr">
        <is>
          <t>маш.-ч.</t>
        </is>
      </c>
      <c r="F17" s="198" t="n">
        <v>1318.1475</v>
      </c>
      <c r="G17" s="178" t="n">
        <v>83.09999999999999</v>
      </c>
      <c r="H17" s="194">
        <f>ROUND(F17*G17,2)</f>
        <v/>
      </c>
      <c r="J17" s="345" t="n"/>
      <c r="K17" s="172" t="n"/>
    </row>
    <row r="19">
      <c r="B19" s="216" t="inlineStr">
        <is>
          <t>Составил ______________________        А.Р. Маркова</t>
        </is>
      </c>
    </row>
    <row r="20">
      <c r="B20" s="140" t="inlineStr">
        <is>
          <t xml:space="preserve">                         (подпись, инициалы, фамилия)</t>
        </is>
      </c>
    </row>
    <row r="22">
      <c r="B22" s="216" t="inlineStr">
        <is>
          <t>Проверил ______________________        А.В. Костянецкая</t>
        </is>
      </c>
    </row>
    <row r="23">
      <c r="B23" s="140" t="inlineStr">
        <is>
          <t xml:space="preserve">                        (подпись, инициалы, фамилия)</t>
        </is>
      </c>
    </row>
  </sheetData>
  <mergeCells count="13">
    <mergeCell ref="C9:C10"/>
    <mergeCell ref="B9:B10"/>
    <mergeCell ref="A3:H3"/>
    <mergeCell ref="D9:D10"/>
    <mergeCell ref="A12:E12"/>
    <mergeCell ref="E9:E10"/>
    <mergeCell ref="F9:F10"/>
    <mergeCell ref="A16:E16"/>
    <mergeCell ref="A9:A10"/>
    <mergeCell ref="A2:H2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workbookViewId="0">
      <selection activeCell="D45" sqref="D45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209" t="n"/>
      <c r="C1" s="209" t="n"/>
      <c r="D1" s="209" t="n"/>
      <c r="E1" s="209" t="n"/>
    </row>
    <row r="2">
      <c r="B2" s="209" t="n"/>
      <c r="C2" s="209" t="n"/>
      <c r="D2" s="209" t="n"/>
      <c r="E2" s="281" t="inlineStr">
        <is>
          <t>Приложение № 4</t>
        </is>
      </c>
    </row>
    <row r="3">
      <c r="B3" s="209" t="n"/>
      <c r="C3" s="209" t="n"/>
      <c r="D3" s="209" t="n"/>
      <c r="E3" s="209" t="n"/>
    </row>
    <row r="4">
      <c r="B4" s="209" t="n"/>
      <c r="C4" s="209" t="n"/>
      <c r="D4" s="209" t="n"/>
      <c r="E4" s="209" t="n"/>
    </row>
    <row r="5">
      <c r="B5" s="232" t="inlineStr">
        <is>
          <t>Ресурсная модель</t>
        </is>
      </c>
    </row>
    <row r="6">
      <c r="B6" s="171" t="n"/>
      <c r="C6" s="209" t="n"/>
      <c r="D6" s="209" t="n"/>
      <c r="E6" s="209" t="n"/>
    </row>
    <row r="7" ht="25.5" customHeight="1" s="214">
      <c r="B7" s="262" t="inlineStr">
        <is>
          <t xml:space="preserve">Наименование разрабатываемого показателя УНЦ —  Трелевка хлыстов древесины при вырубке (расширении) просеки ВЛ </t>
        </is>
      </c>
    </row>
    <row r="8">
      <c r="B8" s="263" t="inlineStr">
        <is>
          <t>Единица измерения  — 100 м</t>
        </is>
      </c>
    </row>
    <row r="9">
      <c r="B9" s="171" t="n"/>
      <c r="C9" s="209" t="n"/>
      <c r="D9" s="209" t="n"/>
      <c r="E9" s="209" t="n"/>
    </row>
    <row r="10" ht="51" customHeight="1" s="214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8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8">
        <f>'Прил.5 Расчет СМР и ОБ'!J20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8">
        <f>'Прил.5 Расчет СМР и ОБ'!J21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8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8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8">
        <f>'Прил.5 Расчет СМР и ОБ'!J31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8">
        <f>'Прил.5 Расчет СМР и ОБ'!J32</f>
        <v/>
      </c>
      <c r="D17" s="26">
        <f>C17/$C$24</f>
        <v/>
      </c>
      <c r="E17" s="26">
        <f>C17/$C$40</f>
        <v/>
      </c>
      <c r="G17" s="346" t="n"/>
    </row>
    <row r="18">
      <c r="B18" s="24" t="inlineStr">
        <is>
          <t>МАТЕРИАЛЫ, ВСЕГО:</t>
        </is>
      </c>
      <c r="C18" s="168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8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8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ОБ'!D36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8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ОБ'!D35</f>
        <v/>
      </c>
      <c r="D23" s="26" t="n"/>
      <c r="E23" s="24" t="n"/>
    </row>
    <row r="24">
      <c r="B24" s="24" t="inlineStr">
        <is>
          <t>ВСЕГО СМР с НР и СП</t>
        </is>
      </c>
      <c r="C24" s="168">
        <f>C19+C20+C22</f>
        <v/>
      </c>
      <c r="D24" s="26">
        <f>C24/$C$24</f>
        <v/>
      </c>
      <c r="E24" s="26">
        <f>C24/$C$40</f>
        <v/>
      </c>
    </row>
    <row r="25" ht="25.5" customHeight="1" s="214">
      <c r="B25" s="24" t="inlineStr">
        <is>
          <t>ВСЕГО стоимость оборудования, в том числе</t>
        </is>
      </c>
      <c r="C25" s="168">
        <f>'Прил.5 Расчет СМР и ОБ'!J27</f>
        <v/>
      </c>
      <c r="D25" s="26" t="n"/>
      <c r="E25" s="26">
        <f>C25/$C$40</f>
        <v/>
      </c>
    </row>
    <row r="26" ht="25.5" customHeight="1" s="214">
      <c r="B26" s="24" t="inlineStr">
        <is>
          <t>стоимость оборудования технологического</t>
        </is>
      </c>
      <c r="C26" s="168">
        <f>'Прил.5 Расчет СМР и ОБ'!J28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9" t="n"/>
    </row>
    <row r="29" ht="25.5" customHeight="1" s="214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14">
      <c r="B30" s="24" t="inlineStr">
        <is>
          <t>Дополнительные затраты при производстве строительно-монтажных работ в зимнее время - 1%</t>
        </is>
      </c>
      <c r="C30" s="25">
        <f>ROUND((C24+C29)*1%,2)</f>
        <v/>
      </c>
      <c r="D30" s="24" t="n"/>
      <c r="E30" s="26">
        <f>C30/$C$40</f>
        <v/>
      </c>
      <c r="F30" s="169" t="n"/>
    </row>
    <row r="31">
      <c r="B31" s="24" t="inlineStr">
        <is>
          <t>Пусконаладочные работы</t>
        </is>
      </c>
      <c r="C31" s="25" t="n">
        <v>0</v>
      </c>
      <c r="D31" s="24" t="n"/>
      <c r="E31" s="26">
        <f>C31/$C$40</f>
        <v/>
      </c>
    </row>
    <row r="32" ht="25.5" customHeight="1" s="214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39.6" customHeight="1" s="214">
      <c r="B33" s="24" t="inlineStr">
        <is>
          <t>Затраты, связанные с осуществлением работ вахтовым методом</t>
        </is>
      </c>
      <c r="C33" s="25" t="n">
        <v>0</v>
      </c>
      <c r="D33" s="24" t="n"/>
      <c r="E33" s="26">
        <f>C33/$C$40</f>
        <v/>
      </c>
    </row>
    <row r="34" ht="51" customHeight="1" s="21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  <c r="H34" s="173" t="n"/>
    </row>
    <row r="35" ht="76.5" customHeight="1" s="21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24" t="n"/>
      <c r="E35" s="26">
        <f>C35/$C$40</f>
        <v/>
      </c>
    </row>
    <row r="36" ht="25.5" customHeight="1" s="214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9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9" t="n"/>
    </row>
    <row r="38" ht="38.25" customHeight="1" s="214">
      <c r="B38" s="24" t="inlineStr">
        <is>
          <t>ИТОГО (СМР+ОБОРУДОВАНИЕ+ПРОЧ. ЗАТР., УЧТЕННЫЕ ПОКАЗАТЕЛЕМ)</t>
        </is>
      </c>
      <c r="C38" s="168">
        <f>C27+C32+C33+C34+C35+C29+C31+C30+C36+C37</f>
        <v/>
      </c>
      <c r="D38" s="24" t="n"/>
      <c r="E38" s="26">
        <f>C38/$C$40</f>
        <v/>
      </c>
    </row>
    <row r="39" ht="13.5" customHeight="1" s="214">
      <c r="B39" s="24" t="inlineStr">
        <is>
          <t>Непредвиденные расходы</t>
        </is>
      </c>
      <c r="C39" s="168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8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8">
        <f>C40/'Прил.5 Расчет СМР и ОБ'!E39</f>
        <v/>
      </c>
      <c r="D41" s="24" t="n"/>
      <c r="E41" s="24" t="n"/>
    </row>
    <row r="42">
      <c r="B42" s="167" t="n"/>
      <c r="C42" s="209" t="n"/>
      <c r="D42" s="209" t="n"/>
      <c r="E42" s="209" t="n"/>
    </row>
    <row r="43">
      <c r="B43" s="167" t="inlineStr">
        <is>
          <t>Составил ____________________________ А.Р. Маркова</t>
        </is>
      </c>
      <c r="C43" s="209" t="n"/>
      <c r="D43" s="209" t="n"/>
      <c r="E43" s="209" t="n"/>
    </row>
    <row r="44">
      <c r="B44" s="167" t="inlineStr">
        <is>
          <t xml:space="preserve">(должность, подпись, инициалы, фамилия) </t>
        </is>
      </c>
      <c r="C44" s="209" t="n"/>
      <c r="D44" s="209" t="n"/>
      <c r="E44" s="209" t="n"/>
    </row>
    <row r="45">
      <c r="B45" s="167" t="n"/>
      <c r="C45" s="209" t="n"/>
      <c r="D45" s="209" t="n"/>
      <c r="E45" s="209" t="n"/>
    </row>
    <row r="46">
      <c r="B46" s="167" t="inlineStr">
        <is>
          <t>Проверил ____________________________ А.В. Костянецкая</t>
        </is>
      </c>
      <c r="C46" s="209" t="n"/>
      <c r="D46" s="209" t="n"/>
      <c r="E46" s="209" t="n"/>
    </row>
    <row r="47">
      <c r="B47" s="263" t="inlineStr">
        <is>
          <t>(должность, подпись, инициалы, фамилия)</t>
        </is>
      </c>
      <c r="D47" s="209" t="n"/>
      <c r="E47" s="209" t="n"/>
    </row>
    <row r="49">
      <c r="B49" s="209" t="n"/>
      <c r="C49" s="209" t="n"/>
      <c r="D49" s="209" t="n"/>
      <c r="E49" s="209" t="n"/>
    </row>
    <row r="50">
      <c r="B50" s="209" t="n"/>
      <c r="C50" s="209" t="n"/>
      <c r="D50" s="209" t="n"/>
      <c r="E50" s="2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45"/>
  <sheetViews>
    <sheetView view="pageBreakPreview" zoomScale="85" workbookViewId="0">
      <selection activeCell="E48" sqref="E48"/>
    </sheetView>
  </sheetViews>
  <sheetFormatPr baseColWidth="8" defaultColWidth="9.140625" defaultRowHeight="15"/>
  <cols>
    <col width="5.7109375" customWidth="1" style="210" min="1" max="1"/>
    <col width="22.5703125" customWidth="1" style="179" min="2" max="2"/>
    <col width="39.140625" customWidth="1" style="210" min="3" max="3"/>
    <col width="10.7109375" customWidth="1" style="179" min="4" max="4"/>
    <col width="12.7109375" customWidth="1" style="179" min="5" max="5"/>
    <col width="15" customWidth="1" style="180" min="6" max="6"/>
    <col width="13.42578125" customWidth="1" style="210" min="7" max="7"/>
    <col width="12.7109375" customWidth="1" style="210" min="8" max="8"/>
    <col width="13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14">
      <c r="H2" s="264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9">
      <c r="A4" s="232" t="inlineStr">
        <is>
          <t>Расчет стоимости СМР и оборудования</t>
        </is>
      </c>
    </row>
    <row r="5" ht="12.75" customFormat="1" customHeight="1" s="209">
      <c r="A5" s="232" t="n"/>
      <c r="B5" s="232" t="n"/>
      <c r="C5" s="289" t="n"/>
      <c r="D5" s="232" t="n"/>
      <c r="E5" s="232" t="n"/>
      <c r="F5" s="232" t="n"/>
      <c r="G5" s="232" t="n"/>
      <c r="H5" s="232" t="n"/>
      <c r="I5" s="232" t="n"/>
      <c r="J5" s="232" t="n"/>
    </row>
    <row r="6" ht="12.75" customFormat="1" customHeight="1" s="209">
      <c r="A6" s="133" t="inlineStr">
        <is>
          <t>Наименование разрабатываемого показателя УНЦ</t>
        </is>
      </c>
      <c r="B6" s="270" t="n"/>
      <c r="C6" s="132" t="n"/>
      <c r="D6" s="270" t="inlineStr">
        <is>
          <t xml:space="preserve"> Трелевка хлыстов древесины при вырубке (расширении) просеки ВЛ </t>
        </is>
      </c>
    </row>
    <row r="7" ht="12.75" customFormat="1" customHeight="1" s="209">
      <c r="A7" s="235" t="inlineStr">
        <is>
          <t>Единица измерения  — 100 м</t>
        </is>
      </c>
      <c r="I7" s="262" t="n"/>
      <c r="J7" s="262" t="n"/>
    </row>
    <row r="8" ht="13.5" customFormat="1" customHeight="1" s="209">
      <c r="A8" s="235" t="n"/>
    </row>
    <row r="9" ht="36.75" customHeight="1" s="214">
      <c r="A9" s="267" t="inlineStr">
        <is>
          <t>№ пп.</t>
        </is>
      </c>
      <c r="B9" s="267" t="inlineStr">
        <is>
          <t>Код ресурса</t>
        </is>
      </c>
      <c r="C9" s="267" t="inlineStr">
        <is>
          <t>Наименование</t>
        </is>
      </c>
      <c r="D9" s="267" t="inlineStr">
        <is>
          <t>Ед. изм.</t>
        </is>
      </c>
      <c r="E9" s="267" t="inlineStr">
        <is>
          <t>Кол-во единиц по проектным данным</t>
        </is>
      </c>
      <c r="F9" s="267" t="inlineStr">
        <is>
          <t>Сметная стоимость в ценах на 01.01.2000 (руб.)</t>
        </is>
      </c>
      <c r="G9" s="341" t="n"/>
      <c r="H9" s="267" t="inlineStr">
        <is>
          <t>Удельный вес, %</t>
        </is>
      </c>
      <c r="I9" s="267" t="inlineStr">
        <is>
          <t>Сметная стоимость в ценах на 01.01.2023 (руб.)</t>
        </is>
      </c>
      <c r="J9" s="341" t="n"/>
      <c r="M9" s="210" t="n"/>
      <c r="N9" s="210" t="n"/>
    </row>
    <row r="10" ht="40.5" customHeight="1" s="214">
      <c r="A10" s="343" t="n"/>
      <c r="B10" s="343" t="n"/>
      <c r="C10" s="343" t="n"/>
      <c r="D10" s="343" t="n"/>
      <c r="E10" s="343" t="n"/>
      <c r="F10" s="267" t="inlineStr">
        <is>
          <t>на ед. изм.</t>
        </is>
      </c>
      <c r="G10" s="267" t="inlineStr">
        <is>
          <t>общая</t>
        </is>
      </c>
      <c r="H10" s="343" t="n"/>
      <c r="I10" s="267" t="inlineStr">
        <is>
          <t>на ед. изм.</t>
        </is>
      </c>
      <c r="J10" s="267" t="inlineStr">
        <is>
          <t>общая</t>
        </is>
      </c>
      <c r="M10" s="210" t="n"/>
      <c r="N10" s="210" t="n"/>
    </row>
    <row r="11">
      <c r="A11" s="267" t="n">
        <v>1</v>
      </c>
      <c r="B11" s="267" t="n">
        <v>2</v>
      </c>
      <c r="C11" s="267" t="n">
        <v>3</v>
      </c>
      <c r="D11" s="267" t="n">
        <v>4</v>
      </c>
      <c r="E11" s="267" t="n">
        <v>5</v>
      </c>
      <c r="F11" s="267" t="n">
        <v>6</v>
      </c>
      <c r="G11" s="267" t="n">
        <v>7</v>
      </c>
      <c r="H11" s="267" t="n">
        <v>8</v>
      </c>
      <c r="I11" s="268" t="n">
        <v>9</v>
      </c>
      <c r="J11" s="268" t="n">
        <v>10</v>
      </c>
      <c r="M11" s="210" t="n"/>
      <c r="N11" s="210" t="n"/>
    </row>
    <row r="12">
      <c r="A12" s="267" t="n"/>
      <c r="B12" s="275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22" t="n"/>
      <c r="J12" s="122" t="n"/>
    </row>
    <row r="13" ht="25.5" customHeight="1" s="214">
      <c r="A13" s="267" t="n">
        <v>1</v>
      </c>
      <c r="B13" s="131" t="inlineStr">
        <is>
          <t>1-2-0</t>
        </is>
      </c>
      <c r="C13" s="271" t="inlineStr">
        <is>
          <t>Затраты труда рабочих-строителей среднего разряда (2,0)</t>
        </is>
      </c>
      <c r="D13" s="267" t="inlineStr">
        <is>
          <t>чел.-ч.</t>
        </is>
      </c>
      <c r="E13" s="347">
        <f>G13/F13</f>
        <v/>
      </c>
      <c r="F13" s="30" t="n">
        <v>7.8</v>
      </c>
      <c r="G13" s="30">
        <f>'Прил. 3'!H12</f>
        <v/>
      </c>
      <c r="H13" s="274">
        <f>G13/G14</f>
        <v/>
      </c>
      <c r="I13" s="30">
        <f>ФОТр.тек.!E13</f>
        <v/>
      </c>
      <c r="J13" s="30">
        <f>ROUND(I13*E13,2)</f>
        <v/>
      </c>
    </row>
    <row r="14" ht="36" customFormat="1" customHeight="1" s="210">
      <c r="A14" s="267" t="n"/>
      <c r="B14" s="267" t="n"/>
      <c r="C14" s="275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347">
        <f>SUM(E13:E13)</f>
        <v/>
      </c>
      <c r="F14" s="30" t="n"/>
      <c r="G14" s="30">
        <f>SUM(G13:G13)</f>
        <v/>
      </c>
      <c r="H14" s="276" t="n">
        <v>1</v>
      </c>
      <c r="I14" s="122" t="n"/>
      <c r="J14" s="30">
        <f>SUM(J13:J13)</f>
        <v/>
      </c>
    </row>
    <row r="15" ht="14.25" customFormat="1" customHeight="1" s="210">
      <c r="A15" s="267" t="n"/>
      <c r="B15" s="271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22" t="n"/>
      <c r="J15" s="122" t="n"/>
    </row>
    <row r="16" ht="14.25" customFormat="1" customHeight="1" s="210">
      <c r="A16" s="267" t="n">
        <v>2</v>
      </c>
      <c r="B16" s="267" t="n">
        <v>2</v>
      </c>
      <c r="C16" s="271" t="inlineStr">
        <is>
          <t>Затраты труда машинистов(справочно)</t>
        </is>
      </c>
      <c r="D16" s="267" t="inlineStr">
        <is>
          <t>чел.-ч.</t>
        </is>
      </c>
      <c r="E16" s="347" t="n">
        <v>1318.15</v>
      </c>
      <c r="F16" s="30">
        <f>G16/E16</f>
        <v/>
      </c>
      <c r="G16" s="30">
        <f>'Прил. 3'!H14</f>
        <v/>
      </c>
      <c r="H16" s="27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10">
      <c r="A17" s="267" t="n"/>
      <c r="B17" s="275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22" t="n"/>
      <c r="J17" s="122" t="n"/>
    </row>
    <row r="18" ht="14.25" customFormat="1" customHeight="1" s="210">
      <c r="A18" s="267" t="n"/>
      <c r="B18" s="271" t="inlineStr">
        <is>
          <t>Основные 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2" t="n"/>
      <c r="J18" s="122" t="n"/>
    </row>
    <row r="19" ht="25.5" customFormat="1" customHeight="1" s="210">
      <c r="A19" s="267" t="n">
        <v>3</v>
      </c>
      <c r="B19" s="267" t="inlineStr">
        <is>
          <t>91.15.02-024</t>
        </is>
      </c>
      <c r="C19" s="189" t="inlineStr">
        <is>
          <t>Тракторы на гусеничном ходу, мощность 79 кВт (108 л.с.)</t>
        </is>
      </c>
      <c r="D19" s="267" t="inlineStr">
        <is>
          <t>маш.-ч.</t>
        </is>
      </c>
      <c r="E19" s="267" t="n">
        <v>1318.1475</v>
      </c>
      <c r="F19" s="201" t="n">
        <v>83.09999999999999</v>
      </c>
      <c r="G19" s="181">
        <f>ROUND(E19*F19,2)</f>
        <v/>
      </c>
      <c r="H19" s="274">
        <f>G19/$G$22</f>
        <v/>
      </c>
      <c r="I19" s="30">
        <f>ROUND(F19*'Прил. 10'!$D$12,2)</f>
        <v/>
      </c>
      <c r="J19" s="30">
        <f>ROUND(I19*E19,2)</f>
        <v/>
      </c>
    </row>
    <row r="20" ht="14.25" customFormat="1" customHeight="1" s="210">
      <c r="A20" s="267" t="n"/>
      <c r="B20" s="267" t="n"/>
      <c r="C20" s="271" t="inlineStr">
        <is>
          <t>Итого основные машины и механизмы</t>
        </is>
      </c>
      <c r="D20" s="267" t="n"/>
      <c r="E20" s="347" t="n"/>
      <c r="F20" s="30" t="n"/>
      <c r="G20" s="30">
        <f>G19</f>
        <v/>
      </c>
      <c r="H20" s="276">
        <f>G20/G22</f>
        <v/>
      </c>
      <c r="I20" s="124" t="n"/>
      <c r="J20" s="30">
        <f>J19</f>
        <v/>
      </c>
    </row>
    <row r="21" ht="14.25" customFormat="1" customHeight="1" s="210">
      <c r="A21" s="267" t="n"/>
      <c r="B21" s="267" t="n"/>
      <c r="C21" s="271" t="inlineStr">
        <is>
          <t>Итого прочие машины и механизмы</t>
        </is>
      </c>
      <c r="D21" s="267" t="n"/>
      <c r="E21" s="272" t="n"/>
      <c r="F21" s="30" t="n"/>
      <c r="G21" s="124" t="n">
        <v>0</v>
      </c>
      <c r="H21" s="274">
        <f>G21/G22</f>
        <v/>
      </c>
      <c r="I21" s="30" t="n"/>
      <c r="J21" s="30" t="n">
        <v>0</v>
      </c>
    </row>
    <row r="22" ht="35.25" customFormat="1" customHeight="1" s="210">
      <c r="A22" s="267" t="n"/>
      <c r="B22" s="267" t="n"/>
      <c r="C22" s="275" t="inlineStr">
        <is>
          <t>Итого по разделу «Машины и механизмы»</t>
        </is>
      </c>
      <c r="D22" s="267" t="n"/>
      <c r="E22" s="272" t="n"/>
      <c r="F22" s="30" t="n"/>
      <c r="G22" s="30">
        <f>G21+G20</f>
        <v/>
      </c>
      <c r="H22" s="126" t="n">
        <v>1</v>
      </c>
      <c r="I22" s="127" t="n"/>
      <c r="J22" s="128">
        <f>J21+J20</f>
        <v/>
      </c>
    </row>
    <row r="23" ht="14.25" customFormat="1" customHeight="1" s="210">
      <c r="A23" s="267" t="n"/>
      <c r="B23" s="275" t="inlineStr">
        <is>
          <t>Оборудование</t>
        </is>
      </c>
      <c r="C23" s="340" t="n"/>
      <c r="D23" s="340" t="n"/>
      <c r="E23" s="340" t="n"/>
      <c r="F23" s="340" t="n"/>
      <c r="G23" s="340" t="n"/>
      <c r="H23" s="341" t="n"/>
      <c r="I23" s="122" t="n"/>
      <c r="J23" s="122" t="n"/>
    </row>
    <row r="24">
      <c r="A24" s="267" t="n"/>
      <c r="B24" s="271" t="inlineStr">
        <is>
          <t>Основное оборудование</t>
        </is>
      </c>
      <c r="C24" s="340" t="n"/>
      <c r="D24" s="340" t="n"/>
      <c r="E24" s="340" t="n"/>
      <c r="F24" s="340" t="n"/>
      <c r="G24" s="340" t="n"/>
      <c r="H24" s="341" t="n"/>
      <c r="I24" s="122" t="n"/>
      <c r="J24" s="122" t="n"/>
    </row>
    <row r="25">
      <c r="A25" s="267" t="n"/>
      <c r="B25" s="267" t="n"/>
      <c r="C25" s="271" t="inlineStr">
        <is>
          <t>Итого основное оборудование</t>
        </is>
      </c>
      <c r="D25" s="267" t="n"/>
      <c r="E25" s="347" t="n"/>
      <c r="F25" s="273" t="n"/>
      <c r="G25" s="30" t="n">
        <v>0</v>
      </c>
      <c r="H25" s="276" t="n">
        <v>0</v>
      </c>
      <c r="I25" s="124" t="n"/>
      <c r="J25" s="30" t="n">
        <v>0</v>
      </c>
    </row>
    <row r="26">
      <c r="A26" s="267" t="n"/>
      <c r="B26" s="267" t="n"/>
      <c r="C26" s="271" t="inlineStr">
        <is>
          <t>Итого прочее оборудование</t>
        </is>
      </c>
      <c r="D26" s="267" t="n"/>
      <c r="E26" s="347" t="n"/>
      <c r="F26" s="273" t="n"/>
      <c r="G26" s="30" t="n">
        <v>0</v>
      </c>
      <c r="H26" s="276" t="n">
        <v>0</v>
      </c>
      <c r="I26" s="124" t="n"/>
      <c r="J26" s="30" t="n">
        <v>0</v>
      </c>
    </row>
    <row r="27" ht="20.25" customHeight="1" s="214">
      <c r="A27" s="267" t="n"/>
      <c r="B27" s="267" t="n"/>
      <c r="C27" s="275" t="inlineStr">
        <is>
          <t>Итого по разделу «Оборудование»</t>
        </is>
      </c>
      <c r="D27" s="267" t="n"/>
      <c r="E27" s="272" t="n"/>
      <c r="F27" s="273" t="n"/>
      <c r="G27" s="30">
        <f>G25+G26</f>
        <v/>
      </c>
      <c r="H27" s="276" t="n">
        <v>0</v>
      </c>
      <c r="I27" s="124" t="n"/>
      <c r="J27" s="30">
        <f>J26+J25</f>
        <v/>
      </c>
    </row>
    <row r="28" ht="31.5" customHeight="1" s="214">
      <c r="A28" s="267" t="n"/>
      <c r="B28" s="267" t="n"/>
      <c r="C28" s="271" t="inlineStr">
        <is>
          <t>в том числе технологическое оборудование</t>
        </is>
      </c>
      <c r="D28" s="267" t="n"/>
      <c r="E28" s="348" t="n"/>
      <c r="F28" s="273" t="n"/>
      <c r="G28" s="30">
        <f>'Прил.6 Расчет ОБ'!G12</f>
        <v/>
      </c>
      <c r="H28" s="276" t="n"/>
      <c r="I28" s="124" t="n"/>
      <c r="J28" s="30">
        <f>ROUND(G28*'Прил. 10'!D14,2)</f>
        <v/>
      </c>
    </row>
    <row r="29" ht="14.25" customFormat="1" customHeight="1" s="210">
      <c r="A29" s="267" t="n"/>
      <c r="B29" s="275" t="inlineStr">
        <is>
          <t>Материалы</t>
        </is>
      </c>
      <c r="C29" s="340" t="n"/>
      <c r="D29" s="340" t="n"/>
      <c r="E29" s="340" t="n"/>
      <c r="F29" s="340" t="n"/>
      <c r="G29" s="340" t="n"/>
      <c r="H29" s="341" t="n"/>
      <c r="I29" s="122" t="n"/>
      <c r="J29" s="122" t="n"/>
    </row>
    <row r="30" ht="14.25" customFormat="1" customHeight="1" s="210">
      <c r="A30" s="268" t="n"/>
      <c r="B30" s="271" t="inlineStr">
        <is>
          <t>Основные материалы</t>
        </is>
      </c>
      <c r="C30" s="340" t="n"/>
      <c r="D30" s="340" t="n"/>
      <c r="E30" s="340" t="n"/>
      <c r="F30" s="340" t="n"/>
      <c r="G30" s="340" t="n"/>
      <c r="H30" s="341" t="n"/>
      <c r="I30" s="134" t="n"/>
      <c r="J30" s="134" t="n"/>
    </row>
    <row r="31" ht="14.25" customFormat="1" customHeight="1" s="210">
      <c r="A31" s="269" t="n"/>
      <c r="B31" s="136" t="n"/>
      <c r="C31" s="137" t="inlineStr">
        <is>
          <t>Итого основные материалы</t>
        </is>
      </c>
      <c r="D31" s="269" t="n"/>
      <c r="E31" s="349" t="n"/>
      <c r="F31" s="128" t="n"/>
      <c r="G31" s="128" t="n">
        <v>0</v>
      </c>
      <c r="H31" s="200" t="n">
        <v>0</v>
      </c>
      <c r="I31" s="124" t="n"/>
      <c r="J31" s="30" t="n">
        <v>0</v>
      </c>
    </row>
    <row r="32" ht="14.25" customFormat="1" customHeight="1" s="210">
      <c r="A32" s="267" t="n"/>
      <c r="B32" s="267" t="n"/>
      <c r="C32" s="271" t="inlineStr">
        <is>
          <t>Итого прочие материалы</t>
        </is>
      </c>
      <c r="D32" s="267" t="n"/>
      <c r="E32" s="272" t="n"/>
      <c r="F32" s="273" t="n"/>
      <c r="G32" s="30" t="n">
        <v>0</v>
      </c>
      <c r="H32" s="274" t="n">
        <v>0</v>
      </c>
      <c r="I32" s="30" t="n"/>
      <c r="J32" s="128" t="n">
        <v>0</v>
      </c>
    </row>
    <row r="33" ht="14.25" customFormat="1" customHeight="1" s="210">
      <c r="A33" s="267" t="n"/>
      <c r="B33" s="267" t="n"/>
      <c r="C33" s="275" t="inlineStr">
        <is>
          <t>Итого по разделу «Материалы»</t>
        </is>
      </c>
      <c r="D33" s="267" t="n"/>
      <c r="E33" s="272" t="n"/>
      <c r="F33" s="273" t="n"/>
      <c r="G33" s="30">
        <f>G31+G32</f>
        <v/>
      </c>
      <c r="H33" s="276" t="n">
        <v>0</v>
      </c>
      <c r="I33" s="30" t="n"/>
      <c r="J33" s="30">
        <f>J31+J32</f>
        <v/>
      </c>
    </row>
    <row r="34" ht="14.25" customFormat="1" customHeight="1" s="210">
      <c r="A34" s="267" t="n"/>
      <c r="B34" s="267" t="n"/>
      <c r="C34" s="271" t="inlineStr">
        <is>
          <t>ИТОГО ПО РМ</t>
        </is>
      </c>
      <c r="D34" s="267" t="n"/>
      <c r="E34" s="272" t="n"/>
      <c r="F34" s="273" t="n"/>
      <c r="G34" s="30">
        <f>G14+G22+G33</f>
        <v/>
      </c>
      <c r="H34" s="276" t="n"/>
      <c r="I34" s="30" t="n"/>
      <c r="J34" s="30">
        <f>J14+J22+J33</f>
        <v/>
      </c>
    </row>
    <row r="35" ht="14.25" customFormat="1" customHeight="1" s="210">
      <c r="A35" s="267" t="n"/>
      <c r="B35" s="267" t="n"/>
      <c r="C35" s="271" t="inlineStr">
        <is>
          <t>Накладные расходы</t>
        </is>
      </c>
      <c r="D35" s="182">
        <f>ROUND(G35/(G$16+$G$14),2)</f>
        <v/>
      </c>
      <c r="E35" s="272" t="n"/>
      <c r="F35" s="273" t="n"/>
      <c r="G35" s="30" t="n">
        <v>33242</v>
      </c>
      <c r="H35" s="276" t="n"/>
      <c r="I35" s="30" t="n"/>
      <c r="J35" s="30">
        <f>ROUND(D35*(J14+J16),2)</f>
        <v/>
      </c>
    </row>
    <row r="36" ht="14.25" customFormat="1" customHeight="1" s="210">
      <c r="A36" s="267" t="n"/>
      <c r="B36" s="267" t="n"/>
      <c r="C36" s="271" t="inlineStr">
        <is>
          <t>Сметная прибыль</t>
        </is>
      </c>
      <c r="D36" s="182">
        <f>ROUND(G36/(G$14+G$16),2)</f>
        <v/>
      </c>
      <c r="E36" s="272" t="n"/>
      <c r="F36" s="273" t="n"/>
      <c r="G36" s="30" t="n">
        <v>15143</v>
      </c>
      <c r="H36" s="276" t="n"/>
      <c r="I36" s="30" t="n"/>
      <c r="J36" s="30">
        <f>ROUND(D36*(J14+J16),2)</f>
        <v/>
      </c>
    </row>
    <row r="37" ht="14.25" customFormat="1" customHeight="1" s="210">
      <c r="A37" s="267" t="n"/>
      <c r="B37" s="267" t="n"/>
      <c r="C37" s="271" t="inlineStr">
        <is>
          <t>Итого СМР (с НР и СП)</t>
        </is>
      </c>
      <c r="D37" s="267" t="n"/>
      <c r="E37" s="272" t="n"/>
      <c r="F37" s="273" t="n"/>
      <c r="G37" s="30">
        <f>G14+G22+G33+G35+G36</f>
        <v/>
      </c>
      <c r="H37" s="276" t="n"/>
      <c r="I37" s="30" t="n"/>
      <c r="J37" s="30">
        <f>J14+J22+J33+J35+J36</f>
        <v/>
      </c>
    </row>
    <row r="38" ht="14.25" customFormat="1" customHeight="1" s="210">
      <c r="A38" s="267" t="n"/>
      <c r="B38" s="267" t="n"/>
      <c r="C38" s="271" t="inlineStr">
        <is>
          <t>ВСЕГО СМР + ОБОРУДОВАНИЕ</t>
        </is>
      </c>
      <c r="D38" s="267" t="n"/>
      <c r="E38" s="272" t="n"/>
      <c r="F38" s="273" t="n"/>
      <c r="G38" s="30">
        <f>G37+G27</f>
        <v/>
      </c>
      <c r="H38" s="276" t="n"/>
      <c r="I38" s="30" t="n"/>
      <c r="J38" s="30">
        <f>J37+J27</f>
        <v/>
      </c>
    </row>
    <row r="39" ht="34.5" customFormat="1" customHeight="1" s="210">
      <c r="A39" s="267" t="n"/>
      <c r="B39" s="267" t="n"/>
      <c r="C39" s="271" t="inlineStr">
        <is>
          <t>ИТОГО ПОКАЗАТЕЛЬ НА ЕД. ИЗМ.</t>
        </is>
      </c>
      <c r="D39" s="267" t="inlineStr">
        <is>
          <t>100 хлыстов на100 м.</t>
        </is>
      </c>
      <c r="E39" s="348" t="n">
        <v>405.04</v>
      </c>
      <c r="F39" s="273" t="n"/>
      <c r="G39" s="30">
        <f>G38/E39</f>
        <v/>
      </c>
      <c r="H39" s="276" t="n"/>
      <c r="I39" s="30" t="n"/>
      <c r="J39" s="30">
        <f>J38/E39</f>
        <v/>
      </c>
    </row>
    <row r="41" ht="14.25" customFormat="1" customHeight="1" s="210">
      <c r="A41" s="209" t="inlineStr">
        <is>
          <t>Составил ______________________    А.Р. Маркова</t>
        </is>
      </c>
      <c r="B41" s="179" t="n"/>
      <c r="D41" s="179" t="n"/>
      <c r="E41" s="179" t="n"/>
      <c r="F41" s="180" t="n"/>
    </row>
    <row r="42" ht="14.25" customFormat="1" customHeight="1" s="210">
      <c r="A42" s="212" t="inlineStr">
        <is>
          <t xml:space="preserve">                         (подпись, инициалы, фамилия)</t>
        </is>
      </c>
      <c r="B42" s="179" t="n"/>
      <c r="D42" s="179" t="n"/>
      <c r="E42" s="179" t="n"/>
      <c r="F42" s="180" t="n"/>
    </row>
    <row r="43" ht="14.25" customFormat="1" customHeight="1" s="210">
      <c r="A43" s="209" t="n"/>
      <c r="B43" s="179" t="n"/>
      <c r="D43" s="179" t="n"/>
      <c r="E43" s="179" t="n"/>
      <c r="F43" s="180" t="n"/>
    </row>
    <row r="44" ht="14.25" customFormat="1" customHeight="1" s="210">
      <c r="A44" s="209" t="inlineStr">
        <is>
          <t>Проверил ______________________        А.В. Костянецкая</t>
        </is>
      </c>
      <c r="B44" s="179" t="n"/>
      <c r="D44" s="179" t="n"/>
      <c r="E44" s="179" t="n"/>
      <c r="F44" s="180" t="n"/>
    </row>
    <row r="45" ht="14.25" customFormat="1" customHeight="1" s="210">
      <c r="A45" s="212" t="inlineStr">
        <is>
          <t xml:space="preserve">                        (подпись, инициалы, фамилия)</t>
        </is>
      </c>
      <c r="B45" s="179" t="n"/>
      <c r="D45" s="179" t="n"/>
      <c r="E45" s="179" t="n"/>
      <c r="F45" s="180" t="n"/>
    </row>
  </sheetData>
  <mergeCells count="21">
    <mergeCell ref="H9:H10"/>
    <mergeCell ref="B30:H30"/>
    <mergeCell ref="B24:H24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23:H23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topLeftCell="A10" workbookViewId="0">
      <selection activeCell="E22" sqref="E22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1" t="inlineStr">
        <is>
          <t>Приложение №6</t>
        </is>
      </c>
    </row>
    <row r="2" ht="21.75" customHeight="1" s="214">
      <c r="A2" s="281" t="n"/>
      <c r="B2" s="281" t="n"/>
      <c r="C2" s="281" t="n"/>
      <c r="D2" s="281" t="n"/>
      <c r="E2" s="281" t="n"/>
      <c r="F2" s="281" t="n"/>
      <c r="G2" s="281" t="n"/>
    </row>
    <row r="3">
      <c r="A3" s="232" t="inlineStr">
        <is>
          <t>Расчет стоимости оборудования</t>
        </is>
      </c>
    </row>
    <row r="4" ht="25.5" customHeight="1" s="214">
      <c r="A4" s="235" t="inlineStr">
        <is>
          <t xml:space="preserve">Наименование разрабатываемого показателя УНЦ —  Трелевка хлыстов древесины при вырубке (расширении) просеки ВЛ </t>
        </is>
      </c>
    </row>
    <row r="5">
      <c r="A5" s="209" t="n"/>
      <c r="B5" s="209" t="n"/>
      <c r="C5" s="209" t="n"/>
      <c r="D5" s="209" t="n"/>
      <c r="E5" s="209" t="n"/>
      <c r="F5" s="209" t="n"/>
      <c r="G5" s="209" t="n"/>
    </row>
    <row r="6" ht="30" customHeight="1" s="214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7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4">
      <c r="A9" s="24" t="n"/>
      <c r="B9" s="271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14">
      <c r="A10" s="267" t="n"/>
      <c r="B10" s="275" t="n"/>
      <c r="C10" s="271" t="inlineStr">
        <is>
          <t>ИТОГО ИНЖЕНЕРНОЕ ОБОРУДОВАНИЕ</t>
        </is>
      </c>
      <c r="D10" s="275" t="n"/>
      <c r="E10" s="103" t="n"/>
      <c r="F10" s="273" t="n"/>
      <c r="G10" s="273" t="n">
        <v>0</v>
      </c>
    </row>
    <row r="11">
      <c r="A11" s="267" t="n"/>
      <c r="B11" s="271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14">
      <c r="A12" s="267" t="n"/>
      <c r="B12" s="271" t="n"/>
      <c r="C12" s="271" t="inlineStr">
        <is>
          <t>ИТОГО ТЕХНОЛОГИЧЕСКОЕ ОБОРУДОВАНИЕ</t>
        </is>
      </c>
      <c r="D12" s="271" t="n"/>
      <c r="E12" s="285" t="n"/>
      <c r="F12" s="273" t="n"/>
      <c r="G12" s="30" t="n">
        <v>0</v>
      </c>
    </row>
    <row r="13" ht="19.5" customHeight="1" s="214">
      <c r="A13" s="267" t="n"/>
      <c r="B13" s="271" t="n"/>
      <c r="C13" s="271" t="inlineStr">
        <is>
          <t>Всего по разделу «Оборудование»</t>
        </is>
      </c>
      <c r="D13" s="271" t="n"/>
      <c r="E13" s="285" t="n"/>
      <c r="F13" s="273" t="n"/>
      <c r="G13" s="30">
        <f>G10+G12</f>
        <v/>
      </c>
    </row>
    <row r="14">
      <c r="A14" s="211" t="n"/>
      <c r="B14" s="104" t="n"/>
      <c r="C14" s="211" t="n"/>
      <c r="D14" s="211" t="n"/>
      <c r="E14" s="211" t="n"/>
      <c r="F14" s="211" t="n"/>
      <c r="G14" s="211" t="n"/>
    </row>
    <row r="15">
      <c r="A15" s="209" t="inlineStr">
        <is>
          <t>Составил ______________________    А.Р. Маркова</t>
        </is>
      </c>
      <c r="B15" s="210" t="n"/>
      <c r="C15" s="210" t="n"/>
      <c r="D15" s="211" t="n"/>
      <c r="E15" s="211" t="n"/>
      <c r="F15" s="211" t="n"/>
      <c r="G15" s="211" t="n"/>
    </row>
    <row r="16">
      <c r="A16" s="212" t="inlineStr">
        <is>
          <t xml:space="preserve">                         (подпись, инициалы, фамилия)</t>
        </is>
      </c>
      <c r="B16" s="210" t="n"/>
      <c r="C16" s="210" t="n"/>
      <c r="D16" s="211" t="n"/>
      <c r="E16" s="211" t="n"/>
      <c r="F16" s="211" t="n"/>
      <c r="G16" s="211" t="n"/>
    </row>
    <row r="17">
      <c r="A17" s="209" t="n"/>
      <c r="B17" s="210" t="n"/>
      <c r="C17" s="210" t="n"/>
      <c r="D17" s="211" t="n"/>
      <c r="E17" s="211" t="n"/>
      <c r="F17" s="211" t="n"/>
      <c r="G17" s="211" t="n"/>
    </row>
    <row r="18">
      <c r="A18" s="209" t="inlineStr">
        <is>
          <t>Проверил ______________________        А.В. Костянецкая</t>
        </is>
      </c>
      <c r="B18" s="210" t="n"/>
      <c r="C18" s="210" t="n"/>
      <c r="D18" s="211" t="n"/>
      <c r="E18" s="211" t="n"/>
      <c r="F18" s="211" t="n"/>
      <c r="G18" s="211" t="n"/>
    </row>
    <row r="19">
      <c r="A19" s="212" t="inlineStr">
        <is>
          <t xml:space="preserve">                        (подпись, инициалы, фамилия)</t>
        </is>
      </c>
      <c r="B19" s="210" t="n"/>
      <c r="C19" s="210" t="n"/>
      <c r="D19" s="211" t="n"/>
      <c r="E19" s="211" t="n"/>
      <c r="F19" s="211" t="n"/>
      <c r="G19" s="2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204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87" t="inlineStr">
        <is>
          <t xml:space="preserve">Наименование разрабатываемого показателя УНЦ - </t>
        </is>
      </c>
      <c r="D5" s="287">
        <f>'Прил.5 Расчет СМР и ОБ'!D6:J6</f>
        <v/>
      </c>
    </row>
    <row r="6" ht="15.75" customHeight="1" s="214">
      <c r="A6" s="216" t="inlineStr">
        <is>
          <t>Единица измерения  — 100 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43" t="n"/>
      <c r="B9" s="343" t="n"/>
      <c r="C9" s="343" t="n"/>
      <c r="D9" s="343" t="n"/>
    </row>
    <row r="10" ht="15.75" customHeight="1" s="214">
      <c r="A10" s="243" t="n">
        <v>1</v>
      </c>
      <c r="B10" s="243" t="n">
        <v>2</v>
      </c>
      <c r="C10" s="243" t="n">
        <v>3</v>
      </c>
      <c r="D10" s="243" t="n">
        <v>4</v>
      </c>
    </row>
    <row r="11" ht="94.5" customHeight="1" s="214">
      <c r="A11" s="243" t="inlineStr">
        <is>
          <t>М4-01</t>
        </is>
      </c>
      <c r="B11" s="243" t="inlineStr">
        <is>
          <t>УНЦ на трелевку хлыстов древесины при вырубке (расширении) просеки ВЛ (тыс. руб.)</t>
        </is>
      </c>
      <c r="C11" s="207">
        <f>D5</f>
        <v/>
      </c>
      <c r="D11" s="222">
        <f>'Прил.4 РМ'!C41/1000</f>
        <v/>
      </c>
    </row>
    <row r="13">
      <c r="A13" s="209" t="inlineStr">
        <is>
          <t>Составил ______________________    А.Р. Маркова</t>
        </is>
      </c>
      <c r="B13" s="210" t="n"/>
      <c r="C13" s="210" t="n"/>
      <c r="D13" s="211" t="n"/>
    </row>
    <row r="14">
      <c r="A14" s="212" t="inlineStr">
        <is>
          <t xml:space="preserve">                         (подпись, инициалы, фамилия)</t>
        </is>
      </c>
      <c r="B14" s="210" t="n"/>
      <c r="C14" s="210" t="n"/>
      <c r="D14" s="211" t="n"/>
    </row>
    <row r="15">
      <c r="A15" s="209" t="n"/>
      <c r="B15" s="210" t="n"/>
      <c r="C15" s="210" t="n"/>
      <c r="D15" s="211" t="n"/>
    </row>
    <row r="16">
      <c r="A16" s="209" t="inlineStr">
        <is>
          <t>Проверил ______________________        А.В. Костянецкая</t>
        </is>
      </c>
      <c r="B16" s="210" t="n"/>
      <c r="C16" s="210" t="n"/>
      <c r="D16" s="211" t="n"/>
    </row>
    <row r="17" ht="20.25" customHeight="1" s="214">
      <c r="A17" s="212" t="inlineStr">
        <is>
          <t xml:space="preserve">                        (подпись, инициалы, фамилия)</t>
        </is>
      </c>
      <c r="B17" s="210" t="n"/>
      <c r="C17" s="210" t="n"/>
      <c r="D17" s="2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39" t="inlineStr">
        <is>
          <t>Приложение № 10</t>
        </is>
      </c>
    </row>
    <row r="5" ht="18.75" customHeight="1" s="214">
      <c r="B5" s="115" t="n"/>
    </row>
    <row r="6" ht="15.75" customHeight="1" s="214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7.25" customHeight="1" s="214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4">
      <c r="B10" s="243" t="n">
        <v>1</v>
      </c>
      <c r="C10" s="243" t="n">
        <v>2</v>
      </c>
      <c r="D10" s="243" t="n">
        <v>3</v>
      </c>
    </row>
    <row r="11" ht="45" customHeight="1" s="214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от 01.04.2023г. №17772-ИФ/09 прил.9</t>
        </is>
      </c>
      <c r="D11" s="243" t="n">
        <v>46.83</v>
      </c>
    </row>
    <row r="12" ht="29.25" customHeight="1" s="214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от 01.04.2023г. №17772-ИФ/09 прил.9</t>
        </is>
      </c>
      <c r="D12" s="243" t="n">
        <v>11.96</v>
      </c>
    </row>
    <row r="13" ht="29.25" customHeight="1" s="214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от 01.04.2023г. №17772-ИФ/09 прил.9</t>
        </is>
      </c>
      <c r="D13" s="243" t="n">
        <v>9.84</v>
      </c>
    </row>
    <row r="14" ht="30.75" customHeight="1" s="214">
      <c r="B14" s="24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4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8" t="n">
        <v>0.033</v>
      </c>
    </row>
    <row r="16" ht="78.75" customHeight="1" s="214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8" t="n">
        <v>0.01</v>
      </c>
    </row>
    <row r="17" ht="31.5" customHeight="1" s="214">
      <c r="B17" s="243" t="inlineStr">
        <is>
          <t>Пусконаладочные работы</t>
        </is>
      </c>
      <c r="C17" s="243" t="n"/>
      <c r="D17" s="243" t="inlineStr">
        <is>
          <t>расчет</t>
        </is>
      </c>
    </row>
    <row r="18" ht="31.5" customHeight="1" s="214">
      <c r="B18" s="243" t="inlineStr">
        <is>
          <t>Строительный контроль</t>
        </is>
      </c>
      <c r="C18" s="243" t="inlineStr">
        <is>
          <t>Постановление Правительства РФ от 21.06.10 г. № 468</t>
        </is>
      </c>
      <c r="D18" s="118" t="n">
        <v>0.0214</v>
      </c>
    </row>
    <row r="19" ht="24" customHeight="1" s="214">
      <c r="B19" s="243" t="inlineStr">
        <is>
          <t>Авторский надзор - 0,2%</t>
        </is>
      </c>
      <c r="C19" s="243" t="inlineStr">
        <is>
          <t>Приказ от 4.08.2020 № 421/пр п.173</t>
        </is>
      </c>
      <c r="D19" s="118" t="n">
        <v>0.002</v>
      </c>
    </row>
    <row r="20" ht="18.75" customHeight="1" s="214">
      <c r="B20" s="243" t="inlineStr">
        <is>
          <t>Непредвиденные расходы</t>
        </is>
      </c>
      <c r="C20" s="243" t="inlineStr">
        <is>
          <t>Приказ от 4.08.2020 № 421/пр п.179</t>
        </is>
      </c>
      <c r="D20" s="118" t="n">
        <v>0.03</v>
      </c>
    </row>
    <row r="21" ht="18.75" customHeight="1" s="214">
      <c r="B21" s="116" t="n"/>
    </row>
    <row r="22" ht="18.75" customHeight="1" s="214">
      <c r="B22" s="116" t="n"/>
    </row>
    <row r="23" ht="18.75" customHeight="1" s="214">
      <c r="B23" s="116" t="n"/>
    </row>
    <row r="26">
      <c r="B26" s="209" t="inlineStr">
        <is>
          <t>Составил ______________________        А.Р. Маркова</t>
        </is>
      </c>
      <c r="C26" s="210" t="n"/>
    </row>
    <row r="27">
      <c r="B27" s="212" t="inlineStr">
        <is>
          <t xml:space="preserve">                         (подпись, инициалы, фамилия)</t>
        </is>
      </c>
      <c r="C27" s="210" t="n"/>
    </row>
    <row r="28">
      <c r="B28" s="209" t="n"/>
      <c r="C28" s="210" t="n"/>
    </row>
    <row r="29">
      <c r="B29" s="209" t="inlineStr">
        <is>
          <t>Проверил ______________________        А.В. Костянецкая</t>
        </is>
      </c>
      <c r="C29" s="210" t="n"/>
    </row>
    <row r="30">
      <c r="B30" s="212" t="inlineStr">
        <is>
          <t xml:space="preserve">                        (подпись, инициалы, фамилия)</t>
        </is>
      </c>
      <c r="C30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53.7109375" bestFit="1" customWidth="1" style="214" min="6" max="6"/>
  </cols>
  <sheetData>
    <row r="1" s="214"/>
    <row r="2" ht="17.25" customHeight="1" s="214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43" t="n"/>
      <c r="D10" s="243" t="n"/>
      <c r="E10" s="350" t="n">
        <v>2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51" t="n">
        <v>1.085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28" t="inlineStr">
        <is>
          <t>1.6</t>
        </is>
      </c>
      <c r="B12" s="165" t="inlineStr">
        <is>
          <t>Коэффициент инфляции, определяемый поквартально</t>
        </is>
      </c>
      <c r="C12" s="245" t="inlineStr">
        <is>
          <t>Кинф</t>
        </is>
      </c>
      <c r="D12" s="245" t="inlineStr">
        <is>
          <t>-</t>
        </is>
      </c>
      <c r="E12" s="352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4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2025-01-24T12:11:10Z</dcterms:modified>
  <cp:lastModifiedBy>User1</cp:lastModifiedBy>
  <cp:lastPrinted>2023-11-30T06:18:03Z</cp:lastPrinted>
</cp:coreProperties>
</file>