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43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60" zoomScaleNormal="55" workbookViewId="0">
      <selection activeCell="D72" sqref="D72:D73"/>
    </sheetView>
  </sheetViews>
  <sheetFormatPr baseColWidth="8" defaultColWidth="9.140625" defaultRowHeight="15.75"/>
  <cols>
    <col width="9.140625" customWidth="1" style="241" min="1" max="2"/>
    <col width="51.7109375" customWidth="1" style="241" min="3" max="3"/>
    <col width="47" customWidth="1" style="241" min="4" max="4"/>
    <col width="37.42578125" customWidth="1" style="241" min="5" max="5"/>
    <col width="9.140625" customWidth="1" style="241" min="6" max="6"/>
  </cols>
  <sheetData>
    <row r="3">
      <c r="B3" s="276" t="inlineStr">
        <is>
          <t>Приложение № 1</t>
        </is>
      </c>
    </row>
    <row r="4">
      <c r="B4" s="277" t="inlineStr">
        <is>
          <t>Сравнительная таблица отбора объекта-представителя</t>
        </is>
      </c>
    </row>
    <row r="5" ht="84" customHeight="1" s="239">
      <c r="B5" s="28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9">
      <c r="B6" s="160" t="n"/>
      <c r="C6" s="160" t="n"/>
      <c r="D6" s="160" t="n"/>
    </row>
    <row r="7" ht="64.5" customHeight="1" s="239">
      <c r="B7" s="278" t="inlineStr">
        <is>
          <t>Наименование разрабатываемого показателя УНЦ — Демонтаж КЛ 6-20кВ сечением до 95мм2</t>
        </is>
      </c>
    </row>
    <row r="8" ht="31.5" customHeight="1" s="239">
      <c r="B8" s="279" t="inlineStr">
        <is>
          <t>Сопоставимый уровень цен: 3 квартал 2011 года</t>
        </is>
      </c>
    </row>
    <row r="9" ht="15.75" customHeight="1" s="239">
      <c r="B9" s="279" t="inlineStr">
        <is>
          <t>Единица измерения  — 1 км</t>
        </is>
      </c>
    </row>
    <row r="10">
      <c r="B10" s="279" t="n"/>
    </row>
    <row r="11">
      <c r="B11" s="281" t="inlineStr">
        <is>
          <t>№ п/п</t>
        </is>
      </c>
      <c r="C11" s="281" t="inlineStr">
        <is>
          <t>Параметр</t>
        </is>
      </c>
      <c r="D11" s="281" t="inlineStr">
        <is>
          <t xml:space="preserve">Объект-представитель </t>
        </is>
      </c>
      <c r="E11" s="145" t="n"/>
    </row>
    <row r="12" ht="96.75" customHeight="1" s="239">
      <c r="B12" s="281" t="n">
        <v>1</v>
      </c>
      <c r="C12" s="286" t="inlineStr">
        <is>
          <t>Наименование объекта-представителя</t>
        </is>
      </c>
      <c r="D12" s="281" t="inlineStr">
        <is>
          <t>Комплексная реконструкция и техническое перевооружение ПС №20 Чесменская СПб</t>
        </is>
      </c>
    </row>
    <row r="13">
      <c r="B13" s="281" t="n">
        <v>2</v>
      </c>
      <c r="C13" s="286" t="inlineStr">
        <is>
          <t>Наименование субъекта Российской Федерации</t>
        </is>
      </c>
      <c r="D13" s="281" t="inlineStr">
        <is>
          <t>Ленинградская область</t>
        </is>
      </c>
    </row>
    <row r="14">
      <c r="B14" s="281" t="n">
        <v>3</v>
      </c>
      <c r="C14" s="286" t="inlineStr">
        <is>
          <t>Климатический район и подрайон</t>
        </is>
      </c>
      <c r="D14" s="281" t="inlineStr">
        <is>
          <t>IIВ</t>
        </is>
      </c>
    </row>
    <row r="15">
      <c r="B15" s="281" t="n">
        <v>4</v>
      </c>
      <c r="C15" s="286" t="inlineStr">
        <is>
          <t>Мощность объекта</t>
        </is>
      </c>
      <c r="D15" s="281" t="n">
        <v>1</v>
      </c>
    </row>
    <row r="16" ht="116.25" customHeight="1" s="239">
      <c r="B16" s="281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1" t="inlineStr">
        <is>
          <t>Кабель медный 20кВ 3х95мм2</t>
        </is>
      </c>
    </row>
    <row r="17" ht="79.5" customHeight="1" s="239">
      <c r="B17" s="281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5">
        <f>SUM(D18:D21)</f>
        <v/>
      </c>
      <c r="E17" s="159" t="n"/>
    </row>
    <row r="18">
      <c r="B18" s="144" t="inlineStr">
        <is>
          <t>6.1</t>
        </is>
      </c>
      <c r="C18" s="286" t="inlineStr">
        <is>
          <t>строительно-монтажные работы</t>
        </is>
      </c>
      <c r="D18" s="265">
        <f>'Прил.2 Расч стоим'!F12+'Прил.2 Расч стоим'!G12</f>
        <v/>
      </c>
    </row>
    <row r="19" ht="15.75" customHeight="1" s="239">
      <c r="B19" s="144" t="inlineStr">
        <is>
          <t>6.2</t>
        </is>
      </c>
      <c r="C19" s="286" t="inlineStr">
        <is>
          <t>оборудование и инвентарь</t>
        </is>
      </c>
      <c r="D19" s="265" t="n">
        <v>0</v>
      </c>
    </row>
    <row r="20" ht="16.5" customHeight="1" s="239">
      <c r="B20" s="144" t="inlineStr">
        <is>
          <t>6.3</t>
        </is>
      </c>
      <c r="C20" s="286" t="inlineStr">
        <is>
          <t>пусконаладочные работы</t>
        </is>
      </c>
      <c r="D20" s="265" t="n">
        <v>0</v>
      </c>
    </row>
    <row r="21" ht="35.25" customHeight="1" s="239">
      <c r="B21" s="144" t="inlineStr">
        <is>
          <t>6.4</t>
        </is>
      </c>
      <c r="C21" s="143" t="inlineStr">
        <is>
          <t>прочие и лимитированные затраты</t>
        </is>
      </c>
      <c r="D21" s="265">
        <f>D18*2.5%+(D18+D18*2.5%)*2.9%</f>
        <v/>
      </c>
    </row>
    <row r="22">
      <c r="B22" s="281" t="n">
        <v>7</v>
      </c>
      <c r="C22" s="143" t="inlineStr">
        <is>
          <t>Сопоставимый уровень цен</t>
        </is>
      </c>
      <c r="D22" s="163" t="inlineStr">
        <is>
          <t xml:space="preserve">3 квартал 2011 года </t>
        </is>
      </c>
      <c r="E22" s="141" t="n"/>
    </row>
    <row r="23" ht="78.75" customHeight="1" s="239">
      <c r="B23" s="281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5">
        <f>D17</f>
        <v/>
      </c>
      <c r="E23" s="159" t="n"/>
    </row>
    <row r="24" ht="31.5" customHeight="1" s="239">
      <c r="B24" s="281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265">
        <f>D23/D15</f>
        <v/>
      </c>
      <c r="E24" s="141" t="n"/>
    </row>
    <row r="25">
      <c r="B25" s="281" t="n">
        <v>10</v>
      </c>
      <c r="C25" s="286" t="inlineStr">
        <is>
          <t>Примечание</t>
        </is>
      </c>
      <c r="D25" s="281" t="n"/>
    </row>
    <row r="26">
      <c r="B26" s="140" t="n"/>
      <c r="C26" s="139" t="n"/>
      <c r="D26" s="139" t="n"/>
    </row>
    <row r="27">
      <c r="B27" s="138" t="n"/>
    </row>
    <row r="28">
      <c r="B28" s="241" t="inlineStr">
        <is>
          <t>Составил ______________________    Д.А. Самуйленко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41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41" min="1" max="1"/>
    <col width="9.140625" customWidth="1" style="241" min="2" max="2"/>
    <col width="35.28515625" customWidth="1" style="241" min="3" max="3"/>
    <col width="13.85546875" customWidth="1" style="241" min="4" max="4"/>
    <col width="24.85546875" customWidth="1" style="241" min="5" max="5"/>
    <col width="15.5703125" customWidth="1" style="241" min="6" max="6"/>
    <col width="14.85546875" customWidth="1" style="241" min="7" max="7"/>
    <col width="16.7109375" customWidth="1" style="241" min="8" max="8"/>
    <col width="13" customWidth="1" style="241" min="9" max="10"/>
    <col width="18" customWidth="1" style="241" min="11" max="11"/>
    <col width="9.140625" customWidth="1" style="241" min="12" max="12"/>
  </cols>
  <sheetData>
    <row r="3">
      <c r="B3" s="276" t="inlineStr">
        <is>
          <t>Приложение № 2</t>
        </is>
      </c>
      <c r="K3" s="138" t="n"/>
    </row>
    <row r="4">
      <c r="B4" s="277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39">
      <c r="B6" s="279">
        <f>'Прил.1 Сравнит табл'!B7:D7</f>
        <v/>
      </c>
    </row>
    <row r="7">
      <c r="B7" s="279">
        <f>'Прил.1 Сравнит табл'!B9:D9</f>
        <v/>
      </c>
    </row>
    <row r="8" ht="18.75" customHeight="1" s="239">
      <c r="B8" s="119" t="n"/>
    </row>
    <row r="9" ht="15.75" customHeight="1" s="239">
      <c r="B9" s="281" t="inlineStr">
        <is>
          <t>№ п/п</t>
        </is>
      </c>
      <c r="C9" s="28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81" t="inlineStr">
        <is>
          <t>Объект-представитель 1</t>
        </is>
      </c>
      <c r="E9" s="370" t="n"/>
      <c r="F9" s="370" t="n"/>
      <c r="G9" s="370" t="n"/>
      <c r="H9" s="370" t="n"/>
      <c r="I9" s="370" t="n"/>
      <c r="J9" s="371" t="n"/>
    </row>
    <row r="10" ht="15.75" customHeight="1" s="239">
      <c r="B10" s="372" t="n"/>
      <c r="C10" s="372" t="n"/>
      <c r="D10" s="281" t="inlineStr">
        <is>
          <t>Номер сметы</t>
        </is>
      </c>
      <c r="E10" s="281" t="inlineStr">
        <is>
          <t>Наименование сметы</t>
        </is>
      </c>
      <c r="F10" s="281" t="inlineStr">
        <is>
          <t>Сметная стоимость в уровне цен 3 кв. 2011 г., тыс. руб.</t>
        </is>
      </c>
      <c r="G10" s="370" t="n"/>
      <c r="H10" s="370" t="n"/>
      <c r="I10" s="370" t="n"/>
      <c r="J10" s="371" t="n"/>
    </row>
    <row r="11" ht="31.5" customHeight="1" s="239">
      <c r="B11" s="373" t="n"/>
      <c r="C11" s="373" t="n"/>
      <c r="D11" s="373" t="n"/>
      <c r="E11" s="373" t="n"/>
      <c r="F11" s="281" t="inlineStr">
        <is>
          <t>Строительные работы</t>
        </is>
      </c>
      <c r="G11" s="281" t="inlineStr">
        <is>
          <t>Монтажные работы</t>
        </is>
      </c>
      <c r="H11" s="281" t="inlineStr">
        <is>
          <t>Оборудование</t>
        </is>
      </c>
      <c r="I11" s="281" t="inlineStr">
        <is>
          <t>Прочее</t>
        </is>
      </c>
      <c r="J11" s="281" t="inlineStr">
        <is>
          <t>Всего</t>
        </is>
      </c>
    </row>
    <row r="12" ht="30" customHeight="1" s="239">
      <c r="B12" s="262" t="n">
        <v>1</v>
      </c>
      <c r="C12" s="281" t="inlineStr">
        <is>
          <t>Кабель медный 20кВ 3х95мм2</t>
        </is>
      </c>
      <c r="D12" s="263" t="inlineStr">
        <is>
          <t>02-17-01</t>
        </is>
      </c>
      <c r="E12" s="286" t="inlineStr">
        <is>
          <t>Заходы КЛ-35 кВ</t>
        </is>
      </c>
      <c r="F12" s="264" t="n">
        <v>0</v>
      </c>
      <c r="G12" s="265" t="n">
        <v>4533.53624</v>
      </c>
      <c r="H12" s="264" t="n">
        <v>0</v>
      </c>
      <c r="I12" s="264" t="n">
        <v>0</v>
      </c>
      <c r="J12" s="266">
        <f>SUM(F12:I12)</f>
        <v/>
      </c>
    </row>
    <row r="13" ht="15" customHeight="1" s="239">
      <c r="B13" s="282" t="inlineStr">
        <is>
          <t>Всего по объекту:</t>
        </is>
      </c>
      <c r="C13" s="370" t="n"/>
      <c r="D13" s="370" t="n"/>
      <c r="E13" s="371" t="n"/>
      <c r="F13" s="267">
        <f>F12</f>
        <v/>
      </c>
      <c r="G13" s="267">
        <f>G12</f>
        <v/>
      </c>
      <c r="H13" s="267">
        <f>H12</f>
        <v/>
      </c>
      <c r="I13" s="267">
        <f>I12</f>
        <v/>
      </c>
      <c r="J13" s="268">
        <f>SUM(F13:I13)</f>
        <v/>
      </c>
    </row>
    <row r="14" ht="15.75" customHeight="1" s="239">
      <c r="B14" s="282" t="inlineStr">
        <is>
          <t>Всего по объекту в сопоставимом уровне цен 3 кв. 2011 г. :</t>
        </is>
      </c>
      <c r="C14" s="370" t="n"/>
      <c r="D14" s="370" t="n"/>
      <c r="E14" s="371" t="n"/>
      <c r="F14" s="267">
        <f>F13</f>
        <v/>
      </c>
      <c r="G14" s="267">
        <f>G13</f>
        <v/>
      </c>
      <c r="H14" s="267">
        <f>H13</f>
        <v/>
      </c>
      <c r="I14" s="267">
        <f>'Прил.1 Сравнит табл'!D21</f>
        <v/>
      </c>
      <c r="J14" s="268">
        <f>SUM(F14:I14)</f>
        <v/>
      </c>
    </row>
    <row r="15" ht="15" customHeight="1" s="239"/>
    <row r="16" ht="15" customHeight="1" s="239"/>
    <row r="17" ht="15" customHeight="1" s="239"/>
    <row r="18" ht="15" customHeight="1" s="239">
      <c r="C18" s="235" t="inlineStr">
        <is>
          <t>Составил ______________________     Д.А. Самуйленко</t>
        </is>
      </c>
      <c r="D18" s="236" t="n"/>
      <c r="E18" s="236" t="n"/>
    </row>
    <row r="19" ht="15" customHeight="1" s="239">
      <c r="C19" s="238" t="inlineStr">
        <is>
          <t xml:space="preserve">                         (подпись, инициалы, фамилия)</t>
        </is>
      </c>
      <c r="D19" s="236" t="n"/>
      <c r="E19" s="236" t="n"/>
    </row>
    <row r="20" ht="15" customHeight="1" s="239">
      <c r="C20" s="235" t="n"/>
      <c r="D20" s="236" t="n"/>
      <c r="E20" s="236" t="n"/>
    </row>
    <row r="21" ht="15" customHeight="1" s="239">
      <c r="C21" s="235" t="inlineStr">
        <is>
          <t>Проверил ______________________        А.В. Костянецкая</t>
        </is>
      </c>
      <c r="D21" s="236" t="n"/>
      <c r="E21" s="236" t="n"/>
    </row>
    <row r="22" ht="15" customHeight="1" s="239">
      <c r="C22" s="238" t="inlineStr">
        <is>
          <t xml:space="preserve">                        (подпись, инициалы, фамилия)</t>
        </is>
      </c>
      <c r="D22" s="236" t="n"/>
      <c r="E22" s="236" t="n"/>
    </row>
    <row r="26" ht="15" customHeight="1" s="239"/>
    <row r="28" ht="15" customHeight="1" s="23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4"/>
  <sheetViews>
    <sheetView view="pageBreakPreview" topLeftCell="A7" workbookViewId="0">
      <selection activeCell="C30" sqref="C30"/>
    </sheetView>
  </sheetViews>
  <sheetFormatPr baseColWidth="8" defaultColWidth="9.140625" defaultRowHeight="15.75"/>
  <cols>
    <col width="9.140625" customWidth="1" style="241" min="1" max="1"/>
    <col width="12.5703125" customWidth="1" style="241" min="2" max="2"/>
    <col width="22.42578125" customWidth="1" style="241" min="3" max="3"/>
    <col width="49.7109375" customWidth="1" style="241" min="4" max="4"/>
    <col width="10.140625" customWidth="1" style="241" min="5" max="5"/>
    <col width="20.7109375" customWidth="1" style="241" min="6" max="6"/>
    <col width="20" customWidth="1" style="241" min="7" max="7"/>
    <col width="16.7109375" customWidth="1" style="241" min="8" max="8"/>
    <col width="9.140625" customWidth="1" style="241" min="9" max="9"/>
    <col width="15.5703125" customWidth="1" style="241" min="10" max="10"/>
    <col width="15" customWidth="1" style="241" min="11" max="11"/>
    <col width="9.140625" customWidth="1" style="241" min="12" max="12"/>
  </cols>
  <sheetData>
    <row r="2">
      <c r="A2" s="276" t="inlineStr">
        <is>
          <t xml:space="preserve">Приложение № 3 </t>
        </is>
      </c>
    </row>
    <row r="3">
      <c r="A3" s="277" t="inlineStr">
        <is>
          <t>Объектная ресурсная ведомость</t>
        </is>
      </c>
    </row>
    <row r="4">
      <c r="A4" s="291" t="n"/>
    </row>
    <row r="5">
      <c r="A5" s="279" t="n"/>
    </row>
    <row r="6">
      <c r="A6" s="290" t="inlineStr">
        <is>
          <t>Наименование разрабатываемого показателя УНЦ — Демонтаж КЛ 6-20кВ сечением до 95мм2</t>
        </is>
      </c>
    </row>
    <row r="7" s="239">
      <c r="A7" s="290" t="n"/>
      <c r="B7" s="290" t="n"/>
      <c r="C7" s="290" t="n"/>
      <c r="D7" s="290" t="n"/>
      <c r="E7" s="290" t="n"/>
      <c r="F7" s="290" t="n"/>
      <c r="G7" s="290" t="n"/>
      <c r="H7" s="290" t="n"/>
      <c r="I7" s="241" t="n"/>
      <c r="J7" s="241" t="n"/>
      <c r="K7" s="241" t="n"/>
      <c r="L7" s="241" t="n"/>
    </row>
    <row r="8">
      <c r="A8" s="290" t="n"/>
      <c r="B8" s="290" t="n"/>
      <c r="C8" s="290" t="n"/>
      <c r="D8" s="290" t="n"/>
      <c r="E8" s="290" t="n"/>
      <c r="F8" s="290" t="n"/>
      <c r="G8" s="290" t="n"/>
      <c r="H8" s="290" t="n"/>
    </row>
    <row r="9" ht="38.25" customHeight="1" s="239">
      <c r="A9" s="281" t="inlineStr">
        <is>
          <t>п/п</t>
        </is>
      </c>
      <c r="B9" s="281" t="inlineStr">
        <is>
          <t>№ЛСР</t>
        </is>
      </c>
      <c r="C9" s="281" t="inlineStr">
        <is>
          <t>Код ресурса</t>
        </is>
      </c>
      <c r="D9" s="281" t="inlineStr">
        <is>
          <t>Наименование ресурса</t>
        </is>
      </c>
      <c r="E9" s="281" t="inlineStr">
        <is>
          <t>Ед. изм.</t>
        </is>
      </c>
      <c r="F9" s="281" t="inlineStr">
        <is>
          <t>Кол-во единиц по данным объекта-представителя</t>
        </is>
      </c>
      <c r="G9" s="281" t="inlineStr">
        <is>
          <t>Сметная стоимость в ценах на 01.01.2000 (руб.)</t>
        </is>
      </c>
      <c r="H9" s="371" t="n"/>
    </row>
    <row r="10" ht="40.5" customHeight="1" s="239">
      <c r="A10" s="373" t="n"/>
      <c r="B10" s="373" t="n"/>
      <c r="C10" s="373" t="n"/>
      <c r="D10" s="373" t="n"/>
      <c r="E10" s="373" t="n"/>
      <c r="F10" s="373" t="n"/>
      <c r="G10" s="281" t="inlineStr">
        <is>
          <t>на ед.изм.</t>
        </is>
      </c>
      <c r="H10" s="281" t="inlineStr">
        <is>
          <t>общая</t>
        </is>
      </c>
    </row>
    <row r="11">
      <c r="A11" s="254" t="n">
        <v>1</v>
      </c>
      <c r="B11" s="254" t="n"/>
      <c r="C11" s="254" t="n">
        <v>2</v>
      </c>
      <c r="D11" s="254" t="inlineStr">
        <is>
          <t>З</t>
        </is>
      </c>
      <c r="E11" s="254" t="n">
        <v>4</v>
      </c>
      <c r="F11" s="254" t="n">
        <v>5</v>
      </c>
      <c r="G11" s="254" t="n">
        <v>6</v>
      </c>
      <c r="H11" s="254" t="n">
        <v>7</v>
      </c>
    </row>
    <row r="12" customFormat="1" s="229">
      <c r="A12" s="287" t="inlineStr">
        <is>
          <t>Затраты труда рабочих</t>
        </is>
      </c>
      <c r="B12" s="370" t="n"/>
      <c r="C12" s="370" t="n"/>
      <c r="D12" s="370" t="n"/>
      <c r="E12" s="371" t="n"/>
      <c r="F12" s="374" t="n">
        <v>176</v>
      </c>
      <c r="G12" s="10" t="n"/>
      <c r="H12" s="374">
        <f>SUM(H13:H13)</f>
        <v/>
      </c>
    </row>
    <row r="13">
      <c r="A13" s="295" t="n">
        <v>1</v>
      </c>
      <c r="B13" s="222" t="n"/>
      <c r="C13" s="219" t="inlineStr">
        <is>
          <t>1-3-8</t>
        </is>
      </c>
      <c r="D13" s="294" t="inlineStr">
        <is>
          <t>Затраты труда рабочих (средний разряд работы 3,8)</t>
        </is>
      </c>
      <c r="E13" s="295" t="inlineStr">
        <is>
          <t>чел.-ч</t>
        </is>
      </c>
      <c r="F13" s="295" t="n">
        <v>176</v>
      </c>
      <c r="G13" s="375" t="n">
        <v>9.4</v>
      </c>
      <c r="H13" s="225">
        <f>ROUND(F13*G13,2)</f>
        <v/>
      </c>
    </row>
    <row r="14">
      <c r="A14" s="283" t="inlineStr">
        <is>
          <t>Затраты труда машинистов</t>
        </is>
      </c>
      <c r="B14" s="370" t="n"/>
      <c r="C14" s="370" t="n"/>
      <c r="D14" s="370" t="n"/>
      <c r="E14" s="371" t="n"/>
      <c r="F14" s="287" t="n"/>
      <c r="G14" s="149" t="n"/>
      <c r="H14" s="374">
        <f>H15</f>
        <v/>
      </c>
    </row>
    <row r="15">
      <c r="A15" s="295" t="n">
        <v>2</v>
      </c>
      <c r="B15" s="285" t="n"/>
      <c r="C15" s="219" t="n">
        <v>2</v>
      </c>
      <c r="D15" s="294" t="inlineStr">
        <is>
          <t>Затраты труда машинистов</t>
        </is>
      </c>
      <c r="E15" s="295" t="inlineStr">
        <is>
          <t>чел.-ч</t>
        </is>
      </c>
      <c r="F15" s="296" t="n">
        <v>38.8</v>
      </c>
      <c r="G15" s="207" t="n"/>
      <c r="H15" s="314" t="n">
        <v>486.94</v>
      </c>
    </row>
    <row r="16" customFormat="1" s="229">
      <c r="A16" s="287" t="inlineStr">
        <is>
          <t>Машины и механизмы</t>
        </is>
      </c>
      <c r="B16" s="370" t="n"/>
      <c r="C16" s="370" t="n"/>
      <c r="D16" s="370" t="n"/>
      <c r="E16" s="371" t="n"/>
      <c r="F16" s="287" t="n"/>
      <c r="G16" s="149" t="n"/>
      <c r="H16" s="374">
        <f>SUM(H17:H20)</f>
        <v/>
      </c>
    </row>
    <row r="17" ht="25.5" customHeight="1" s="239">
      <c r="A17" s="295" t="n">
        <v>3</v>
      </c>
      <c r="B17" s="285" t="n"/>
      <c r="C17" s="219" t="inlineStr">
        <is>
          <t>91.05.05-015</t>
        </is>
      </c>
      <c r="D17" s="294" t="inlineStr">
        <is>
          <t>Краны на автомобильном ходу, грузоподъемность 16 т</t>
        </is>
      </c>
      <c r="E17" s="295" t="inlineStr">
        <is>
          <t>маш.час</t>
        </is>
      </c>
      <c r="F17" s="295" t="n">
        <v>19.4</v>
      </c>
      <c r="G17" s="297" t="n">
        <v>115.4</v>
      </c>
      <c r="H17" s="225">
        <f>ROUND(F17*G17,2)</f>
        <v/>
      </c>
      <c r="I17" s="153" t="n"/>
    </row>
    <row r="18">
      <c r="A18" s="295" t="n">
        <v>4</v>
      </c>
      <c r="B18" s="285" t="n"/>
      <c r="C18" s="219" t="inlineStr">
        <is>
          <t>91.14.02-001</t>
        </is>
      </c>
      <c r="D18" s="294" t="inlineStr">
        <is>
          <t>Автомобили бортовые, грузоподъемность до 5 т</t>
        </is>
      </c>
      <c r="E18" s="295" t="inlineStr">
        <is>
          <t>маш.час</t>
        </is>
      </c>
      <c r="F18" s="295" t="n">
        <v>19.4</v>
      </c>
      <c r="G18" s="297" t="n">
        <v>65.70999999999999</v>
      </c>
      <c r="H18" s="225">
        <f>ROUND(F18*G18,2)</f>
        <v/>
      </c>
      <c r="I18" s="153" t="n"/>
    </row>
    <row r="19" ht="25.5" customHeight="1" s="239">
      <c r="A19" s="295" t="n">
        <v>5</v>
      </c>
      <c r="B19" s="285" t="n"/>
      <c r="C19" s="219" t="inlineStr">
        <is>
          <t>91.06.03-062</t>
        </is>
      </c>
      <c r="D19" s="294" t="inlineStr">
        <is>
          <t>Лебедки электрические тяговым усилием до 31,39 кН (3,2 т)</t>
        </is>
      </c>
      <c r="E19" s="295" t="inlineStr">
        <is>
          <t>маш.час</t>
        </is>
      </c>
      <c r="F19" s="295" t="n">
        <v>39.7</v>
      </c>
      <c r="G19" s="297" t="n">
        <v>6.9</v>
      </c>
      <c r="H19" s="225">
        <f>ROUND(F19*G19,2)</f>
        <v/>
      </c>
      <c r="I19" s="153" t="n"/>
      <c r="L19" s="153" t="n"/>
    </row>
    <row r="20">
      <c r="A20" s="295" t="n">
        <v>6</v>
      </c>
      <c r="B20" s="285" t="n"/>
      <c r="C20" s="219" t="inlineStr">
        <is>
          <t>91.06.01-003</t>
        </is>
      </c>
      <c r="D20" s="294" t="inlineStr">
        <is>
          <t>Домкраты гидравлические, грузоподъемность 63-100 т</t>
        </is>
      </c>
      <c r="E20" s="295" t="inlineStr">
        <is>
          <t>маш.час</t>
        </is>
      </c>
      <c r="F20" s="295" t="n">
        <v>39.7</v>
      </c>
      <c r="G20" s="297" t="n">
        <v>0.9</v>
      </c>
      <c r="H20" s="225">
        <f>ROUND(F20*G20,2)</f>
        <v/>
      </c>
      <c r="I20" s="153" t="n"/>
    </row>
    <row r="21">
      <c r="A21" s="284" t="inlineStr">
        <is>
          <t>Материалы</t>
        </is>
      </c>
      <c r="B21" s="370" t="n"/>
      <c r="C21" s="370" t="n"/>
      <c r="D21" s="370" t="n"/>
      <c r="E21" s="371" t="n"/>
      <c r="F21" s="284" t="n"/>
      <c r="G21" s="206" t="n"/>
      <c r="H21" s="374">
        <f>SUM(H22:H27)</f>
        <v/>
      </c>
    </row>
    <row r="22">
      <c r="A22" s="171" t="n">
        <v>7</v>
      </c>
      <c r="B22" s="285" t="n"/>
      <c r="C22" s="295" t="inlineStr">
        <is>
          <t>Прайс из СД ОП</t>
        </is>
      </c>
      <c r="D22" s="218" t="inlineStr">
        <is>
          <t>Кабель медный 20кВ 3х95мм2</t>
        </is>
      </c>
      <c r="E22" s="295" t="inlineStr">
        <is>
          <t>км</t>
        </is>
      </c>
      <c r="F22" s="295" t="n">
        <v>3.3</v>
      </c>
      <c r="G22" s="155" t="n">
        <v>254283.44</v>
      </c>
      <c r="H22" s="225">
        <f>ROUND(F22*G22,2)</f>
        <v/>
      </c>
      <c r="I22" s="162" t="n"/>
    </row>
    <row r="23" ht="25.5" customHeight="1" s="239">
      <c r="A23" s="171" t="n">
        <v>8</v>
      </c>
      <c r="B23" s="285" t="n"/>
      <c r="C23" s="219" t="inlineStr">
        <is>
          <t>08.3.08.02-0052</t>
        </is>
      </c>
      <c r="D23" s="294" t="inlineStr">
        <is>
          <t>Уголок горячекатаный, марка стали ВСт3кп2, размер 50х50х5 мм</t>
        </is>
      </c>
      <c r="E23" s="295" t="inlineStr">
        <is>
          <t>т</t>
        </is>
      </c>
      <c r="F23" s="295" t="n">
        <v>0.1</v>
      </c>
      <c r="G23" s="225" t="n">
        <v>5763</v>
      </c>
      <c r="H23" s="225">
        <f>ROUND(F23*G23,2)</f>
        <v/>
      </c>
      <c r="I23" s="162" t="n"/>
      <c r="K23" s="153" t="n"/>
    </row>
    <row r="24">
      <c r="A24" s="171" t="n">
        <v>9</v>
      </c>
      <c r="B24" s="285" t="n"/>
      <c r="C24" s="219" t="inlineStr">
        <is>
          <t>14.4.02.09-0001</t>
        </is>
      </c>
      <c r="D24" s="294" t="inlineStr">
        <is>
          <t>Краска</t>
        </is>
      </c>
      <c r="E24" s="295" t="inlineStr">
        <is>
          <t>кг</t>
        </is>
      </c>
      <c r="F24" s="295" t="n">
        <v>2.5</v>
      </c>
      <c r="G24" s="225" t="n">
        <v>28.6</v>
      </c>
      <c r="H24" s="225">
        <f>ROUND(F24*G24,2)</f>
        <v/>
      </c>
      <c r="I24" s="162" t="n"/>
      <c r="K24" s="153" t="n"/>
    </row>
    <row r="25" ht="25.5" customHeight="1" s="239">
      <c r="A25" s="171" t="n">
        <v>10</v>
      </c>
      <c r="B25" s="285" t="n"/>
      <c r="C25" s="219" t="inlineStr">
        <is>
          <t>08.3.07.01-0076</t>
        </is>
      </c>
      <c r="D25" s="294" t="inlineStr">
        <is>
          <t>Прокат полосовой, горячекатаный, марка стали Ст3сп, ширина 50-200 мм, толщина 4-5 мм</t>
        </is>
      </c>
      <c r="E25" s="295" t="inlineStr">
        <is>
          <t>т</t>
        </is>
      </c>
      <c r="F25" s="295" t="n">
        <v>0.01</v>
      </c>
      <c r="G25" s="225" t="n">
        <v>5000</v>
      </c>
      <c r="H25" s="225">
        <f>ROUND(F25*G25,2)</f>
        <v/>
      </c>
      <c r="I25" s="162" t="n"/>
      <c r="K25" s="153" t="n"/>
    </row>
    <row r="26">
      <c r="A26" s="171" t="n">
        <v>11</v>
      </c>
      <c r="B26" s="285" t="n"/>
      <c r="C26" s="219" t="inlineStr">
        <is>
          <t>01.7.06.07-0002</t>
        </is>
      </c>
      <c r="D26" s="294" t="inlineStr">
        <is>
          <t>Лента монтажная, тип ЛМ-5</t>
        </is>
      </c>
      <c r="E26" s="295" t="inlineStr">
        <is>
          <t>10 м</t>
        </is>
      </c>
      <c r="F26" s="295" t="n">
        <v>0.96</v>
      </c>
      <c r="G26" s="225" t="n">
        <v>6.9</v>
      </c>
      <c r="H26" s="225">
        <f>ROUND(F26*G26,2)</f>
        <v/>
      </c>
      <c r="I26" s="162" t="n"/>
    </row>
    <row r="27">
      <c r="A27" s="171" t="n">
        <v>12</v>
      </c>
      <c r="B27" s="285" t="n"/>
      <c r="C27" s="219" t="inlineStr">
        <is>
          <t>14.4.03.03-0002</t>
        </is>
      </c>
      <c r="D27" s="294" t="inlineStr">
        <is>
          <t>Лак битумный БТ-123</t>
        </is>
      </c>
      <c r="E27" s="295" t="inlineStr">
        <is>
          <t>т</t>
        </is>
      </c>
      <c r="F27" s="295" t="n">
        <v>0.0005999999999999999</v>
      </c>
      <c r="G27" s="225" t="n">
        <v>7826.9</v>
      </c>
      <c r="H27" s="225">
        <f>ROUND(F27*G27,2)</f>
        <v/>
      </c>
      <c r="I27" s="162" t="n"/>
    </row>
    <row r="30">
      <c r="B30" s="241" t="inlineStr">
        <is>
          <t>Составил ______________________     Д.А. Самуйленко</t>
        </is>
      </c>
    </row>
    <row r="31">
      <c r="B31" s="138" t="inlineStr">
        <is>
          <t xml:space="preserve">                         (подпись, инициалы, фамилия)</t>
        </is>
      </c>
    </row>
    <row r="33">
      <c r="B33" s="241" t="inlineStr">
        <is>
          <t>Проверил ______________________        А.В. Костянецкая</t>
        </is>
      </c>
    </row>
    <row r="34">
      <c r="B34" s="138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14:E14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39" min="1" max="1"/>
    <col width="36.28515625" customWidth="1" style="239" min="2" max="2"/>
    <col width="18.85546875" customWidth="1" style="239" min="3" max="3"/>
    <col width="18.28515625" customWidth="1" style="239" min="4" max="4"/>
    <col width="18.85546875" customWidth="1" style="239" min="5" max="5"/>
    <col width="13.42578125" customWidth="1" style="239" min="7" max="7"/>
    <col width="13.5703125" customWidth="1" style="239" min="12" max="12"/>
  </cols>
  <sheetData>
    <row r="1">
      <c r="B1" s="235" t="n"/>
      <c r="C1" s="235" t="n"/>
      <c r="D1" s="235" t="n"/>
      <c r="E1" s="235" t="n"/>
    </row>
    <row r="2">
      <c r="B2" s="235" t="n"/>
      <c r="C2" s="235" t="n"/>
      <c r="D2" s="235" t="n"/>
      <c r="E2" s="310" t="inlineStr">
        <is>
          <t>Приложение № 4</t>
        </is>
      </c>
    </row>
    <row r="3">
      <c r="B3" s="235" t="n"/>
      <c r="C3" s="235" t="n"/>
      <c r="D3" s="235" t="n"/>
      <c r="E3" s="235" t="n"/>
    </row>
    <row r="4">
      <c r="B4" s="235" t="n"/>
      <c r="C4" s="235" t="n"/>
      <c r="D4" s="235" t="n"/>
      <c r="E4" s="235" t="n"/>
    </row>
    <row r="5">
      <c r="B5" s="269" t="inlineStr">
        <is>
          <t>Ресурсная модель</t>
        </is>
      </c>
    </row>
    <row r="6">
      <c r="B6" s="158" t="n"/>
      <c r="C6" s="235" t="n"/>
      <c r="D6" s="235" t="n"/>
      <c r="E6" s="235" t="n"/>
    </row>
    <row r="7" ht="25.5" customHeight="1" s="239">
      <c r="B7" s="292" t="inlineStr">
        <is>
          <t>Наименование разрабатываемого показателя УНЦ — Демонтаж КЛ 6-20кВ сечением до 95мм2</t>
        </is>
      </c>
    </row>
    <row r="8">
      <c r="B8" s="293" t="inlineStr">
        <is>
          <t>Единица измерения  — 1 км</t>
        </is>
      </c>
    </row>
    <row r="9">
      <c r="B9" s="158" t="n"/>
      <c r="C9" s="235" t="n"/>
      <c r="D9" s="235" t="n"/>
      <c r="E9" s="235" t="n"/>
    </row>
    <row r="10" ht="51" customHeight="1" s="239">
      <c r="B10" s="295" t="inlineStr">
        <is>
          <t>Наименование</t>
        </is>
      </c>
      <c r="C10" s="295" t="inlineStr">
        <is>
          <t>Сметная стоимость в ценах на 01.01.2023
 (руб.)</t>
        </is>
      </c>
      <c r="D10" s="295" t="inlineStr">
        <is>
          <t>Удельный вес, 
(в СМР)</t>
        </is>
      </c>
      <c r="E10" s="295" t="inlineStr">
        <is>
          <t>Удельный вес, % 
(от всего по РМ)</t>
        </is>
      </c>
    </row>
    <row r="11">
      <c r="B11" s="218" t="inlineStr">
        <is>
          <t>Оплата труда рабочих</t>
        </is>
      </c>
      <c r="C11" s="15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18" t="inlineStr">
        <is>
          <t>Эксплуатация машин основных</t>
        </is>
      </c>
      <c r="C12" s="155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18" t="inlineStr">
        <is>
          <t>Эксплуатация машин прочих</t>
        </is>
      </c>
      <c r="C13" s="155">
        <f>'Прил.5 Расчет СМР и ОБ'!J28</f>
        <v/>
      </c>
      <c r="D13" s="26">
        <f>C13/$C$24</f>
        <v/>
      </c>
      <c r="E13" s="26">
        <f>C13/$C$40</f>
        <v/>
      </c>
    </row>
    <row r="14">
      <c r="B14" s="218" t="inlineStr">
        <is>
          <t>ЭКСПЛУАТАЦИЯ МАШИН, ВСЕГО:</t>
        </is>
      </c>
      <c r="C14" s="155">
        <f>'Прил.5 Расчет СМР и ОБ'!J30</f>
        <v/>
      </c>
      <c r="D14" s="26">
        <f>C14/$C$24</f>
        <v/>
      </c>
      <c r="E14" s="26">
        <f>C14/$C$40</f>
        <v/>
      </c>
    </row>
    <row r="15">
      <c r="B15" s="218" t="inlineStr">
        <is>
          <t>в том числе зарплата машинистов</t>
        </is>
      </c>
      <c r="C15" s="15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18" t="inlineStr">
        <is>
          <t>Материалы основные</t>
        </is>
      </c>
      <c r="C16" s="155">
        <f>'Прил.5 Расчет СМР и ОБ'!J39</f>
        <v/>
      </c>
      <c r="D16" s="26">
        <f>C16/$C$24</f>
        <v/>
      </c>
      <c r="E16" s="26">
        <f>C16/$C$40</f>
        <v/>
      </c>
    </row>
    <row r="17">
      <c r="B17" s="218" t="inlineStr">
        <is>
          <t>Материалы прочие</t>
        </is>
      </c>
      <c r="C17" s="155">
        <f>'Прил.5 Расчет СМР и ОБ'!J40</f>
        <v/>
      </c>
      <c r="D17" s="26">
        <f>C17/$C$24</f>
        <v/>
      </c>
      <c r="E17" s="26">
        <f>C17/$C$40</f>
        <v/>
      </c>
      <c r="G17" s="376" t="n"/>
    </row>
    <row r="18">
      <c r="B18" s="218" t="inlineStr">
        <is>
          <t>МАТЕРИАЛЫ, ВСЕГО:</t>
        </is>
      </c>
      <c r="C18" s="155">
        <f>C17+C16</f>
        <v/>
      </c>
      <c r="D18" s="26">
        <f>C18/$C$24</f>
        <v/>
      </c>
      <c r="E18" s="26">
        <f>C18/$C$40</f>
        <v/>
      </c>
    </row>
    <row r="19">
      <c r="B19" s="218" t="inlineStr">
        <is>
          <t>ИТОГО</t>
        </is>
      </c>
      <c r="C19" s="155">
        <f>C18+C14+C11</f>
        <v/>
      </c>
      <c r="D19" s="26" t="n"/>
      <c r="E19" s="218" t="n"/>
    </row>
    <row r="20">
      <c r="B20" s="218" t="inlineStr">
        <is>
          <t>Сметная прибыль, руб.</t>
        </is>
      </c>
      <c r="C20" s="155">
        <f>ROUND(C21*(C11+C15),2)</f>
        <v/>
      </c>
      <c r="D20" s="26">
        <f>C20/$C$24</f>
        <v/>
      </c>
      <c r="E20" s="26">
        <f>C20/$C$40</f>
        <v/>
      </c>
    </row>
    <row r="21">
      <c r="B21" s="218" t="inlineStr">
        <is>
          <t>Сметная прибыль, %</t>
        </is>
      </c>
      <c r="C21" s="183">
        <f>'Прил.5 Расчет СМР и ОБ'!D46</f>
        <v/>
      </c>
      <c r="D21" s="26" t="n"/>
      <c r="E21" s="218" t="n"/>
    </row>
    <row r="22">
      <c r="B22" s="218" t="inlineStr">
        <is>
          <t>Накладные расходы, руб.</t>
        </is>
      </c>
      <c r="C22" s="155">
        <f>ROUND(C23*(C11+C15),2)</f>
        <v/>
      </c>
      <c r="D22" s="26">
        <f>C22/$C$24</f>
        <v/>
      </c>
      <c r="E22" s="26">
        <f>C22/$C$40</f>
        <v/>
      </c>
    </row>
    <row r="23">
      <c r="B23" s="218" t="inlineStr">
        <is>
          <t>Накладные расходы, %</t>
        </is>
      </c>
      <c r="C23" s="183">
        <f>'Прил.5 Расчет СМР и ОБ'!D44</f>
        <v/>
      </c>
      <c r="D23" s="26" t="n"/>
      <c r="E23" s="218" t="n"/>
    </row>
    <row r="24">
      <c r="B24" s="218" t="inlineStr">
        <is>
          <t>ВСЕГО СМР с НР и СП</t>
        </is>
      </c>
      <c r="C24" s="155">
        <f>C19+C20+C22</f>
        <v/>
      </c>
      <c r="D24" s="26">
        <f>C24/$C$24</f>
        <v/>
      </c>
      <c r="E24" s="26">
        <f>C24/$C$40</f>
        <v/>
      </c>
    </row>
    <row r="25" ht="25.5" customHeight="1" s="239">
      <c r="B25" s="218" t="inlineStr">
        <is>
          <t>ВСЕГО стоимость оборудования, в том числе</t>
        </is>
      </c>
      <c r="C25" s="155">
        <f>'Прил.5 Расчет СМР и ОБ'!J35</f>
        <v/>
      </c>
      <c r="D25" s="26" t="n"/>
      <c r="E25" s="26">
        <f>C25/$C$40</f>
        <v/>
      </c>
    </row>
    <row r="26" ht="25.5" customHeight="1" s="239">
      <c r="B26" s="218" t="inlineStr">
        <is>
          <t>стоимость оборудования технологического</t>
        </is>
      </c>
      <c r="C26" s="155">
        <f>'Прил.5 Расчет СМР и ОБ'!J36</f>
        <v/>
      </c>
      <c r="D26" s="26" t="n"/>
      <c r="E26" s="26">
        <f>C26/$C$40</f>
        <v/>
      </c>
    </row>
    <row r="27">
      <c r="B27" s="218" t="inlineStr">
        <is>
          <t>ИТОГО (СМР + ОБОРУДОВАНИЕ)</t>
        </is>
      </c>
      <c r="C27" s="187">
        <f>'Прил.5 Расчет СМР и ОБ'!J49</f>
        <v/>
      </c>
      <c r="D27" s="26" t="n"/>
      <c r="E27" s="26">
        <f>C27/$C$40</f>
        <v/>
      </c>
      <c r="G27" s="156" t="n"/>
    </row>
    <row r="28" ht="33" customHeight="1" s="239">
      <c r="B28" s="218" t="inlineStr">
        <is>
          <t>ПРОЧ. ЗАТР., УЧТЕННЫЕ ПОКАЗАТЕЛЕМ,  в том числе</t>
        </is>
      </c>
      <c r="C28" s="218" t="n"/>
      <c r="D28" s="218" t="n"/>
      <c r="E28" s="218" t="n"/>
    </row>
    <row r="29" ht="25.5" customHeight="1" s="239">
      <c r="B29" s="218" t="inlineStr">
        <is>
          <t>Временные здания и сооружения - 2,5%</t>
        </is>
      </c>
      <c r="C29" s="187">
        <f>ROUND(C24*2.5%,2)</f>
        <v/>
      </c>
      <c r="D29" s="218" t="n"/>
      <c r="E29" s="26">
        <f>C29/$C$40</f>
        <v/>
      </c>
    </row>
    <row r="30" ht="38.25" customHeight="1" s="239">
      <c r="B30" s="218" t="inlineStr">
        <is>
          <t>Дополнительные затраты при производстве строительно-монтажных работ в зимнее время - 2,1%</t>
        </is>
      </c>
      <c r="C30" s="187">
        <f>ROUND((C24+C29)*2.1%,2)</f>
        <v/>
      </c>
      <c r="D30" s="218" t="n"/>
      <c r="E30" s="26">
        <f>C30/$C$40</f>
        <v/>
      </c>
    </row>
    <row r="31">
      <c r="B31" s="218" t="inlineStr">
        <is>
          <t>Пусконаладочные работы</t>
        </is>
      </c>
      <c r="C31" s="168" t="n">
        <v>0</v>
      </c>
      <c r="D31" s="218" t="n"/>
      <c r="E31" s="26">
        <f>C31/$C$40</f>
        <v/>
      </c>
    </row>
    <row r="32" ht="25.5" customHeight="1" s="239">
      <c r="B32" s="218" t="inlineStr">
        <is>
          <t>Затраты по перевозке работников к месту работы и обратно</t>
        </is>
      </c>
      <c r="C32" s="187" t="n">
        <v>0</v>
      </c>
      <c r="D32" s="218" t="n"/>
      <c r="E32" s="26">
        <f>C32/$C$40</f>
        <v/>
      </c>
    </row>
    <row r="33" ht="25.5" customHeight="1" s="239">
      <c r="B33" s="218" t="inlineStr">
        <is>
          <t>Затраты, связанные с осуществлением работ вахтовым методом</t>
        </is>
      </c>
      <c r="C33" s="187">
        <f>ROUND(C27*0%,2)</f>
        <v/>
      </c>
      <c r="D33" s="218" t="n"/>
      <c r="E33" s="26">
        <f>C33/$C$40</f>
        <v/>
      </c>
    </row>
    <row r="34" ht="51" customHeight="1" s="239">
      <c r="B34" s="21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7" t="n">
        <v>0</v>
      </c>
      <c r="D34" s="218" t="n"/>
      <c r="E34" s="26">
        <f>C34/$C$40</f>
        <v/>
      </c>
    </row>
    <row r="35" ht="76.5" customHeight="1" s="239">
      <c r="B35" s="21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7">
        <f>ROUND(C27*0%,2)</f>
        <v/>
      </c>
      <c r="D35" s="218" t="n"/>
      <c r="E35" s="26">
        <f>C35/$C$40</f>
        <v/>
      </c>
    </row>
    <row r="36" ht="25.5" customHeight="1" s="239">
      <c r="B36" s="218" t="inlineStr">
        <is>
          <t>Строительный контроль и содержание службы заказчика - 2,14%</t>
        </is>
      </c>
      <c r="C36" s="187">
        <f>ROUND((C27+C32+C33+C34+C35+C29+C31+C30)*2.14%,2)</f>
        <v/>
      </c>
      <c r="D36" s="218" t="n"/>
      <c r="E36" s="26">
        <f>C36/$C$40</f>
        <v/>
      </c>
      <c r="G36" s="211" t="n"/>
      <c r="L36" s="156" t="n"/>
    </row>
    <row r="37">
      <c r="B37" s="218" t="inlineStr">
        <is>
          <t>Авторский надзор - 0,2%</t>
        </is>
      </c>
      <c r="C37" s="187">
        <f>ROUND((C27+C32+C33+C34+C35+C29+C31+C30)*0.2%,2)</f>
        <v/>
      </c>
      <c r="D37" s="218" t="n"/>
      <c r="E37" s="26">
        <f>C37/$C$40</f>
        <v/>
      </c>
      <c r="G37" s="212" t="n"/>
      <c r="L37" s="156" t="n"/>
    </row>
    <row r="38" ht="38.25" customHeight="1" s="239">
      <c r="B38" s="218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18" t="n"/>
      <c r="E38" s="26">
        <f>C38/$C$40</f>
        <v/>
      </c>
    </row>
    <row r="39" ht="13.5" customHeight="1" s="239">
      <c r="B39" s="218" t="inlineStr">
        <is>
          <t>Непредвиденные расходы</t>
        </is>
      </c>
      <c r="C39" s="155">
        <f>ROUND(C38*3%,2)</f>
        <v/>
      </c>
      <c r="D39" s="218" t="n"/>
      <c r="E39" s="26">
        <f>C39/$C$38</f>
        <v/>
      </c>
    </row>
    <row r="40">
      <c r="B40" s="218" t="inlineStr">
        <is>
          <t>ВСЕГО:</t>
        </is>
      </c>
      <c r="C40" s="155">
        <f>C39+C38</f>
        <v/>
      </c>
      <c r="D40" s="218" t="n"/>
      <c r="E40" s="26">
        <f>C40/$C$40</f>
        <v/>
      </c>
    </row>
    <row r="41">
      <c r="B41" s="218" t="inlineStr">
        <is>
          <t>ИТОГО ПОКАЗАТЕЛЬ НА ЕД. ИЗМ.</t>
        </is>
      </c>
      <c r="C41" s="155">
        <f>C40/'Прил.5 Расчет СМР и ОБ'!E50</f>
        <v/>
      </c>
      <c r="D41" s="218" t="n"/>
      <c r="E41" s="218" t="n"/>
    </row>
    <row r="42">
      <c r="B42" s="210" t="n"/>
      <c r="C42" s="235" t="n"/>
      <c r="D42" s="235" t="n"/>
      <c r="E42" s="235" t="n"/>
    </row>
    <row r="43">
      <c r="B43" s="210" t="inlineStr">
        <is>
          <t>Составил ____________________________  Д.А. Самуйленко</t>
        </is>
      </c>
      <c r="C43" s="235" t="n"/>
      <c r="D43" s="235" t="n"/>
      <c r="E43" s="235" t="n"/>
    </row>
    <row r="44">
      <c r="B44" s="210" t="inlineStr">
        <is>
          <t xml:space="preserve">(должность, подпись, инициалы, фамилия) </t>
        </is>
      </c>
      <c r="C44" s="235" t="n"/>
      <c r="D44" s="235" t="n"/>
      <c r="E44" s="235" t="n"/>
    </row>
    <row r="45">
      <c r="B45" s="210" t="n"/>
      <c r="C45" s="235" t="n"/>
      <c r="D45" s="235" t="n"/>
      <c r="E45" s="235" t="n"/>
    </row>
    <row r="46">
      <c r="B46" s="210" t="inlineStr">
        <is>
          <t>Проверил ____________________________ А.В. Костянецкая</t>
        </is>
      </c>
      <c r="C46" s="235" t="n"/>
      <c r="D46" s="235" t="n"/>
      <c r="E46" s="235" t="n"/>
    </row>
    <row r="47">
      <c r="B47" s="293" t="inlineStr">
        <is>
          <t>(должность, подпись, инициалы, фамилия)</t>
        </is>
      </c>
      <c r="D47" s="235" t="n"/>
      <c r="E47" s="235" t="n"/>
    </row>
    <row r="49">
      <c r="B49" s="235" t="n"/>
      <c r="C49" s="235" t="n"/>
      <c r="D49" s="235" t="n"/>
      <c r="E49" s="235" t="n"/>
    </row>
    <row r="50">
      <c r="B50" s="235" t="n"/>
      <c r="C50" s="235" t="n"/>
      <c r="D50" s="235" t="n"/>
      <c r="E50" s="23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22" zoomScale="85" workbookViewId="0">
      <selection activeCell="B49" sqref="B49"/>
    </sheetView>
  </sheetViews>
  <sheetFormatPr baseColWidth="8" defaultColWidth="9.140625" defaultRowHeight="15" outlineLevelRow="1"/>
  <cols>
    <col width="5.7109375" customWidth="1" style="236" min="1" max="1"/>
    <col width="22.5703125" customWidth="1" style="236" min="2" max="2"/>
    <col width="39.140625" customWidth="1" style="236" min="3" max="3"/>
    <col width="13.5703125" customWidth="1" style="236" min="4" max="4"/>
    <col width="12.7109375" customWidth="1" style="236" min="5" max="5"/>
    <col width="14.5703125" customWidth="1" style="236" min="6" max="6"/>
    <col width="15.85546875" customWidth="1" style="236" min="7" max="7"/>
    <col width="12.7109375" customWidth="1" style="236" min="8" max="8"/>
    <col width="15.85546875" customWidth="1" style="236" min="9" max="9"/>
    <col width="17.5703125" customWidth="1" style="236" min="10" max="10"/>
    <col width="10.85546875" customWidth="1" style="236" min="11" max="11"/>
    <col width="13.85546875" customWidth="1" style="236" min="12" max="12"/>
  </cols>
  <sheetData>
    <row r="1">
      <c r="M1" s="236" t="n"/>
      <c r="N1" s="236" t="n"/>
    </row>
    <row r="2" ht="15.75" customHeight="1" s="239">
      <c r="H2" s="305" t="inlineStr">
        <is>
          <t>Приложение №5</t>
        </is>
      </c>
      <c r="M2" s="236" t="n"/>
      <c r="N2" s="236" t="n"/>
    </row>
    <row r="3">
      <c r="M3" s="236" t="n"/>
      <c r="N3" s="236" t="n"/>
    </row>
    <row r="4" ht="12.75" customFormat="1" customHeight="1" s="235">
      <c r="A4" s="269" t="inlineStr">
        <is>
          <t>Расчет стоимости СМР и оборудования</t>
        </is>
      </c>
    </row>
    <row r="5" ht="12.75" customFormat="1" customHeight="1" s="235">
      <c r="A5" s="269" t="n"/>
      <c r="B5" s="269" t="n"/>
      <c r="C5" s="318" t="n"/>
      <c r="D5" s="269" t="n"/>
      <c r="E5" s="269" t="n"/>
      <c r="F5" s="269" t="n"/>
      <c r="G5" s="269" t="n"/>
      <c r="H5" s="269" t="n"/>
      <c r="I5" s="269" t="n"/>
      <c r="J5" s="269" t="n"/>
    </row>
    <row r="6" ht="12.75" customFormat="1" customHeight="1" s="235">
      <c r="A6" s="136" t="inlineStr">
        <is>
          <t>Наименование разрабатываемого показателя УНЦ</t>
        </is>
      </c>
      <c r="B6" s="135" t="n"/>
      <c r="C6" s="135" t="n"/>
      <c r="D6" s="272" t="inlineStr">
        <is>
          <t>Демонтаж КЛ 6-20кВ сечением до 95мм2</t>
        </is>
      </c>
    </row>
    <row r="7" ht="12.75" customFormat="1" customHeight="1" s="235">
      <c r="A7" s="272" t="inlineStr">
        <is>
          <t>Единица измерения  — 1 км</t>
        </is>
      </c>
      <c r="I7" s="292" t="n"/>
      <c r="J7" s="292" t="n"/>
    </row>
    <row r="8" ht="13.5" customFormat="1" customHeight="1" s="235">
      <c r="A8" s="272" t="n"/>
    </row>
    <row r="9" ht="27" customHeight="1" s="239">
      <c r="A9" s="295" t="inlineStr">
        <is>
          <t>№ пп.</t>
        </is>
      </c>
      <c r="B9" s="295" t="inlineStr">
        <is>
          <t>Код ресурса</t>
        </is>
      </c>
      <c r="C9" s="295" t="inlineStr">
        <is>
          <t>Наименование</t>
        </is>
      </c>
      <c r="D9" s="295" t="inlineStr">
        <is>
          <t>Ед. изм.</t>
        </is>
      </c>
      <c r="E9" s="295" t="inlineStr">
        <is>
          <t>Кол-во единиц по проектным данным</t>
        </is>
      </c>
      <c r="F9" s="295" t="inlineStr">
        <is>
          <t>Сметная стоимость в ценах на 01.01.2000 (руб.)</t>
        </is>
      </c>
      <c r="G9" s="371" t="n"/>
      <c r="H9" s="295" t="inlineStr">
        <is>
          <t>Удельный вес, %</t>
        </is>
      </c>
      <c r="I9" s="295" t="inlineStr">
        <is>
          <t>Сметная стоимость в ценах на 01.01.2023 (руб.)</t>
        </is>
      </c>
      <c r="J9" s="371" t="n"/>
      <c r="M9" s="236" t="n"/>
      <c r="N9" s="236" t="n"/>
    </row>
    <row r="10" ht="28.5" customHeight="1" s="239">
      <c r="A10" s="373" t="n"/>
      <c r="B10" s="373" t="n"/>
      <c r="C10" s="373" t="n"/>
      <c r="D10" s="373" t="n"/>
      <c r="E10" s="373" t="n"/>
      <c r="F10" s="295" t="inlineStr">
        <is>
          <t>на ед. изм.</t>
        </is>
      </c>
      <c r="G10" s="295" t="inlineStr">
        <is>
          <t>общая</t>
        </is>
      </c>
      <c r="H10" s="373" t="n"/>
      <c r="I10" s="295" t="inlineStr">
        <is>
          <t>на ед. изм.</t>
        </is>
      </c>
      <c r="J10" s="295" t="inlineStr">
        <is>
          <t>общая</t>
        </is>
      </c>
      <c r="M10" s="236" t="n"/>
      <c r="N10" s="236" t="n"/>
    </row>
    <row r="11">
      <c r="A11" s="295" t="n">
        <v>1</v>
      </c>
      <c r="B11" s="295" t="n">
        <v>2</v>
      </c>
      <c r="C11" s="295" t="n">
        <v>3</v>
      </c>
      <c r="D11" s="295" t="n">
        <v>4</v>
      </c>
      <c r="E11" s="295" t="n">
        <v>5</v>
      </c>
      <c r="F11" s="295" t="n">
        <v>6</v>
      </c>
      <c r="G11" s="295" t="n">
        <v>7</v>
      </c>
      <c r="H11" s="295" t="n">
        <v>8</v>
      </c>
      <c r="I11" s="308" t="n">
        <v>9</v>
      </c>
      <c r="J11" s="308" t="n">
        <v>10</v>
      </c>
      <c r="M11" s="236" t="n"/>
      <c r="N11" s="236" t="n"/>
    </row>
    <row r="12">
      <c r="A12" s="295" t="n"/>
      <c r="B12" s="283" t="inlineStr">
        <is>
          <t>Затраты труда рабочих-строителей</t>
        </is>
      </c>
      <c r="C12" s="370" t="n"/>
      <c r="D12" s="370" t="n"/>
      <c r="E12" s="370" t="n"/>
      <c r="F12" s="370" t="n"/>
      <c r="G12" s="370" t="n"/>
      <c r="H12" s="371" t="n"/>
      <c r="I12" s="179" t="n"/>
      <c r="J12" s="179" t="n"/>
    </row>
    <row r="13" ht="25.5" customHeight="1" s="239">
      <c r="A13" s="295" t="n">
        <v>1</v>
      </c>
      <c r="B13" s="219" t="inlineStr">
        <is>
          <t>1-3-8</t>
        </is>
      </c>
      <c r="C13" s="294" t="inlineStr">
        <is>
          <t>Затраты труда рабочих-строителей среднего разряда (3,8)</t>
        </is>
      </c>
      <c r="D13" s="295" t="inlineStr">
        <is>
          <t>чел.-ч.</t>
        </is>
      </c>
      <c r="E13" s="377" t="n">
        <v>176</v>
      </c>
      <c r="F13" s="225" t="n">
        <v>9.4</v>
      </c>
      <c r="G13" s="225" t="n">
        <v>1654.4</v>
      </c>
      <c r="H13" s="298">
        <f>G13/G14</f>
        <v/>
      </c>
      <c r="I13" s="225">
        <f>ФОТр.тек.!E13</f>
        <v/>
      </c>
      <c r="J13" s="225">
        <f>ROUND(I13*E13,2)</f>
        <v/>
      </c>
    </row>
    <row r="14" ht="25.5" customFormat="1" customHeight="1" s="236">
      <c r="A14" s="295" t="n"/>
      <c r="B14" s="295" t="n"/>
      <c r="C14" s="283" t="inlineStr">
        <is>
          <t>Итого по разделу "Затраты труда рабочих-строителей"</t>
        </is>
      </c>
      <c r="D14" s="295" t="inlineStr">
        <is>
          <t>чел.-ч.</t>
        </is>
      </c>
      <c r="E14" s="377">
        <f>SUM(E13:E13)</f>
        <v/>
      </c>
      <c r="F14" s="225" t="n"/>
      <c r="G14" s="225">
        <f>SUM(G13:G13)</f>
        <v/>
      </c>
      <c r="H14" s="299" t="n">
        <v>1</v>
      </c>
      <c r="I14" s="179" t="n"/>
      <c r="J14" s="225">
        <f>SUM(J13:J13)</f>
        <v/>
      </c>
    </row>
    <row r="15" ht="38.25" customFormat="1" customHeight="1" s="236">
      <c r="A15" s="295" t="n"/>
      <c r="B15" s="295" t="n"/>
      <c r="C15" s="283" t="inlineStr">
        <is>
          <t>Итого по разделу "Затраты труда рабочих-строителей" 
(с коэффициентом на демонтаж 0,7)</t>
        </is>
      </c>
      <c r="D15" s="295" t="inlineStr">
        <is>
          <t>чел.-ч.</t>
        </is>
      </c>
      <c r="E15" s="296" t="n"/>
      <c r="F15" s="297" t="n"/>
      <c r="G15" s="225">
        <f>SUM(G14)*0.7</f>
        <v/>
      </c>
      <c r="H15" s="299" t="n">
        <v>1</v>
      </c>
      <c r="I15" s="179" t="n"/>
      <c r="J15" s="225">
        <f>SUM(J13)*0.7</f>
        <v/>
      </c>
    </row>
    <row r="16" ht="14.25" customFormat="1" customHeight="1" s="236">
      <c r="A16" s="295" t="n"/>
      <c r="B16" s="294" t="inlineStr">
        <is>
          <t>Затраты труда машинистов</t>
        </is>
      </c>
      <c r="C16" s="370" t="n"/>
      <c r="D16" s="370" t="n"/>
      <c r="E16" s="370" t="n"/>
      <c r="F16" s="370" t="n"/>
      <c r="G16" s="370" t="n"/>
      <c r="H16" s="371" t="n"/>
      <c r="I16" s="179" t="n"/>
      <c r="J16" s="179" t="n"/>
    </row>
    <row r="17" ht="14.25" customFormat="1" customHeight="1" s="236">
      <c r="A17" s="295" t="n">
        <v>2</v>
      </c>
      <c r="B17" s="295" t="n">
        <v>2</v>
      </c>
      <c r="C17" s="294" t="inlineStr">
        <is>
          <t>Затраты труда машинистов</t>
        </is>
      </c>
      <c r="D17" s="295" t="inlineStr">
        <is>
          <t>чел.-ч.</t>
        </is>
      </c>
      <c r="E17" s="377" t="n">
        <v>38.8</v>
      </c>
      <c r="F17" s="225" t="n">
        <v>12.55</v>
      </c>
      <c r="G17" s="225" t="n">
        <v>486.94</v>
      </c>
      <c r="H17" s="299" t="n">
        <v>1</v>
      </c>
      <c r="I17" s="225">
        <f>ROUND(F17*Прил.10!D11,2)</f>
        <v/>
      </c>
      <c r="J17" s="225">
        <f>ROUND(I17*E17,2)</f>
        <v/>
      </c>
    </row>
    <row r="18" ht="25.5" customFormat="1" customHeight="1" s="236">
      <c r="A18" s="295" t="n"/>
      <c r="B18" s="295" t="n"/>
      <c r="C18" s="188" t="inlineStr">
        <is>
          <t>Затраты труда машинистов 
(с коэффициентом на демонтаж 0,7)</t>
        </is>
      </c>
      <c r="D18" s="182" t="n"/>
      <c r="E18" s="182" t="n"/>
      <c r="F18" s="182" t="n"/>
      <c r="G18" s="187">
        <f>G17*0.7</f>
        <v/>
      </c>
      <c r="H18" s="183">
        <f>H17</f>
        <v/>
      </c>
      <c r="I18" s="184" t="n"/>
      <c r="J18" s="187">
        <f>J17*0.7</f>
        <v/>
      </c>
    </row>
    <row r="19" ht="14.25" customFormat="1" customHeight="1" s="236">
      <c r="A19" s="295" t="n"/>
      <c r="B19" s="283" t="inlineStr">
        <is>
          <t>Машины и механизмы</t>
        </is>
      </c>
      <c r="C19" s="370" t="n"/>
      <c r="D19" s="370" t="n"/>
      <c r="E19" s="370" t="n"/>
      <c r="F19" s="370" t="n"/>
      <c r="G19" s="370" t="n"/>
      <c r="H19" s="371" t="n"/>
      <c r="I19" s="179" t="n"/>
      <c r="J19" s="179" t="n"/>
    </row>
    <row r="20" ht="14.25" customFormat="1" customHeight="1" s="236">
      <c r="A20" s="295" t="n"/>
      <c r="B20" s="294" t="inlineStr">
        <is>
          <t>Основные машины и механизмы</t>
        </is>
      </c>
      <c r="C20" s="370" t="n"/>
      <c r="D20" s="370" t="n"/>
      <c r="E20" s="370" t="n"/>
      <c r="F20" s="370" t="n"/>
      <c r="G20" s="370" t="n"/>
      <c r="H20" s="371" t="n"/>
      <c r="I20" s="179" t="n"/>
      <c r="J20" s="179" t="n"/>
    </row>
    <row r="21" ht="25.5" customFormat="1" customHeight="1" s="236">
      <c r="A21" s="295" t="n">
        <v>3</v>
      </c>
      <c r="B21" s="219" t="inlineStr">
        <is>
          <t>91.05.05-015</t>
        </is>
      </c>
      <c r="C21" s="294" t="inlineStr">
        <is>
          <t>Краны на автомобильном ходу, грузоподъемность 16 т</t>
        </is>
      </c>
      <c r="D21" s="295" t="inlineStr">
        <is>
          <t>маш.час</t>
        </is>
      </c>
      <c r="E21" s="377" t="n">
        <v>19.4</v>
      </c>
      <c r="F21" s="297" t="n">
        <v>115.4</v>
      </c>
      <c r="G21" s="225">
        <f>ROUND(E21*F21,2)</f>
        <v/>
      </c>
      <c r="H21" s="298">
        <f>G21/$G$29</f>
        <v/>
      </c>
      <c r="I21" s="225">
        <f>ROUND(F21*Прил.10!$D$12,2)</f>
        <v/>
      </c>
      <c r="J21" s="225">
        <f>ROUND(I21*E21,2)</f>
        <v/>
      </c>
    </row>
    <row r="22" ht="25.5" customFormat="1" customHeight="1" s="236">
      <c r="A22" s="295" t="n">
        <v>4</v>
      </c>
      <c r="B22" s="219" t="inlineStr">
        <is>
          <t>91.14.02-001</t>
        </is>
      </c>
      <c r="C22" s="294" t="inlineStr">
        <is>
          <t>Автомобили бортовые, грузоподъемность до 5 т</t>
        </is>
      </c>
      <c r="D22" s="295" t="inlineStr">
        <is>
          <t>маш.час</t>
        </is>
      </c>
      <c r="E22" s="377" t="n">
        <v>19.4</v>
      </c>
      <c r="F22" s="297" t="n">
        <v>65.70999999999999</v>
      </c>
      <c r="G22" s="225">
        <f>ROUND(E22*F22,2)</f>
        <v/>
      </c>
      <c r="H22" s="298">
        <f>G22/$G$29</f>
        <v/>
      </c>
      <c r="I22" s="225">
        <f>ROUND(F22*Прил.10!$D$12,2)</f>
        <v/>
      </c>
      <c r="J22" s="225">
        <f>ROUND(I22*E22,2)</f>
        <v/>
      </c>
    </row>
    <row r="23" ht="14.25" customFormat="1" customHeight="1" s="236">
      <c r="A23" s="295" t="n"/>
      <c r="B23" s="295" t="n"/>
      <c r="C23" s="294" t="inlineStr">
        <is>
          <t>Итого основные машины и механизмы</t>
        </is>
      </c>
      <c r="D23" s="295" t="n"/>
      <c r="E23" s="377" t="n"/>
      <c r="F23" s="225" t="n"/>
      <c r="G23" s="225">
        <f>SUM(G21:G22)</f>
        <v/>
      </c>
      <c r="H23" s="299">
        <f>G23/G29</f>
        <v/>
      </c>
      <c r="I23" s="127" t="n"/>
      <c r="J23" s="225">
        <f>SUM(J21:J22)</f>
        <v/>
      </c>
    </row>
    <row r="24" ht="25.5" customFormat="1" customHeight="1" s="236">
      <c r="A24" s="295" t="n"/>
      <c r="B24" s="295" t="n"/>
      <c r="C24" s="188" t="inlineStr">
        <is>
          <t>Итого основные машины и механизмы 
(с коэффициентом на демонтаж 0,7)</t>
        </is>
      </c>
      <c r="D24" s="295" t="n"/>
      <c r="E24" s="378" t="n"/>
      <c r="F24" s="296" t="n"/>
      <c r="G24" s="225">
        <f>G23*0.7</f>
        <v/>
      </c>
      <c r="H24" s="298">
        <f>G24/G30</f>
        <v/>
      </c>
      <c r="I24" s="225" t="n"/>
      <c r="J24" s="225">
        <f>J23*0.7</f>
        <v/>
      </c>
    </row>
    <row r="25" hidden="1" outlineLevel="1" ht="25.5" customFormat="1" customHeight="1" s="236">
      <c r="A25" s="295" t="n">
        <v>5</v>
      </c>
      <c r="B25" s="219" t="inlineStr">
        <is>
          <t>91.06.03-062</t>
        </is>
      </c>
      <c r="C25" s="294" t="inlineStr">
        <is>
          <t>Лебедки электрические тяговым усилием до 31,39 кН (3,2 т)</t>
        </is>
      </c>
      <c r="D25" s="295" t="inlineStr">
        <is>
          <t>маш.час</t>
        </is>
      </c>
      <c r="E25" s="377" t="n">
        <v>39.7</v>
      </c>
      <c r="F25" s="297" t="n">
        <v>6.9</v>
      </c>
      <c r="G25" s="225">
        <f>ROUND(E25*F25,2)</f>
        <v/>
      </c>
      <c r="H25" s="298">
        <f>G25/$G$29</f>
        <v/>
      </c>
      <c r="I25" s="225">
        <f>ROUND(F25*Прил.10!$D$12,2)</f>
        <v/>
      </c>
      <c r="J25" s="225">
        <f>ROUND(I25*E25,2)</f>
        <v/>
      </c>
    </row>
    <row r="26" hidden="1" outlineLevel="1" ht="25.5" customFormat="1" customHeight="1" s="236">
      <c r="A26" s="295" t="n">
        <v>6</v>
      </c>
      <c r="B26" s="219" t="inlineStr">
        <is>
          <t>91.06.01-003</t>
        </is>
      </c>
      <c r="C26" s="294" t="inlineStr">
        <is>
          <t>Домкраты гидравлические, грузоподъемность 63-100 т</t>
        </is>
      </c>
      <c r="D26" s="295" t="inlineStr">
        <is>
          <t>маш.час</t>
        </is>
      </c>
      <c r="E26" s="377" t="n">
        <v>39.7</v>
      </c>
      <c r="F26" s="297" t="n">
        <v>0.9</v>
      </c>
      <c r="G26" s="225">
        <f>ROUND(E26*F26,2)</f>
        <v/>
      </c>
      <c r="H26" s="298">
        <f>G26/$G$29</f>
        <v/>
      </c>
      <c r="I26" s="225">
        <f>ROUND(F26*Прил.10!$D$12,2)</f>
        <v/>
      </c>
      <c r="J26" s="225">
        <f>ROUND(I26*E26,2)</f>
        <v/>
      </c>
    </row>
    <row r="27" collapsed="1" ht="14.25" customFormat="1" customHeight="1" s="236">
      <c r="A27" s="295" t="n"/>
      <c r="B27" s="295" t="n"/>
      <c r="C27" s="294" t="inlineStr">
        <is>
          <t>Итого прочие машины и механизмы</t>
        </is>
      </c>
      <c r="D27" s="295" t="n"/>
      <c r="E27" s="296" t="n"/>
      <c r="F27" s="225" t="n"/>
      <c r="G27" s="127">
        <f>SUM(G25:G26)</f>
        <v/>
      </c>
      <c r="H27" s="298">
        <f>G27/G29</f>
        <v/>
      </c>
      <c r="I27" s="225" t="n"/>
      <c r="J27" s="127">
        <f>SUM(J25:J26)</f>
        <v/>
      </c>
    </row>
    <row r="28" ht="25.5" customFormat="1" customHeight="1" s="236">
      <c r="A28" s="295" t="n"/>
      <c r="B28" s="295" t="n"/>
      <c r="C28" s="188" t="inlineStr">
        <is>
          <t>Итого прочие машины и механизмы 
(с коэффициентом на демонтаж 0,7)</t>
        </is>
      </c>
      <c r="D28" s="295" t="n"/>
      <c r="E28" s="296" t="n"/>
      <c r="F28" s="225" t="n"/>
      <c r="G28" s="225">
        <f>G27*0.7</f>
        <v/>
      </c>
      <c r="H28" s="298">
        <f>G28/G30</f>
        <v/>
      </c>
      <c r="I28" s="225" t="n"/>
      <c r="J28" s="225">
        <f>J27*0.7</f>
        <v/>
      </c>
    </row>
    <row r="29" ht="25.5" customFormat="1" customHeight="1" s="236">
      <c r="A29" s="295" t="n"/>
      <c r="B29" s="295" t="n"/>
      <c r="C29" s="283" t="inlineStr">
        <is>
          <t>Итого по разделу «Машины и механизмы»</t>
        </is>
      </c>
      <c r="D29" s="295" t="n"/>
      <c r="E29" s="296" t="n"/>
      <c r="F29" s="225" t="n"/>
      <c r="G29" s="225">
        <f>G27+G23</f>
        <v/>
      </c>
      <c r="H29" s="200" t="n">
        <v>1</v>
      </c>
      <c r="I29" s="201" t="n"/>
      <c r="J29" s="199">
        <f>J27+J23</f>
        <v/>
      </c>
    </row>
    <row r="30" ht="38.25" customFormat="1" customHeight="1" s="236">
      <c r="A30" s="295" t="n"/>
      <c r="B30" s="295" t="n"/>
      <c r="C30" s="196" t="inlineStr">
        <is>
          <t>Итого по разделу «Машины и механизмы»  
(с коэффициентом на демонтаж 0,7)</t>
        </is>
      </c>
      <c r="D30" s="309" t="n"/>
      <c r="E30" s="198" t="n"/>
      <c r="F30" s="199" t="n"/>
      <c r="G30" s="199">
        <f>G24+G28</f>
        <v/>
      </c>
      <c r="H30" s="200" t="n">
        <v>1</v>
      </c>
      <c r="I30" s="201" t="n"/>
      <c r="J30" s="199">
        <f>J24+J28</f>
        <v/>
      </c>
    </row>
    <row r="31" ht="14.25" customFormat="1" customHeight="1" s="236">
      <c r="A31" s="295" t="n"/>
      <c r="B31" s="283" t="inlineStr">
        <is>
          <t>Оборудование</t>
        </is>
      </c>
      <c r="C31" s="370" t="n"/>
      <c r="D31" s="370" t="n"/>
      <c r="E31" s="370" t="n"/>
      <c r="F31" s="370" t="n"/>
      <c r="G31" s="370" t="n"/>
      <c r="H31" s="371" t="n"/>
      <c r="I31" s="179" t="n"/>
      <c r="J31" s="179" t="n"/>
    </row>
    <row r="32">
      <c r="A32" s="295" t="n"/>
      <c r="B32" s="294" t="inlineStr">
        <is>
          <t>Основное оборудование</t>
        </is>
      </c>
      <c r="C32" s="370" t="n"/>
      <c r="D32" s="370" t="n"/>
      <c r="E32" s="370" t="n"/>
      <c r="F32" s="370" t="n"/>
      <c r="G32" s="370" t="n"/>
      <c r="H32" s="371" t="n"/>
      <c r="I32" s="179" t="n"/>
      <c r="J32" s="179" t="n"/>
    </row>
    <row r="33">
      <c r="A33" s="295" t="n"/>
      <c r="B33" s="169" t="n"/>
      <c r="C33" s="170" t="inlineStr">
        <is>
          <t>Итого основное оборудование</t>
        </is>
      </c>
      <c r="D33" s="295" t="n"/>
      <c r="E33" s="377" t="n"/>
      <c r="F33" s="297" t="n"/>
      <c r="G33" s="225" t="n">
        <v>0</v>
      </c>
      <c r="H33" s="299" t="n">
        <v>0</v>
      </c>
      <c r="I33" s="127" t="n"/>
      <c r="J33" s="225" t="n">
        <v>0</v>
      </c>
    </row>
    <row r="34">
      <c r="A34" s="295" t="n"/>
      <c r="B34" s="295" t="n"/>
      <c r="C34" s="294" t="inlineStr">
        <is>
          <t>Итого прочее оборудование</t>
        </is>
      </c>
      <c r="D34" s="295" t="n"/>
      <c r="E34" s="377" t="n"/>
      <c r="F34" s="297" t="n"/>
      <c r="G34" s="225" t="n">
        <v>0</v>
      </c>
      <c r="H34" s="298" t="n">
        <v>0</v>
      </c>
      <c r="I34" s="127" t="n"/>
      <c r="J34" s="225" t="n">
        <v>0</v>
      </c>
    </row>
    <row r="35">
      <c r="A35" s="295" t="n"/>
      <c r="B35" s="295" t="n"/>
      <c r="C35" s="283" t="inlineStr">
        <is>
          <t>Итого по разделу «Оборудование»</t>
        </is>
      </c>
      <c r="D35" s="295" t="n"/>
      <c r="E35" s="296" t="n"/>
      <c r="F35" s="297" t="n"/>
      <c r="G35" s="225">
        <f>G34+G33</f>
        <v/>
      </c>
      <c r="H35" s="299">
        <f>H34+H33</f>
        <v/>
      </c>
      <c r="I35" s="127" t="n"/>
      <c r="J35" s="225">
        <f>J34+J33</f>
        <v/>
      </c>
    </row>
    <row r="36" ht="25.5" customHeight="1" s="239">
      <c r="A36" s="295" t="n"/>
      <c r="B36" s="295" t="n"/>
      <c r="C36" s="294" t="inlineStr">
        <is>
          <t>в том числе технологическое оборудование</t>
        </is>
      </c>
      <c r="D36" s="295" t="n"/>
      <c r="E36" s="378" t="n"/>
      <c r="F36" s="297" t="n"/>
      <c r="G36" s="225" t="n">
        <v>0</v>
      </c>
      <c r="H36" s="299" t="n"/>
      <c r="I36" s="127" t="n"/>
      <c r="J36" s="225">
        <f>J35</f>
        <v/>
      </c>
    </row>
    <row r="37" ht="14.25" customFormat="1" customHeight="1" s="236">
      <c r="A37" s="295" t="n"/>
      <c r="B37" s="283" t="inlineStr">
        <is>
          <t>Материалы</t>
        </is>
      </c>
      <c r="C37" s="370" t="n"/>
      <c r="D37" s="370" t="n"/>
      <c r="E37" s="370" t="n"/>
      <c r="F37" s="370" t="n"/>
      <c r="G37" s="370" t="n"/>
      <c r="H37" s="371" t="n"/>
      <c r="I37" s="203" t="n"/>
      <c r="J37" s="203" t="n"/>
    </row>
    <row r="38" ht="14.25" customFormat="1" customHeight="1" s="236">
      <c r="A38" s="295" t="n"/>
      <c r="B38" s="294" t="inlineStr">
        <is>
          <t>Основные материалы</t>
        </is>
      </c>
      <c r="C38" s="370" t="n"/>
      <c r="D38" s="370" t="n"/>
      <c r="E38" s="370" t="n"/>
      <c r="F38" s="370" t="n"/>
      <c r="G38" s="370" t="n"/>
      <c r="H38" s="371" t="n"/>
      <c r="I38" s="203" t="n"/>
      <c r="J38" s="203" t="n"/>
    </row>
    <row r="39" ht="14.25" customFormat="1" customHeight="1" s="236">
      <c r="A39" s="295" t="n"/>
      <c r="B39" s="219" t="n"/>
      <c r="C39" s="294" t="inlineStr">
        <is>
          <t>Итого основные материалы</t>
        </is>
      </c>
      <c r="D39" s="295" t="n"/>
      <c r="E39" s="377" t="n"/>
      <c r="F39" s="225" t="n"/>
      <c r="G39" s="225" t="n">
        <v>0</v>
      </c>
      <c r="H39" s="298" t="n">
        <v>0</v>
      </c>
      <c r="I39" s="225" t="n"/>
      <c r="J39" s="225" t="n">
        <v>0</v>
      </c>
    </row>
    <row r="40" ht="14.25" customFormat="1" customHeight="1" s="236">
      <c r="A40" s="295" t="n"/>
      <c r="B40" s="295" t="n"/>
      <c r="C40" s="294" t="inlineStr">
        <is>
          <t>Итого прочие материалы</t>
        </is>
      </c>
      <c r="D40" s="295" t="n"/>
      <c r="E40" s="296" t="n"/>
      <c r="F40" s="297" t="n"/>
      <c r="G40" s="225" t="n">
        <v>0</v>
      </c>
      <c r="H40" s="298" t="n">
        <v>0</v>
      </c>
      <c r="I40" s="225" t="n"/>
      <c r="J40" s="225" t="n">
        <v>0</v>
      </c>
    </row>
    <row r="41" ht="14.25" customFormat="1" customHeight="1" s="236">
      <c r="A41" s="295" t="n"/>
      <c r="B41" s="295" t="n"/>
      <c r="C41" s="283" t="inlineStr">
        <is>
          <t>Итого по разделу «Материалы»</t>
        </is>
      </c>
      <c r="D41" s="295" t="n"/>
      <c r="E41" s="296" t="n"/>
      <c r="F41" s="297" t="n"/>
      <c r="G41" s="225">
        <f>G39+G40</f>
        <v/>
      </c>
      <c r="H41" s="298" t="n">
        <v>0</v>
      </c>
      <c r="I41" s="225" t="n"/>
      <c r="J41" s="225">
        <f>J39+J40</f>
        <v/>
      </c>
    </row>
    <row r="42" ht="14.25" customFormat="1" customHeight="1" s="236">
      <c r="A42" s="295" t="n"/>
      <c r="B42" s="295" t="n"/>
      <c r="C42" s="294" t="inlineStr">
        <is>
          <t>ИТОГО ПО РМ</t>
        </is>
      </c>
      <c r="D42" s="295" t="n"/>
      <c r="E42" s="296" t="n"/>
      <c r="F42" s="297" t="n"/>
      <c r="G42" s="225">
        <f>G14+G29</f>
        <v/>
      </c>
      <c r="H42" s="298" t="n"/>
      <c r="I42" s="225" t="n"/>
      <c r="J42" s="225">
        <f>J14+J29+J41</f>
        <v/>
      </c>
    </row>
    <row r="43" ht="25.5" customFormat="1" customHeight="1" s="236">
      <c r="A43" s="295" t="n"/>
      <c r="B43" s="295" t="n"/>
      <c r="C43" s="294" t="inlineStr">
        <is>
          <t>ИТОГО ПО РМ
(с коэффициентом на демонтаж 0,7)</t>
        </is>
      </c>
      <c r="D43" s="295" t="n"/>
      <c r="E43" s="296" t="n"/>
      <c r="F43" s="297" t="n"/>
      <c r="G43" s="225">
        <f>G15+G30</f>
        <v/>
      </c>
      <c r="H43" s="298" t="n"/>
      <c r="I43" s="225" t="n"/>
      <c r="J43" s="225">
        <f>J14*0.7+J29*0.7+J41</f>
        <v/>
      </c>
    </row>
    <row r="44" ht="14.25" customFormat="1" customHeight="1" s="236">
      <c r="A44" s="295" t="n"/>
      <c r="B44" s="295" t="n"/>
      <c r="C44" s="294" t="inlineStr">
        <is>
          <t>Накладные расходы</t>
        </is>
      </c>
      <c r="D44" s="133">
        <f>ROUND(G44/(G$17+$G$14),2)</f>
        <v/>
      </c>
      <c r="E44" s="296" t="n"/>
      <c r="F44" s="297" t="n"/>
      <c r="G44" s="225" t="n">
        <v>2077.06</v>
      </c>
      <c r="H44" s="299" t="n"/>
      <c r="I44" s="225" t="n"/>
      <c r="J44" s="225">
        <f>ROUND(D44*(J14+J17),2)</f>
        <v/>
      </c>
    </row>
    <row r="45" ht="25.5" customFormat="1" customHeight="1" s="236">
      <c r="A45" s="295" t="n"/>
      <c r="B45" s="295" t="n"/>
      <c r="C45" s="294" t="inlineStr">
        <is>
          <t>Накладные расходы 
(с коэффициентом на демонтаж 0,7)</t>
        </is>
      </c>
      <c r="D45" s="202">
        <f>ROUND(G45/(G$18+$G$15),2)</f>
        <v/>
      </c>
      <c r="E45" s="296" t="n"/>
      <c r="F45" s="297" t="n"/>
      <c r="G45" s="225">
        <f>G44*0.7</f>
        <v/>
      </c>
      <c r="H45" s="299" t="n"/>
      <c r="I45" s="225" t="n"/>
      <c r="J45" s="225">
        <f>ROUND(D45*(J15+J18),2)</f>
        <v/>
      </c>
    </row>
    <row r="46" ht="14.25" customFormat="1" customHeight="1" s="236">
      <c r="A46" s="295" t="n"/>
      <c r="B46" s="295" t="n"/>
      <c r="C46" s="294" t="inlineStr">
        <is>
          <t>Сметная прибыль</t>
        </is>
      </c>
      <c r="D46" s="133">
        <f>ROUND(G46/(G$14+G$17),2)</f>
        <v/>
      </c>
      <c r="E46" s="296" t="n"/>
      <c r="F46" s="297" t="n"/>
      <c r="G46" s="225" t="n">
        <v>1092.06</v>
      </c>
      <c r="H46" s="299" t="n"/>
      <c r="I46" s="225" t="n"/>
      <c r="J46" s="225">
        <f>ROUND(D46*(J14+J17),2)</f>
        <v/>
      </c>
    </row>
    <row r="47" ht="25.5" customFormat="1" customHeight="1" s="236">
      <c r="A47" s="295" t="n"/>
      <c r="B47" s="295" t="n"/>
      <c r="C47" s="294" t="inlineStr">
        <is>
          <t>Сметная прибыль 
(с коэффициентом на демонтаж 0,7)</t>
        </is>
      </c>
      <c r="D47" s="202">
        <f>ROUND(G47/(G$15+G$18),2)</f>
        <v/>
      </c>
      <c r="E47" s="296" t="n"/>
      <c r="F47" s="297" t="n"/>
      <c r="G47" s="225">
        <f>G46*0.7</f>
        <v/>
      </c>
      <c r="H47" s="299" t="n"/>
      <c r="I47" s="225" t="n"/>
      <c r="J47" s="225">
        <f>ROUND(D47*(J15+J18),2)</f>
        <v/>
      </c>
    </row>
    <row r="48" ht="25.5" customFormat="1" customHeight="1" s="236">
      <c r="A48" s="295" t="n"/>
      <c r="B48" s="295" t="n"/>
      <c r="C48" s="294" t="inlineStr">
        <is>
          <t>Итого СМР (с НР и СП) 
(с коэффициентом на демонтаж 0,7)</t>
        </is>
      </c>
      <c r="D48" s="295" t="n"/>
      <c r="E48" s="296" t="n"/>
      <c r="F48" s="297" t="n"/>
      <c r="G48" s="225">
        <f>G43+G45+G47</f>
        <v/>
      </c>
      <c r="H48" s="299" t="n"/>
      <c r="I48" s="225" t="n"/>
      <c r="J48" s="225">
        <f>ROUND((J43+J45+J47),2)</f>
        <v/>
      </c>
    </row>
    <row r="49" ht="25.5" customFormat="1" customHeight="1" s="236">
      <c r="A49" s="295" t="n"/>
      <c r="B49" s="295" t="n"/>
      <c r="C49" s="294" t="inlineStr">
        <is>
          <t>ВСЕГО СМР + ОБОРУДОВАНИЕ 
(с коэффициентом на демонтаж 0,7)</t>
        </is>
      </c>
      <c r="D49" s="295" t="n"/>
      <c r="E49" s="296" t="n"/>
      <c r="F49" s="297" t="n"/>
      <c r="G49" s="225">
        <f>G48</f>
        <v/>
      </c>
      <c r="H49" s="299" t="n"/>
      <c r="I49" s="225" t="n"/>
      <c r="J49" s="225">
        <f>J48</f>
        <v/>
      </c>
    </row>
    <row r="50" ht="34.5" customFormat="1" customHeight="1" s="236">
      <c r="A50" s="295" t="n"/>
      <c r="B50" s="295" t="n"/>
      <c r="C50" s="294" t="inlineStr">
        <is>
          <t>ИТОГО ПОКАЗАТЕЛЬ НА ЕД. ИЗМ.</t>
        </is>
      </c>
      <c r="D50" s="295" t="inlineStr">
        <is>
          <t>1 км</t>
        </is>
      </c>
      <c r="E50" s="296" t="n">
        <v>1</v>
      </c>
      <c r="F50" s="297" t="n"/>
      <c r="G50" s="225">
        <f>G49/E50</f>
        <v/>
      </c>
      <c r="H50" s="299" t="n"/>
      <c r="I50" s="225" t="n"/>
      <c r="J50" s="199">
        <f>J49/E50</f>
        <v/>
      </c>
    </row>
    <row r="52" ht="14.25" customFormat="1" customHeight="1" s="236">
      <c r="A52" s="235" t="inlineStr">
        <is>
          <t>Составил ______________________     Д.А. Самуйленко</t>
        </is>
      </c>
    </row>
    <row r="53" ht="14.25" customFormat="1" customHeight="1" s="236">
      <c r="A53" s="238" t="inlineStr">
        <is>
          <t xml:space="preserve">                         (подпись, инициалы, фамилия)</t>
        </is>
      </c>
    </row>
    <row r="54" ht="14.25" customFormat="1" customHeight="1" s="236">
      <c r="A54" s="235" t="n"/>
    </row>
    <row r="55" ht="14.25" customFormat="1" customHeight="1" s="236">
      <c r="A55" s="235" t="inlineStr">
        <is>
          <t>Проверил ______________________        А.В. Костянецкая</t>
        </is>
      </c>
    </row>
    <row r="56" ht="14.25" customFormat="1" customHeight="1" s="236">
      <c r="A56" s="238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B32:H32"/>
    <mergeCell ref="E9:E10"/>
    <mergeCell ref="A7:H7"/>
    <mergeCell ref="B16:H16"/>
    <mergeCell ref="B31:H31"/>
    <mergeCell ref="B9:B10"/>
    <mergeCell ref="D9:D10"/>
    <mergeCell ref="B12:H12"/>
    <mergeCell ref="D6:J6"/>
    <mergeCell ref="A8:H8"/>
    <mergeCell ref="F9:G9"/>
    <mergeCell ref="A9:A10"/>
    <mergeCell ref="B38:H38"/>
    <mergeCell ref="B19:H19"/>
    <mergeCell ref="B37:H37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39" min="1" max="1"/>
    <col width="17.5703125" customWidth="1" style="239" min="2" max="2"/>
    <col width="39.140625" customWidth="1" style="239" min="3" max="3"/>
    <col width="10.7109375" customWidth="1" style="317" min="4" max="4"/>
    <col width="13.85546875" customWidth="1" style="239" min="5" max="5"/>
    <col width="13.28515625" customWidth="1" style="239" min="6" max="6"/>
    <col width="14.140625" customWidth="1" style="239" min="7" max="7"/>
  </cols>
  <sheetData>
    <row r="1">
      <c r="A1" s="310" t="inlineStr">
        <is>
          <t>Приложение №6</t>
        </is>
      </c>
    </row>
    <row r="2" ht="21.75" customHeight="1" s="239">
      <c r="A2" s="310" t="n"/>
      <c r="B2" s="310" t="n"/>
      <c r="C2" s="310" t="n"/>
      <c r="D2" s="319" t="n"/>
      <c r="E2" s="310" t="n"/>
      <c r="F2" s="310" t="n"/>
      <c r="G2" s="310" t="n"/>
    </row>
    <row r="3">
      <c r="A3" s="269" t="inlineStr">
        <is>
          <t>Расчет стоимости оборудования</t>
        </is>
      </c>
    </row>
    <row r="4" ht="25.5" customHeight="1" s="239">
      <c r="A4" s="272" t="inlineStr">
        <is>
          <t>Наименование разрабатываемого показателя УНЦ — Демонтаж КЛ 6-20кВ сечением до 95мм2</t>
        </is>
      </c>
    </row>
    <row r="5">
      <c r="A5" s="235" t="n"/>
      <c r="B5" s="235" t="n"/>
      <c r="C5" s="235" t="n"/>
      <c r="D5" s="319" t="n"/>
      <c r="E5" s="235" t="n"/>
      <c r="F5" s="235" t="n"/>
      <c r="G5" s="235" t="n"/>
    </row>
    <row r="6" ht="30" customHeight="1" s="239">
      <c r="A6" s="315" t="inlineStr">
        <is>
          <t>№ пп.</t>
        </is>
      </c>
      <c r="B6" s="315" t="inlineStr">
        <is>
          <t>Код ресурса</t>
        </is>
      </c>
      <c r="C6" s="315" t="inlineStr">
        <is>
          <t>Наименование</t>
        </is>
      </c>
      <c r="D6" s="315" t="inlineStr">
        <is>
          <t>Ед. изм.</t>
        </is>
      </c>
      <c r="E6" s="295" t="inlineStr">
        <is>
          <t>Кол-во единиц по проектным данным</t>
        </is>
      </c>
      <c r="F6" s="315" t="inlineStr">
        <is>
          <t>Сметная стоимость в ценах на 01.01.2000 (руб.)</t>
        </is>
      </c>
      <c r="G6" s="371" t="n"/>
    </row>
    <row r="7">
      <c r="A7" s="373" t="n"/>
      <c r="B7" s="373" t="n"/>
      <c r="C7" s="373" t="n"/>
      <c r="D7" s="373" t="n"/>
      <c r="E7" s="373" t="n"/>
      <c r="F7" s="295" t="inlineStr">
        <is>
          <t>на ед. изм.</t>
        </is>
      </c>
      <c r="G7" s="295" t="inlineStr">
        <is>
          <t>общая</t>
        </is>
      </c>
    </row>
    <row r="8">
      <c r="A8" s="295" t="n">
        <v>1</v>
      </c>
      <c r="B8" s="295" t="n">
        <v>2</v>
      </c>
      <c r="C8" s="295" t="n">
        <v>3</v>
      </c>
      <c r="D8" s="295" t="n">
        <v>4</v>
      </c>
      <c r="E8" s="295" t="n">
        <v>5</v>
      </c>
      <c r="F8" s="295" t="n">
        <v>6</v>
      </c>
      <c r="G8" s="295" t="n">
        <v>7</v>
      </c>
    </row>
    <row r="9" ht="15" customHeight="1" s="239">
      <c r="A9" s="218" t="n"/>
      <c r="B9" s="294" t="inlineStr">
        <is>
          <t>ИНЖЕНЕРНОЕ ОБОРУДОВАНИЕ</t>
        </is>
      </c>
      <c r="C9" s="370" t="n"/>
      <c r="D9" s="370" t="n"/>
      <c r="E9" s="370" t="n"/>
      <c r="F9" s="370" t="n"/>
      <c r="G9" s="371" t="n"/>
    </row>
    <row r="10" ht="27" customHeight="1" s="239">
      <c r="A10" s="295" t="n"/>
      <c r="B10" s="283" t="n"/>
      <c r="C10" s="294" t="inlineStr">
        <is>
          <t>ИТОГО ИНЖЕНЕРНОЕ ОБОРУДОВАНИЕ</t>
        </is>
      </c>
      <c r="D10" s="300" t="n"/>
      <c r="E10" s="103" t="n"/>
      <c r="F10" s="297" t="n"/>
      <c r="G10" s="297" t="n">
        <v>0</v>
      </c>
    </row>
    <row r="11">
      <c r="A11" s="295" t="n"/>
      <c r="B11" s="294" t="inlineStr">
        <is>
          <t>ТЕХНОЛОГИЧЕСКОЕ ОБОРУДОВАНИЕ</t>
        </is>
      </c>
      <c r="C11" s="370" t="n"/>
      <c r="D11" s="370" t="n"/>
      <c r="E11" s="370" t="n"/>
      <c r="F11" s="370" t="n"/>
      <c r="G11" s="371" t="n"/>
    </row>
    <row r="12" ht="25.5" customHeight="1" s="239">
      <c r="A12" s="295" t="n"/>
      <c r="B12" s="294" t="n"/>
      <c r="C12" s="294" t="inlineStr">
        <is>
          <t>ИТОГО ТЕХНОЛОГИЧЕСКОЕ ОБОРУДОВАНИЕ</t>
        </is>
      </c>
      <c r="D12" s="295" t="n"/>
      <c r="E12" s="314" t="n"/>
      <c r="F12" s="297" t="n"/>
      <c r="G12" s="225" t="n">
        <v>0</v>
      </c>
    </row>
    <row r="13" ht="19.5" customHeight="1" s="239">
      <c r="A13" s="295" t="n"/>
      <c r="B13" s="294" t="n"/>
      <c r="C13" s="294" t="inlineStr">
        <is>
          <t>Всего по разделу «Оборудование»</t>
        </is>
      </c>
      <c r="D13" s="295" t="n"/>
      <c r="E13" s="314" t="n"/>
      <c r="F13" s="297" t="n"/>
      <c r="G13" s="225">
        <f>G10+G12</f>
        <v/>
      </c>
    </row>
    <row r="14">
      <c r="A14" s="237" t="n"/>
      <c r="B14" s="104" t="n"/>
      <c r="C14" s="237" t="n"/>
      <c r="D14" s="167" t="n"/>
      <c r="E14" s="237" t="n"/>
      <c r="F14" s="237" t="n"/>
      <c r="G14" s="237" t="n"/>
    </row>
    <row r="15">
      <c r="A15" s="235" t="inlineStr">
        <is>
          <t>Составил ______________________    Д.А. Самуйленко</t>
        </is>
      </c>
      <c r="B15" s="236" t="n"/>
      <c r="C15" s="236" t="n"/>
      <c r="D15" s="167" t="n"/>
      <c r="E15" s="237" t="n"/>
      <c r="F15" s="237" t="n"/>
      <c r="G15" s="237" t="n"/>
    </row>
    <row r="16">
      <c r="A16" s="238" t="inlineStr">
        <is>
          <t xml:space="preserve">                         (подпись, инициалы, фамилия)</t>
        </is>
      </c>
      <c r="B16" s="236" t="n"/>
      <c r="C16" s="236" t="n"/>
      <c r="D16" s="167" t="n"/>
      <c r="E16" s="237" t="n"/>
      <c r="F16" s="237" t="n"/>
      <c r="G16" s="237" t="n"/>
    </row>
    <row r="17">
      <c r="A17" s="235" t="n"/>
      <c r="B17" s="236" t="n"/>
      <c r="C17" s="236" t="n"/>
      <c r="D17" s="167" t="n"/>
      <c r="E17" s="237" t="n"/>
      <c r="F17" s="237" t="n"/>
      <c r="G17" s="237" t="n"/>
    </row>
    <row r="18">
      <c r="A18" s="235" t="inlineStr">
        <is>
          <t>Проверил ______________________        А.В. Костянецкая</t>
        </is>
      </c>
      <c r="B18" s="236" t="n"/>
      <c r="C18" s="236" t="n"/>
      <c r="D18" s="167" t="n"/>
      <c r="E18" s="237" t="n"/>
      <c r="F18" s="237" t="n"/>
      <c r="G18" s="237" t="n"/>
    </row>
    <row r="19">
      <c r="A19" s="238" t="inlineStr">
        <is>
          <t xml:space="preserve">                        (подпись, инициалы, фамилия)</t>
        </is>
      </c>
      <c r="B19" s="236" t="n"/>
      <c r="C19" s="236" t="n"/>
      <c r="D19" s="167" t="n"/>
      <c r="E19" s="237" t="n"/>
      <c r="F19" s="237" t="n"/>
      <c r="G19" s="23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39" min="1" max="1"/>
    <col width="16.42578125" customWidth="1" style="239" min="2" max="2"/>
    <col width="37.140625" customWidth="1" style="239" min="3" max="3"/>
    <col width="49" customWidth="1" style="239" min="4" max="4"/>
    <col width="9.140625" customWidth="1" style="239" min="5" max="5"/>
  </cols>
  <sheetData>
    <row r="1" ht="15.75" customHeight="1" s="239">
      <c r="A1" s="241" t="n"/>
      <c r="B1" s="241" t="n"/>
      <c r="C1" s="241" t="n"/>
      <c r="D1" s="241" t="inlineStr">
        <is>
          <t>Приложение №7</t>
        </is>
      </c>
    </row>
    <row r="2" ht="15.75" customHeight="1" s="239">
      <c r="A2" s="241" t="n"/>
      <c r="B2" s="241" t="n"/>
      <c r="C2" s="241" t="n"/>
      <c r="D2" s="241" t="n"/>
    </row>
    <row r="3" ht="15.75" customHeight="1" s="239">
      <c r="A3" s="241" t="n"/>
      <c r="B3" s="229" t="inlineStr">
        <is>
          <t>Расчет показателя УНЦ</t>
        </is>
      </c>
      <c r="C3" s="241" t="n"/>
      <c r="D3" s="241" t="n"/>
    </row>
    <row r="4" ht="15.75" customHeight="1" s="239">
      <c r="A4" s="241" t="n"/>
      <c r="B4" s="241" t="n"/>
      <c r="C4" s="241" t="n"/>
      <c r="D4" s="241" t="n"/>
    </row>
    <row r="5" ht="15.75" customHeight="1" s="239">
      <c r="A5" s="316" t="inlineStr">
        <is>
          <t xml:space="preserve">Наименование разрабатываемого показателя УНЦ - </t>
        </is>
      </c>
      <c r="D5" s="316">
        <f>'Прил.5 Расчет СМР и ОБ'!D6:J6</f>
        <v/>
      </c>
    </row>
    <row r="6" ht="15.75" customHeight="1" s="239">
      <c r="A6" s="241" t="inlineStr">
        <is>
          <t>Единица измерения  — 1 км</t>
        </is>
      </c>
      <c r="B6" s="241" t="n"/>
      <c r="C6" s="241" t="n"/>
      <c r="D6" s="241" t="n"/>
    </row>
    <row r="7" ht="15.75" customHeight="1" s="239">
      <c r="A7" s="241" t="n"/>
      <c r="B7" s="241" t="n"/>
      <c r="C7" s="241" t="n"/>
      <c r="D7" s="241" t="n"/>
    </row>
    <row r="8">
      <c r="A8" s="281" t="inlineStr">
        <is>
          <t>Код показателя</t>
        </is>
      </c>
      <c r="B8" s="281" t="inlineStr">
        <is>
          <t>Наименование показателя</t>
        </is>
      </c>
      <c r="C8" s="281" t="inlineStr">
        <is>
          <t>Наименование РМ, входящих в состав показателя</t>
        </is>
      </c>
      <c r="D8" s="281" t="inlineStr">
        <is>
          <t>Норматив цены на 01.01.2023, тыс.руб.</t>
        </is>
      </c>
    </row>
    <row r="9">
      <c r="A9" s="373" t="n"/>
      <c r="B9" s="373" t="n"/>
      <c r="C9" s="373" t="n"/>
      <c r="D9" s="373" t="n"/>
    </row>
    <row r="10" ht="15.75" customHeight="1" s="239">
      <c r="A10" s="281" t="n">
        <v>1</v>
      </c>
      <c r="B10" s="281" t="n">
        <v>2</v>
      </c>
      <c r="C10" s="281" t="n">
        <v>3</v>
      </c>
      <c r="D10" s="281" t="n">
        <v>4</v>
      </c>
    </row>
    <row r="11" ht="47.25" customHeight="1" s="239">
      <c r="A11" s="281" t="inlineStr">
        <is>
          <t>М5-02-1</t>
        </is>
      </c>
      <c r="B11" s="281" t="inlineStr">
        <is>
          <t>УНЦ на демонтажные работы  КЛ</t>
        </is>
      </c>
      <c r="C11" s="233">
        <f>D5</f>
        <v/>
      </c>
      <c r="D11" s="247">
        <f>'Прил.4 РМ'!C41/1000</f>
        <v/>
      </c>
    </row>
    <row r="13">
      <c r="A13" s="235" t="inlineStr">
        <is>
          <t>Составил ______________________     Д.А. Самуйленко</t>
        </is>
      </c>
      <c r="B13" s="236" t="n"/>
      <c r="C13" s="236" t="n"/>
      <c r="D13" s="237" t="n"/>
    </row>
    <row r="14">
      <c r="A14" s="238" t="inlineStr">
        <is>
          <t xml:space="preserve">                         (подпись, инициалы, фамилия)</t>
        </is>
      </c>
      <c r="B14" s="236" t="n"/>
      <c r="C14" s="236" t="n"/>
      <c r="D14" s="237" t="n"/>
    </row>
    <row r="15">
      <c r="A15" s="235" t="n"/>
      <c r="B15" s="236" t="n"/>
      <c r="C15" s="236" t="n"/>
      <c r="D15" s="237" t="n"/>
    </row>
    <row r="16">
      <c r="A16" s="235" t="inlineStr">
        <is>
          <t>Проверил ______________________        А.В. Костянецкая</t>
        </is>
      </c>
      <c r="B16" s="236" t="n"/>
      <c r="C16" s="236" t="n"/>
      <c r="D16" s="237" t="n"/>
    </row>
    <row r="17">
      <c r="A17" s="238" t="inlineStr">
        <is>
          <t xml:space="preserve">                        (подпись, инициалы, фамилия)</t>
        </is>
      </c>
      <c r="B17" s="236" t="n"/>
      <c r="C17" s="236" t="n"/>
      <c r="D17" s="23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39" min="2" max="2"/>
    <col width="37" customWidth="1" style="239" min="3" max="3"/>
    <col width="32" customWidth="1" style="239" min="4" max="4"/>
  </cols>
  <sheetData>
    <row r="4" ht="15.75" customHeight="1" s="239">
      <c r="B4" s="276" t="inlineStr">
        <is>
          <t>Приложение № 10</t>
        </is>
      </c>
    </row>
    <row r="5" ht="18.75" customHeight="1" s="239">
      <c r="B5" s="118" t="n"/>
    </row>
    <row r="6" ht="15.75" customHeight="1" s="239">
      <c r="B6" s="277" t="inlineStr">
        <is>
          <t>Используемые индексы изменений сметной стоимости и нормы сопутствующих затрат</t>
        </is>
      </c>
    </row>
    <row r="7">
      <c r="B7" s="317" t="n"/>
    </row>
    <row r="8">
      <c r="B8" s="317" t="n"/>
      <c r="C8" s="317" t="n"/>
      <c r="D8" s="317" t="n"/>
      <c r="E8" s="317" t="n"/>
    </row>
    <row r="9" ht="47.25" customHeight="1" s="239">
      <c r="B9" s="281" t="inlineStr">
        <is>
          <t>Наименование индекса / норм сопутствующих затрат</t>
        </is>
      </c>
      <c r="C9" s="281" t="inlineStr">
        <is>
          <t>Дата применения и обоснование индекса / норм сопутствующих затрат</t>
        </is>
      </c>
      <c r="D9" s="281" t="inlineStr">
        <is>
          <t>Размер индекса / норма сопутствующих затрат</t>
        </is>
      </c>
    </row>
    <row r="10" ht="15.75" customHeight="1" s="239">
      <c r="B10" s="281" t="n">
        <v>1</v>
      </c>
      <c r="C10" s="281" t="n">
        <v>2</v>
      </c>
      <c r="D10" s="281" t="n">
        <v>3</v>
      </c>
    </row>
    <row r="11" ht="45" customHeight="1" s="239">
      <c r="B11" s="281" t="inlineStr">
        <is>
          <t xml:space="preserve">Индекс изменения сметной стоимости на 1 квартал 2023 года. ОЗП </t>
        </is>
      </c>
      <c r="C11" s="281" t="inlineStr">
        <is>
          <t>Письмо Минстроя России от 30.03.2023г. №17106-ИФ/09  прил.1</t>
        </is>
      </c>
      <c r="D11" s="281" t="n">
        <v>44.29</v>
      </c>
    </row>
    <row r="12" ht="29.25" customHeight="1" s="239">
      <c r="B12" s="281" t="inlineStr">
        <is>
          <t>Индекс изменения сметной стоимости на 1 квартал 2023 года. ЭМ</t>
        </is>
      </c>
      <c r="C12" s="281" t="inlineStr">
        <is>
          <t>Письмо Минстроя России от 30.03.2023г. №17106-ИФ/09  прил.1</t>
        </is>
      </c>
      <c r="D12" s="281" t="n">
        <v>10.84</v>
      </c>
    </row>
    <row r="13" ht="29.25" customHeight="1" s="239">
      <c r="B13" s="281" t="inlineStr">
        <is>
          <t>Индекс изменения сметной стоимости на 1 квартал 2023 года. МАТ</t>
        </is>
      </c>
      <c r="C13" s="281" t="inlineStr">
        <is>
          <t>Письмо Минстроя России от 30.03.2023г. №17106-ИФ/09  прил.1</t>
        </is>
      </c>
      <c r="D13" s="281" t="n">
        <v>5.34</v>
      </c>
    </row>
    <row r="14" ht="30.75" customHeight="1" s="239">
      <c r="B14" s="281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81" t="n">
        <v>6.26</v>
      </c>
    </row>
    <row r="15" ht="89.25" customHeight="1" s="239">
      <c r="B15" s="281" t="inlineStr">
        <is>
          <t>Временные здания и сооружения</t>
        </is>
      </c>
      <c r="C15" s="28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78.75" customHeight="1" s="239">
      <c r="B16" s="281" t="inlineStr">
        <is>
          <t>Дополнительные затраты при производстве строительно-монтажных работ в зимнее время</t>
        </is>
      </c>
      <c r="C16" s="28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39">
      <c r="B17" s="281" t="inlineStr">
        <is>
          <t>Строительный контроль</t>
        </is>
      </c>
      <c r="C17" s="281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39">
      <c r="B18" s="281" t="inlineStr">
        <is>
          <t>Авторский надзор - 0,2%</t>
        </is>
      </c>
      <c r="C18" s="281" t="inlineStr">
        <is>
          <t>Приказ от 4.08.2020 № 421/пр п.173</t>
        </is>
      </c>
      <c r="D18" s="120" t="n">
        <v>0.002</v>
      </c>
    </row>
    <row r="19" ht="24" customHeight="1" s="239">
      <c r="B19" s="281" t="inlineStr">
        <is>
          <t>Непредвиденные расходы</t>
        </is>
      </c>
      <c r="C19" s="281" t="inlineStr">
        <is>
          <t>Приказ от 4.08.2020 № 421/пр п.179</t>
        </is>
      </c>
      <c r="D19" s="120" t="n">
        <v>0.03</v>
      </c>
    </row>
    <row r="20" ht="18.75" customHeight="1" s="239">
      <c r="B20" s="119" t="n"/>
    </row>
    <row r="21" ht="18.75" customHeight="1" s="239">
      <c r="B21" s="119" t="n"/>
    </row>
    <row r="22" ht="18.75" customHeight="1" s="239">
      <c r="B22" s="119" t="n"/>
    </row>
    <row r="23" ht="18.75" customHeight="1" s="239">
      <c r="B23" s="119" t="n"/>
    </row>
    <row r="26">
      <c r="B26" s="235" t="inlineStr">
        <is>
          <t>Составил ______________________        Д.А. Самуйленко</t>
        </is>
      </c>
      <c r="C26" s="236" t="n"/>
    </row>
    <row r="27">
      <c r="B27" s="238" t="inlineStr">
        <is>
          <t xml:space="preserve">                         (подпись, инициалы, фамилия)</t>
        </is>
      </c>
      <c r="C27" s="236" t="n"/>
    </row>
    <row r="28">
      <c r="B28" s="235" t="n"/>
      <c r="C28" s="236" t="n"/>
    </row>
    <row r="29">
      <c r="B29" s="235" t="inlineStr">
        <is>
          <t>Проверил ______________________        А.В. Костянецкая</t>
        </is>
      </c>
      <c r="C29" s="236" t="n"/>
    </row>
    <row r="30">
      <c r="B30" s="238" t="inlineStr">
        <is>
          <t xml:space="preserve">                        (подпись, инициалы, фамилия)</t>
        </is>
      </c>
      <c r="C30" s="23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39" min="2" max="2"/>
    <col width="13" customWidth="1" style="239" min="3" max="3"/>
    <col width="22.85546875" customWidth="1" style="239" min="4" max="4"/>
    <col width="21.5703125" customWidth="1" style="239" min="5" max="5"/>
    <col width="43.85546875" customWidth="1" style="239" min="6" max="6"/>
  </cols>
  <sheetData>
    <row r="1" s="239"/>
    <row r="2" ht="17.25" customHeight="1" s="239">
      <c r="A2" s="277" t="inlineStr">
        <is>
          <t>Расчет размера средств на оплату труда рабочих-строителей в текущем уровне цен (ФОТр.тек.)</t>
        </is>
      </c>
    </row>
    <row r="3" s="239"/>
    <row r="4" ht="18" customHeight="1" s="239">
      <c r="A4" s="240" t="inlineStr">
        <is>
          <t>Составлен в уровне цен на 01.01.2023 г.</t>
        </is>
      </c>
      <c r="B4" s="241" t="n"/>
      <c r="C4" s="241" t="n"/>
      <c r="D4" s="241" t="n"/>
      <c r="E4" s="241" t="n"/>
      <c r="F4" s="241" t="n"/>
      <c r="G4" s="241" t="n"/>
    </row>
    <row r="5" ht="15.75" customHeight="1" s="239">
      <c r="A5" s="262" t="inlineStr">
        <is>
          <t>№ пп.</t>
        </is>
      </c>
      <c r="B5" s="262" t="inlineStr">
        <is>
          <t>Наименование элемента</t>
        </is>
      </c>
      <c r="C5" s="262" t="inlineStr">
        <is>
          <t>Обозначение</t>
        </is>
      </c>
      <c r="D5" s="262" t="inlineStr">
        <is>
          <t>Формула</t>
        </is>
      </c>
      <c r="E5" s="262" t="inlineStr">
        <is>
          <t>Величина элемента</t>
        </is>
      </c>
      <c r="F5" s="262" t="inlineStr">
        <is>
          <t>Наименования обосновывающих документов</t>
        </is>
      </c>
      <c r="G5" s="241" t="n"/>
    </row>
    <row r="6" ht="15.75" customHeight="1" s="239">
      <c r="A6" s="262" t="n">
        <v>1</v>
      </c>
      <c r="B6" s="262" t="n">
        <v>2</v>
      </c>
      <c r="C6" s="262" t="n">
        <v>3</v>
      </c>
      <c r="D6" s="262" t="n">
        <v>4</v>
      </c>
      <c r="E6" s="262" t="n">
        <v>5</v>
      </c>
      <c r="F6" s="262" t="n">
        <v>6</v>
      </c>
      <c r="G6" s="241" t="n"/>
    </row>
    <row r="7" ht="110.25" customHeight="1" s="239">
      <c r="A7" s="243" t="inlineStr">
        <is>
          <t>1.1</t>
        </is>
      </c>
      <c r="B7" s="24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1" t="inlineStr">
        <is>
          <t>С1ср</t>
        </is>
      </c>
      <c r="D7" s="281" t="inlineStr">
        <is>
          <t>-</t>
        </is>
      </c>
      <c r="E7" s="246" t="n">
        <v>47872.94</v>
      </c>
      <c r="F7" s="24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1" t="n"/>
    </row>
    <row r="8" ht="31.5" customHeight="1" s="239">
      <c r="A8" s="243" t="inlineStr">
        <is>
          <t>1.2</t>
        </is>
      </c>
      <c r="B8" s="248" t="inlineStr">
        <is>
          <t>Среднегодовое нормативное число часов работы одного рабочего в месяц, часы (ч.)</t>
        </is>
      </c>
      <c r="C8" s="281" t="inlineStr">
        <is>
          <t>tср</t>
        </is>
      </c>
      <c r="D8" s="281" t="inlineStr">
        <is>
          <t>1973ч/12мес.</t>
        </is>
      </c>
      <c r="E8" s="247">
        <f>1973/12</f>
        <v/>
      </c>
      <c r="F8" s="248" t="inlineStr">
        <is>
          <t>Производственный календарь 2023 год
(40-часов.неделя)</t>
        </is>
      </c>
      <c r="G8" s="250" t="n"/>
    </row>
    <row r="9" ht="15.75" customHeight="1" s="239">
      <c r="A9" s="243" t="inlineStr">
        <is>
          <t>1.3</t>
        </is>
      </c>
      <c r="B9" s="248" t="inlineStr">
        <is>
          <t>Коэффициент увеличения</t>
        </is>
      </c>
      <c r="C9" s="281" t="inlineStr">
        <is>
          <t>Кув</t>
        </is>
      </c>
      <c r="D9" s="281" t="inlineStr">
        <is>
          <t>-</t>
        </is>
      </c>
      <c r="E9" s="247" t="n">
        <v>1</v>
      </c>
      <c r="F9" s="248" t="n"/>
      <c r="G9" s="250" t="n"/>
    </row>
    <row r="10" ht="15.75" customHeight="1" s="239">
      <c r="A10" s="243" t="inlineStr">
        <is>
          <t>1.4</t>
        </is>
      </c>
      <c r="B10" s="248" t="inlineStr">
        <is>
          <t>Средний разряд работ</t>
        </is>
      </c>
      <c r="C10" s="281" t="n"/>
      <c r="D10" s="281" t="n"/>
      <c r="E10" s="379" t="n">
        <v>3.8</v>
      </c>
      <c r="F10" s="248" t="inlineStr">
        <is>
          <t>РТМ</t>
        </is>
      </c>
      <c r="G10" s="250" t="n"/>
    </row>
    <row r="11" ht="78.75" customHeight="1" s="239">
      <c r="A11" s="243" t="inlineStr">
        <is>
          <t>1.5</t>
        </is>
      </c>
      <c r="B11" s="248" t="inlineStr">
        <is>
          <t>Тарифный коэффициент среднего разряда работ</t>
        </is>
      </c>
      <c r="C11" s="281" t="inlineStr">
        <is>
          <t>КТ</t>
        </is>
      </c>
      <c r="D11" s="281" t="inlineStr">
        <is>
          <t>-</t>
        </is>
      </c>
      <c r="E11" s="380" t="n">
        <v>1.308</v>
      </c>
      <c r="F11" s="24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1" t="n"/>
    </row>
    <row r="12" ht="78.75" customHeight="1" s="239">
      <c r="A12" s="253" t="inlineStr">
        <is>
          <t>1.6</t>
        </is>
      </c>
      <c r="B12" s="362" t="inlineStr">
        <is>
          <t>Коэффициент инфляции, определяемый поквартально</t>
        </is>
      </c>
      <c r="C12" s="254" t="inlineStr">
        <is>
          <t>Кинф</t>
        </is>
      </c>
      <c r="D12" s="254" t="inlineStr">
        <is>
          <t>-</t>
        </is>
      </c>
      <c r="E12" s="381" t="n">
        <v>1.139</v>
      </c>
      <c r="F12" s="36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0" t="n"/>
    </row>
    <row r="13" ht="63" customHeight="1" s="239">
      <c r="A13" s="365" t="inlineStr">
        <is>
          <t>1.7</t>
        </is>
      </c>
      <c r="B13" s="366" t="inlineStr">
        <is>
          <t>Размер средств на оплату труда рабочих-строителей в текущем уровне цен (ФОТр.тек.), руб/чел.-ч</t>
        </is>
      </c>
      <c r="C13" s="367" t="inlineStr">
        <is>
          <t>ФОТр.тек.</t>
        </is>
      </c>
      <c r="D13" s="367" t="inlineStr">
        <is>
          <t>(С1ср/tср*КТ*Т*Кув)*Кинф</t>
        </is>
      </c>
      <c r="E13" s="368">
        <f>((E7*E9/E8)*E11)*E12</f>
        <v/>
      </c>
      <c r="F13" s="36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1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2025-01-24T12:11:13Z</dcterms:modified>
  <cp:lastModifiedBy>Nikolay Ivanov</cp:lastModifiedBy>
  <cp:lastPrinted>2023-11-29T07:20:48Z</cp:lastPrinted>
</cp:coreProperties>
</file>