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4370" windowHeight="11805" tabRatio="924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'Прил.3'!$A$1:$H$36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Area" localSheetId="4">'Прил.5 Расчет СМР и ОБ'!$A$1:$J$62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62913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0.000000"/>
    <numFmt numFmtId="168" formatCode="#,##0.0"/>
    <numFmt numFmtId="169" formatCode="#,##0.000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Arial"/>
      <color rgb="FFFF0000"/>
      <sz val="10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b val="1"/>
      <color rgb="FF000000"/>
      <sz val="10"/>
      <u val="single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72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10" fontId="16" fillId="0" borderId="0" pivotButton="0" quotePrefix="0" xfId="0"/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43" fontId="2" fillId="0" borderId="1" applyAlignment="1" pivotButton="0" quotePrefix="0" xfId="0">
      <alignment vertical="center" wrapText="1"/>
    </xf>
    <xf numFmtId="10" fontId="0" fillId="0" borderId="0" pivotButton="0" quotePrefix="0" xfId="0"/>
    <xf numFmtId="49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0" fontId="2" fillId="0" borderId="1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center"/>
    </xf>
    <xf numFmtId="4" fontId="1" fillId="4" borderId="1" applyAlignment="1" pivotButton="0" quotePrefix="0" xfId="0">
      <alignment horizontal="right" vertical="center"/>
    </xf>
    <xf numFmtId="0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center" wrapText="1"/>
    </xf>
    <xf numFmtId="1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4" fillId="0" borderId="1" pivotButton="0" quotePrefix="0" xfId="0"/>
    <xf numFmtId="4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left" vertical="center" wrapText="1"/>
    </xf>
    <xf numFmtId="0" fontId="4" fillId="0" borderId="1" applyAlignment="1" pivotButton="0" quotePrefix="0" xfId="0">
      <alignment horizontal="left" vertical="center"/>
    </xf>
    <xf numFmtId="10" fontId="1" fillId="0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right" vertical="center"/>
    </xf>
    <xf numFmtId="4" fontId="1" fillId="0" borderId="1" applyAlignment="1" pivotButton="0" quotePrefix="0" xfId="0">
      <alignment horizontal="right" vertical="center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/>
    </xf>
    <xf numFmtId="2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2" fontId="2" fillId="0" borderId="1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2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10" fontId="18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0" fontId="20" fillId="0" borderId="1" applyAlignment="1" pivotButton="0" quotePrefix="0" xfId="0">
      <alignment vertical="center"/>
    </xf>
    <xf numFmtId="4" fontId="20" fillId="0" borderId="1" applyAlignment="1" pivotButton="0" quotePrefix="0" xfId="0">
      <alignment vertical="center"/>
    </xf>
    <xf numFmtId="0" fontId="21" fillId="0" borderId="1" applyAlignment="1" pivotButton="0" quotePrefix="0" xfId="0">
      <alignment horizontal="right" vertical="center" wrapText="1"/>
    </xf>
    <xf numFmtId="0" fontId="1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14" fontId="16" fillId="0" borderId="1" applyAlignment="1" pivotButton="0" quotePrefix="0" xfId="0">
      <alignment vertical="center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pivotButton="0" quotePrefix="0" xfId="0">
      <alignment horizontal="right" vertical="center" wrapText="1"/>
    </xf>
    <xf numFmtId="167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49" fontId="16" fillId="0" borderId="1" applyAlignment="1" pivotButton="0" quotePrefix="1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20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 wrapText="1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8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7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4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9" applyAlignment="1" pivotButton="0" quotePrefix="0" xfId="0">
      <alignment horizontal="center" vertical="center"/>
    </xf>
    <xf numFmtId="0" fontId="20" fillId="0" borderId="9" applyAlignment="1" pivotButton="0" quotePrefix="0" xfId="0">
      <alignment vertical="center" wrapText="1"/>
    </xf>
    <xf numFmtId="0" fontId="16" fillId="0" borderId="9" applyAlignment="1" pivotButton="0" quotePrefix="0" xfId="0">
      <alignment horizontal="center" vertical="center" wrapText="1"/>
    </xf>
    <xf numFmtId="4" fontId="20" fillId="0" borderId="9" applyAlignment="1" pivotButton="0" quotePrefix="0" xfId="0">
      <alignment horizontal="center" vertical="center"/>
    </xf>
    <xf numFmtId="0" fontId="16" fillId="0" borderId="9" applyAlignment="1" pivotButton="0" quotePrefix="0" xfId="0">
      <alignment horizontal="left" vertical="center" wrapText="1"/>
    </xf>
    <xf numFmtId="0" fontId="0" fillId="0" borderId="7" pivotButton="0" quotePrefix="0" xfId="0"/>
    <xf numFmtId="0" fontId="0" fillId="0" borderId="6" pivotButton="0" quotePrefix="0" xfId="0"/>
    <xf numFmtId="0" fontId="0" fillId="0" borderId="8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167" fontId="1" fillId="0" borderId="1" applyAlignment="1" pivotButton="0" quotePrefix="0" xfId="0">
      <alignment horizontal="center" vertical="center" wrapText="1"/>
    </xf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13" zoomScale="60" zoomScaleNormal="55" workbookViewId="0">
      <selection activeCell="C28" sqref="C28"/>
    </sheetView>
  </sheetViews>
  <sheetFormatPr baseColWidth="8" defaultColWidth="9.140625" defaultRowHeight="15.75"/>
  <cols>
    <col width="9.140625" customWidth="1" style="234" min="1" max="2"/>
    <col width="51.7109375" customWidth="1" style="234" min="3" max="3"/>
    <col width="47" customWidth="1" style="234" min="4" max="4"/>
    <col width="37.42578125" customWidth="1" style="234" min="5" max="5"/>
    <col width="9.140625" customWidth="1" style="234" min="6" max="6"/>
  </cols>
  <sheetData>
    <row r="3">
      <c r="B3" s="266" t="inlineStr">
        <is>
          <t>Приложение № 1</t>
        </is>
      </c>
    </row>
    <row r="4">
      <c r="B4" s="267" t="inlineStr">
        <is>
          <t>Сравнительная таблица отбора объекта-представителя</t>
        </is>
      </c>
    </row>
    <row r="5" ht="84" customHeight="1" s="232">
      <c r="B5" s="270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32">
      <c r="B6" s="159" t="n"/>
      <c r="C6" s="159" t="n"/>
      <c r="D6" s="159" t="n"/>
    </row>
    <row r="7" ht="64.5" customHeight="1" s="232">
      <c r="B7" s="268" t="inlineStr">
        <is>
          <t>Наименование разрабатываемого показателя УНЦ — Демонтаж КЛ 500кВ сечением до 2500мм2</t>
        </is>
      </c>
    </row>
    <row r="8" ht="31.5" customHeight="1" s="232">
      <c r="B8" s="269" t="inlineStr">
        <is>
          <t>Сопоставимый уровень цен: 4 кв. 2016 г.</t>
        </is>
      </c>
    </row>
    <row r="9" ht="15.75" customHeight="1" s="232">
      <c r="B9" s="269" t="inlineStr">
        <is>
          <t>Единица измерения  — 1 км</t>
        </is>
      </c>
    </row>
    <row r="10">
      <c r="B10" s="269" t="n"/>
    </row>
    <row r="11">
      <c r="B11" s="272" t="inlineStr">
        <is>
          <t>№ п/п</t>
        </is>
      </c>
      <c r="C11" s="272" t="inlineStr">
        <is>
          <t>Параметр</t>
        </is>
      </c>
      <c r="D11" s="272" t="inlineStr">
        <is>
          <t xml:space="preserve">Объект-представитель </t>
        </is>
      </c>
      <c r="E11" s="145" t="n"/>
    </row>
    <row r="12" ht="96.75" customHeight="1" s="232">
      <c r="B12" s="272" t="n">
        <v>1</v>
      </c>
      <c r="C12" s="276" t="inlineStr">
        <is>
          <t>Наименование объекта-представителя</t>
        </is>
      </c>
      <c r="D12" s="272" t="inlineStr">
        <is>
          <t>Комплексное техническое перевооружение и реконструкция ПС 500 кВ Очаково. Корректировка</t>
        </is>
      </c>
    </row>
    <row r="13">
      <c r="B13" s="272" t="n">
        <v>2</v>
      </c>
      <c r="C13" s="276" t="inlineStr">
        <is>
          <t>Наименование субъекта Российской Федерации</t>
        </is>
      </c>
      <c r="D13" s="272" t="inlineStr">
        <is>
          <t>Москва</t>
        </is>
      </c>
    </row>
    <row r="14">
      <c r="B14" s="272" t="n">
        <v>3</v>
      </c>
      <c r="C14" s="276" t="inlineStr">
        <is>
          <t>Климатический район и подрайон</t>
        </is>
      </c>
      <c r="D14" s="272" t="inlineStr">
        <is>
          <t>IIВ</t>
        </is>
      </c>
    </row>
    <row r="15">
      <c r="B15" s="272" t="n">
        <v>4</v>
      </c>
      <c r="C15" s="276" t="inlineStr">
        <is>
          <t>Мощность объекта</t>
        </is>
      </c>
      <c r="D15" s="272" t="n"/>
    </row>
    <row r="16" ht="116.25" customHeight="1" s="232">
      <c r="B16" s="272" t="n">
        <v>5</v>
      </c>
      <c r="C16" s="114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72" t="inlineStr">
        <is>
          <t>Кабель медный 500кВ 1х2500</t>
        </is>
      </c>
    </row>
    <row r="17" ht="79.5" customHeight="1" s="232">
      <c r="B17" s="272" t="n">
        <v>6</v>
      </c>
      <c r="C17" s="114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48" t="n">
        <v>3706.299425</v>
      </c>
      <c r="E17" s="158" t="n"/>
    </row>
    <row r="18">
      <c r="B18" s="144" t="inlineStr">
        <is>
          <t>6.1</t>
        </is>
      </c>
      <c r="C18" s="276" t="inlineStr">
        <is>
          <t>строительно-монтажные работы</t>
        </is>
      </c>
      <c r="D18" s="248" t="n">
        <v>3706.299425</v>
      </c>
    </row>
    <row r="19" ht="15.75" customHeight="1" s="232">
      <c r="B19" s="144" t="inlineStr">
        <is>
          <t>6.2</t>
        </is>
      </c>
      <c r="C19" s="276" t="inlineStr">
        <is>
          <t>оборудование и инвентарь</t>
        </is>
      </c>
      <c r="D19" s="272" t="inlineStr">
        <is>
          <t>-</t>
        </is>
      </c>
    </row>
    <row r="20" ht="16.5" customHeight="1" s="232">
      <c r="B20" s="144" t="inlineStr">
        <is>
          <t>6.3</t>
        </is>
      </c>
      <c r="C20" s="276" t="inlineStr">
        <is>
          <t>пусконаладочные работы</t>
        </is>
      </c>
      <c r="D20" s="272" t="inlineStr">
        <is>
          <t>-</t>
        </is>
      </c>
    </row>
    <row r="21" ht="35.25" customHeight="1" s="232">
      <c r="B21" s="144" t="inlineStr">
        <is>
          <t>6.4</t>
        </is>
      </c>
      <c r="C21" s="143" t="inlineStr">
        <is>
          <t>прочие и лимитированные затраты</t>
        </is>
      </c>
      <c r="D21" s="272" t="inlineStr">
        <is>
          <t>-</t>
        </is>
      </c>
    </row>
    <row r="22">
      <c r="B22" s="272" t="n">
        <v>7</v>
      </c>
      <c r="C22" s="143" t="inlineStr">
        <is>
          <t>Сопоставимый уровень цен</t>
        </is>
      </c>
      <c r="D22" s="272" t="inlineStr">
        <is>
          <t>4 квартал 2016 г</t>
        </is>
      </c>
      <c r="E22" s="141" t="n"/>
    </row>
    <row r="23" ht="78.75" customHeight="1" s="232">
      <c r="B23" s="272" t="n">
        <v>8</v>
      </c>
      <c r="C23" s="142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48" t="n">
        <v>3706.299425</v>
      </c>
      <c r="E23" s="158" t="n"/>
    </row>
    <row r="24" ht="31.5" customHeight="1" s="232">
      <c r="B24" s="272" t="n">
        <v>9</v>
      </c>
      <c r="C24" s="114" t="inlineStr">
        <is>
          <t>Приведенная сметная стоимость на единицу мощности, тыс. руб. (строка 8/строку 4)</t>
        </is>
      </c>
      <c r="D24" s="248" t="n">
        <v>3706.299425</v>
      </c>
      <c r="E24" s="141" t="n"/>
    </row>
    <row r="25">
      <c r="B25" s="272" t="n">
        <v>10</v>
      </c>
      <c r="C25" s="276" t="inlineStr">
        <is>
          <t>Примечание</t>
        </is>
      </c>
      <c r="D25" s="272" t="n"/>
    </row>
    <row r="26">
      <c r="B26" s="140" t="n"/>
      <c r="C26" s="139" t="n"/>
      <c r="D26" s="139" t="n"/>
    </row>
    <row r="27">
      <c r="B27" s="138" t="n"/>
    </row>
    <row r="28">
      <c r="B28" s="234" t="inlineStr">
        <is>
          <t>Составил ______________________    Д.А. Самуйленко</t>
        </is>
      </c>
    </row>
    <row r="29">
      <c r="B29" s="138" t="inlineStr">
        <is>
          <t xml:space="preserve">                         (подпись, инициалы, фамилия)</t>
        </is>
      </c>
    </row>
    <row r="31">
      <c r="B31" s="234" t="inlineStr">
        <is>
          <t>Проверил ______________________        А.В. Костянецкая</t>
        </is>
      </c>
    </row>
    <row r="32">
      <c r="B32" s="138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4" fitToHeight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K22"/>
  <sheetViews>
    <sheetView view="pageBreakPreview" zoomScale="70" zoomScaleNormal="70" workbookViewId="0">
      <selection activeCell="C18" sqref="C18"/>
    </sheetView>
  </sheetViews>
  <sheetFormatPr baseColWidth="8" defaultColWidth="9.140625" defaultRowHeight="15.75"/>
  <cols>
    <col width="5.5703125" customWidth="1" style="234" min="1" max="1"/>
    <col width="9.140625" customWidth="1" style="234" min="2" max="2"/>
    <col width="35.28515625" customWidth="1" style="234" min="3" max="3"/>
    <col width="13.85546875" customWidth="1" style="234" min="4" max="4"/>
    <col width="24.85546875" customWidth="1" style="234" min="5" max="5"/>
    <col width="15.5703125" customWidth="1" style="234" min="6" max="6"/>
    <col width="14.85546875" customWidth="1" style="234" min="7" max="7"/>
    <col width="16.7109375" customWidth="1" style="234" min="8" max="8"/>
    <col width="13" customWidth="1" style="234" min="9" max="10"/>
    <col width="18" customWidth="1" style="234" min="11" max="11"/>
    <col width="9.140625" customWidth="1" style="234" min="12" max="12"/>
  </cols>
  <sheetData>
    <row r="3">
      <c r="B3" s="266" t="inlineStr">
        <is>
          <t>Приложение № 2</t>
        </is>
      </c>
      <c r="K3" s="138" t="n"/>
    </row>
    <row r="4">
      <c r="B4" s="267" t="inlineStr">
        <is>
          <t>Расчет стоимости основных видов работ для выбора объекта-представителя</t>
        </is>
      </c>
    </row>
    <row r="5">
      <c r="B5" s="146" t="n"/>
      <c r="C5" s="146" t="n"/>
      <c r="D5" s="146" t="n"/>
      <c r="E5" s="146" t="n"/>
      <c r="F5" s="146" t="n"/>
      <c r="G5" s="146" t="n"/>
      <c r="H5" s="146" t="n"/>
      <c r="I5" s="146" t="n"/>
      <c r="J5" s="146" t="n"/>
      <c r="K5" s="146" t="n"/>
    </row>
    <row r="6" ht="29.25" customHeight="1" s="232">
      <c r="B6" s="269">
        <f>'Прил.1 Сравнит табл'!B7:D7</f>
        <v/>
      </c>
    </row>
    <row r="7">
      <c r="B7" s="269">
        <f>'Прил.1 Сравнит табл'!B9:D9</f>
        <v/>
      </c>
    </row>
    <row r="8" ht="18.75" customHeight="1" s="232">
      <c r="B8" s="119" t="n"/>
    </row>
    <row r="9" ht="15.75" customHeight="1" s="232">
      <c r="B9" s="272" t="inlineStr">
        <is>
          <t>№ п/п</t>
        </is>
      </c>
      <c r="C9" s="272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72" t="inlineStr">
        <is>
          <t>Объект-представитель 1</t>
        </is>
      </c>
      <c r="E9" s="360" t="n"/>
      <c r="F9" s="360" t="n"/>
      <c r="G9" s="360" t="n"/>
      <c r="H9" s="360" t="n"/>
      <c r="I9" s="360" t="n"/>
      <c r="J9" s="361" t="n"/>
    </row>
    <row r="10" ht="15.75" customHeight="1" s="232">
      <c r="B10" s="362" t="n"/>
      <c r="C10" s="362" t="n"/>
      <c r="D10" s="272" t="inlineStr">
        <is>
          <t>Номер сметы</t>
        </is>
      </c>
      <c r="E10" s="272" t="inlineStr">
        <is>
          <t>Наименование сметы</t>
        </is>
      </c>
      <c r="F10" s="272" t="inlineStr">
        <is>
          <t>Сметная стоимость в уровне цен 4 кв. 2016 г., тыс. руб.</t>
        </is>
      </c>
      <c r="G10" s="360" t="n"/>
      <c r="H10" s="360" t="n"/>
      <c r="I10" s="360" t="n"/>
      <c r="J10" s="361" t="n"/>
    </row>
    <row r="11" ht="31.5" customHeight="1" s="232">
      <c r="B11" s="363" t="n"/>
      <c r="C11" s="363" t="n"/>
      <c r="D11" s="363" t="n"/>
      <c r="E11" s="363" t="n"/>
      <c r="F11" s="272" t="inlineStr">
        <is>
          <t>Строительные работы</t>
        </is>
      </c>
      <c r="G11" s="272" t="inlineStr">
        <is>
          <t>Монтажные работы</t>
        </is>
      </c>
      <c r="H11" s="272" t="inlineStr">
        <is>
          <t>Оборудование</t>
        </is>
      </c>
      <c r="I11" s="272" t="inlineStr">
        <is>
          <t>Прочее</t>
        </is>
      </c>
      <c r="J11" s="272" t="inlineStr">
        <is>
          <t>Всего</t>
        </is>
      </c>
    </row>
    <row r="12" ht="62.25" customHeight="1" s="232">
      <c r="B12" s="249" t="n">
        <v>1</v>
      </c>
      <c r="C12" s="250" t="inlineStr">
        <is>
          <t>Кабель медный 500кВ 1х2500</t>
        </is>
      </c>
      <c r="D12" s="251" t="inlineStr">
        <is>
          <t>02-03-10</t>
        </is>
      </c>
      <c r="E12" s="276" t="inlineStr">
        <is>
          <t>Силовая сеть 0,4 кВ (сварочная сеть).ОРУ 500кВ. II этап ОРУ 500 кВ.</t>
        </is>
      </c>
      <c r="F12" s="253" t="n">
        <v>0</v>
      </c>
      <c r="G12" s="253" t="n">
        <v>3706.299425</v>
      </c>
      <c r="H12" s="253" t="n">
        <v>0</v>
      </c>
      <c r="I12" s="253" t="n">
        <v>0</v>
      </c>
      <c r="J12" s="254" t="n">
        <v>3706.299425</v>
      </c>
    </row>
    <row r="13" ht="15" customHeight="1" s="232">
      <c r="B13" s="271" t="inlineStr">
        <is>
          <t>Всего по объекту:</t>
        </is>
      </c>
      <c r="C13" s="360" t="n"/>
      <c r="D13" s="360" t="n"/>
      <c r="E13" s="361" t="n"/>
      <c r="F13" s="255" t="n">
        <v>0</v>
      </c>
      <c r="G13" s="255" t="n">
        <v>3706.299425</v>
      </c>
      <c r="H13" s="255" t="n">
        <v>0</v>
      </c>
      <c r="I13" s="255" t="n">
        <v>0</v>
      </c>
      <c r="J13" s="255" t="n">
        <v>3706.299425</v>
      </c>
    </row>
    <row r="14" ht="15.75" customHeight="1" s="232">
      <c r="B14" s="271" t="inlineStr">
        <is>
          <t>Всего по объекту в сопоставимом уровне цен 4 кв. 2016 г. :</t>
        </is>
      </c>
      <c r="C14" s="360" t="n"/>
      <c r="D14" s="360" t="n"/>
      <c r="E14" s="361" t="n"/>
      <c r="F14" s="255" t="n">
        <v>0</v>
      </c>
      <c r="G14" s="255" t="n">
        <v>3706.299425</v>
      </c>
      <c r="H14" s="255" t="n">
        <v>0</v>
      </c>
      <c r="I14" s="255" t="n">
        <v>0</v>
      </c>
      <c r="J14" s="255" t="n">
        <v>3706.299425</v>
      </c>
    </row>
    <row r="15" ht="15" customHeight="1" s="232"/>
    <row r="16" ht="15" customHeight="1" s="232"/>
    <row r="17" ht="15" customHeight="1" s="232"/>
    <row r="18" ht="15" customHeight="1" s="232">
      <c r="C18" s="228" t="inlineStr">
        <is>
          <t>Составил ______________________     Д.А. Самуйленко</t>
        </is>
      </c>
      <c r="D18" s="229" t="n"/>
      <c r="E18" s="229" t="n"/>
    </row>
    <row r="19" ht="15" customHeight="1" s="232">
      <c r="C19" s="231" t="inlineStr">
        <is>
          <t xml:space="preserve">                         (подпись, инициалы, фамилия)</t>
        </is>
      </c>
      <c r="D19" s="229" t="n"/>
      <c r="E19" s="229" t="n"/>
    </row>
    <row r="20" ht="15" customHeight="1" s="232">
      <c r="C20" s="228" t="n"/>
      <c r="D20" s="229" t="n"/>
      <c r="E20" s="229" t="n"/>
    </row>
    <row r="21" ht="15" customHeight="1" s="232">
      <c r="C21" s="228" t="inlineStr">
        <is>
          <t>Проверил ______________________        А.В. Костянецкая</t>
        </is>
      </c>
      <c r="D21" s="229" t="n"/>
      <c r="E21" s="229" t="n"/>
    </row>
    <row r="22" ht="15" customHeight="1" s="232">
      <c r="C22" s="231" t="inlineStr">
        <is>
          <t xml:space="preserve">                        (подпись, инициалы, фамилия)</t>
        </is>
      </c>
      <c r="D22" s="229" t="n"/>
      <c r="E22" s="229" t="n"/>
    </row>
    <row r="23" ht="15" customHeight="1" s="232"/>
    <row r="24" ht="15" customHeight="1" s="232"/>
    <row r="25" ht="15" customHeight="1" s="232"/>
    <row r="26" ht="15" customHeight="1" s="232"/>
    <row r="27" ht="15" customHeight="1" s="232"/>
    <row r="28" ht="15" customHeight="1" s="232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L36"/>
  <sheetViews>
    <sheetView view="pageBreakPreview" topLeftCell="A7" zoomScaleSheetLayoutView="100" workbookViewId="0">
      <selection activeCell="C30" sqref="C30"/>
    </sheetView>
  </sheetViews>
  <sheetFormatPr baseColWidth="8" defaultColWidth="9.140625" defaultRowHeight="15.75"/>
  <cols>
    <col width="9.140625" customWidth="1" style="234" min="1" max="1"/>
    <col width="12.5703125" customWidth="1" style="234" min="2" max="2"/>
    <col width="22.42578125" customWidth="1" style="234" min="3" max="3"/>
    <col width="49.7109375" customWidth="1" style="234" min="4" max="4"/>
    <col width="10.140625" customWidth="1" style="234" min="5" max="5"/>
    <col width="20.7109375" customWidth="1" style="234" min="6" max="6"/>
    <col width="20" customWidth="1" style="234" min="7" max="7"/>
    <col width="16.7109375" customWidth="1" style="234" min="8" max="8"/>
    <col width="9.140625" customWidth="1" style="234" min="9" max="9"/>
    <col width="15.5703125" customWidth="1" style="234" min="10" max="10"/>
    <col width="15" customWidth="1" style="234" min="11" max="11"/>
    <col width="9.140625" customWidth="1" style="234" min="12" max="12"/>
  </cols>
  <sheetData>
    <row r="2">
      <c r="A2" s="266" t="inlineStr">
        <is>
          <t xml:space="preserve">Приложение № 3 </t>
        </is>
      </c>
    </row>
    <row r="3">
      <c r="A3" s="267" t="inlineStr">
        <is>
          <t>Объектная ресурсная ведомость</t>
        </is>
      </c>
    </row>
    <row r="4">
      <c r="A4" s="281" t="n"/>
    </row>
    <row r="5">
      <c r="A5" s="269" t="n"/>
    </row>
    <row r="6">
      <c r="A6" s="280" t="inlineStr">
        <is>
          <t>Наименование разрабатываемого показателя УНЦ — Демонтаж КЛ 500кВ сечением до 2500мм2</t>
        </is>
      </c>
    </row>
    <row r="7" s="232">
      <c r="A7" s="280" t="n"/>
      <c r="B7" s="280" t="n"/>
      <c r="C7" s="280" t="n"/>
      <c r="D7" s="280" t="n"/>
      <c r="E7" s="280" t="n"/>
      <c r="F7" s="280" t="n"/>
      <c r="G7" s="280" t="n"/>
      <c r="H7" s="280" t="n"/>
      <c r="I7" s="234" t="n"/>
      <c r="J7" s="234" t="n"/>
      <c r="K7" s="234" t="n"/>
      <c r="L7" s="234" t="n"/>
    </row>
    <row r="8">
      <c r="A8" s="280" t="n"/>
      <c r="B8" s="280" t="n"/>
      <c r="C8" s="280" t="n"/>
      <c r="D8" s="280" t="n"/>
      <c r="E8" s="280" t="n"/>
      <c r="F8" s="280" t="n"/>
      <c r="G8" s="280" t="n"/>
      <c r="H8" s="280" t="n"/>
    </row>
    <row r="9" ht="38.25" customHeight="1" s="232">
      <c r="A9" s="272" t="inlineStr">
        <is>
          <t>п/п</t>
        </is>
      </c>
      <c r="B9" s="272" t="inlineStr">
        <is>
          <t>№ЛСР</t>
        </is>
      </c>
      <c r="C9" s="272" t="inlineStr">
        <is>
          <t>Код ресурса</t>
        </is>
      </c>
      <c r="D9" s="272" t="inlineStr">
        <is>
          <t>Наименование ресурса</t>
        </is>
      </c>
      <c r="E9" s="272" t="inlineStr">
        <is>
          <t>Ед. изм.</t>
        </is>
      </c>
      <c r="F9" s="272" t="inlineStr">
        <is>
          <t>Кол-во единиц по данным объекта-представителя</t>
        </is>
      </c>
      <c r="G9" s="272" t="inlineStr">
        <is>
          <t>Сметная стоимость в ценах на 01.01.2000 (руб.)</t>
        </is>
      </c>
      <c r="H9" s="361" t="n"/>
    </row>
    <row r="10" ht="40.5" customHeight="1" s="232">
      <c r="A10" s="363" t="n"/>
      <c r="B10" s="363" t="n"/>
      <c r="C10" s="363" t="n"/>
      <c r="D10" s="363" t="n"/>
      <c r="E10" s="363" t="n"/>
      <c r="F10" s="363" t="n"/>
      <c r="G10" s="272" t="inlineStr">
        <is>
          <t>на ед.изм.</t>
        </is>
      </c>
      <c r="H10" s="272" t="inlineStr">
        <is>
          <t>общая</t>
        </is>
      </c>
    </row>
    <row r="11">
      <c r="A11" s="250" t="n">
        <v>1</v>
      </c>
      <c r="B11" s="250" t="n"/>
      <c r="C11" s="250" t="n">
        <v>2</v>
      </c>
      <c r="D11" s="250" t="inlineStr">
        <is>
          <t>З</t>
        </is>
      </c>
      <c r="E11" s="250" t="n">
        <v>4</v>
      </c>
      <c r="F11" s="250" t="n">
        <v>5</v>
      </c>
      <c r="G11" s="250" t="n">
        <v>6</v>
      </c>
      <c r="H11" s="250" t="n">
        <v>7</v>
      </c>
    </row>
    <row r="12" customFormat="1" s="222">
      <c r="A12" s="277" t="inlineStr">
        <is>
          <t>Затраты труда рабочих</t>
        </is>
      </c>
      <c r="B12" s="360" t="n"/>
      <c r="C12" s="360" t="n"/>
      <c r="D12" s="360" t="n"/>
      <c r="E12" s="361" t="n"/>
      <c r="F12" s="364" t="n">
        <v>1515.8</v>
      </c>
      <c r="G12" s="10" t="n"/>
      <c r="H12" s="364">
        <f>SUM(H13:H13)</f>
        <v/>
      </c>
    </row>
    <row r="13">
      <c r="A13" s="169" t="n">
        <v>1</v>
      </c>
      <c r="B13" s="209" t="n"/>
      <c r="C13" s="212" t="inlineStr">
        <is>
          <t>1-4-0</t>
        </is>
      </c>
      <c r="D13" s="290" t="inlineStr">
        <is>
          <t>Затраты труда рабочих (средний разряд работы 4,0)</t>
        </is>
      </c>
      <c r="E13" s="287" t="inlineStr">
        <is>
          <t>чел.-ч</t>
        </is>
      </c>
      <c r="F13" s="365" t="n">
        <v>1515.8</v>
      </c>
      <c r="G13" s="218" t="n">
        <v>9.619999999999999</v>
      </c>
      <c r="H13" s="218">
        <f>ROUND(F13*G13,2)</f>
        <v/>
      </c>
    </row>
    <row r="14">
      <c r="A14" s="273" t="inlineStr">
        <is>
          <t>Затраты труда машинистов</t>
        </is>
      </c>
      <c r="B14" s="360" t="n"/>
      <c r="C14" s="360" t="n"/>
      <c r="D14" s="360" t="n"/>
      <c r="E14" s="361" t="n"/>
      <c r="F14" s="277" t="n"/>
      <c r="G14" s="149" t="n"/>
      <c r="H14" s="364">
        <f>H15</f>
        <v/>
      </c>
    </row>
    <row r="15">
      <c r="A15" s="287" t="n">
        <v>2</v>
      </c>
      <c r="B15" s="275" t="n"/>
      <c r="C15" s="212" t="n">
        <v>2</v>
      </c>
      <c r="D15" s="290" t="inlineStr">
        <is>
          <t>Затраты труда машинистов</t>
        </is>
      </c>
      <c r="E15" s="287" t="inlineStr">
        <is>
          <t>чел.-ч</t>
        </is>
      </c>
      <c r="F15" s="291" t="n">
        <v>104.5</v>
      </c>
      <c r="G15" s="205" t="n"/>
      <c r="H15" s="304" t="n">
        <v>1228.7</v>
      </c>
    </row>
    <row r="16" customFormat="1" s="222">
      <c r="A16" s="277" t="inlineStr">
        <is>
          <t>Машины и механизмы</t>
        </is>
      </c>
      <c r="B16" s="360" t="n"/>
      <c r="C16" s="360" t="n"/>
      <c r="D16" s="360" t="n"/>
      <c r="E16" s="361" t="n"/>
      <c r="F16" s="277" t="n"/>
      <c r="G16" s="149" t="n"/>
      <c r="H16" s="364">
        <f>SUM(H17:H26)</f>
        <v/>
      </c>
    </row>
    <row r="17" ht="25.5" customHeight="1" s="232">
      <c r="A17" s="287" t="n">
        <v>3</v>
      </c>
      <c r="B17" s="275" t="n"/>
      <c r="C17" s="212" t="inlineStr">
        <is>
          <t>91.05.05-018</t>
        </is>
      </c>
      <c r="D17" s="290" t="inlineStr">
        <is>
          <t>Краны на автомобильном ходу, грузоподъемность 63 т</t>
        </is>
      </c>
      <c r="E17" s="287" t="inlineStr">
        <is>
          <t>маш.час</t>
        </is>
      </c>
      <c r="F17" s="287" t="n">
        <v>19.9</v>
      </c>
      <c r="G17" s="292" t="n">
        <v>823.23</v>
      </c>
      <c r="H17" s="218">
        <f>ROUND(F17*G17,2)</f>
        <v/>
      </c>
      <c r="I17" s="152" t="n"/>
    </row>
    <row r="18" ht="25.5" customFormat="1" customHeight="1" s="222">
      <c r="A18" s="287" t="n">
        <v>4</v>
      </c>
      <c r="B18" s="275" t="n"/>
      <c r="C18" s="212" t="inlineStr">
        <is>
          <t>91.06.03-012</t>
        </is>
      </c>
      <c r="D18" s="290" t="inlineStr">
        <is>
          <t>Лебедки-прицепы гидравлические для протяжки кабеля, тяговое усилие 10 т</t>
        </is>
      </c>
      <c r="E18" s="287" t="inlineStr">
        <is>
          <t>маш.час</t>
        </is>
      </c>
      <c r="F18" s="287" t="n">
        <v>34.5</v>
      </c>
      <c r="G18" s="292" t="n">
        <v>244.95</v>
      </c>
      <c r="H18" s="218">
        <f>ROUND(F18*G18,2)</f>
        <v/>
      </c>
      <c r="I18" s="152" t="n"/>
      <c r="L18" s="152" t="n"/>
    </row>
    <row r="19">
      <c r="A19" s="287" t="n">
        <v>5</v>
      </c>
      <c r="B19" s="275" t="n"/>
      <c r="C19" s="212" t="inlineStr">
        <is>
          <t>91.14.04-003</t>
        </is>
      </c>
      <c r="D19" s="290" t="inlineStr">
        <is>
          <t>Тягачи седельные, грузоподъемность 30 т</t>
        </is>
      </c>
      <c r="E19" s="287" t="inlineStr">
        <is>
          <t>маш.час</t>
        </is>
      </c>
      <c r="F19" s="287" t="n">
        <v>16.7</v>
      </c>
      <c r="G19" s="292" t="n">
        <v>120.31</v>
      </c>
      <c r="H19" s="218">
        <f>ROUND(F19*G19,2)</f>
        <v/>
      </c>
      <c r="I19" s="152" t="n"/>
    </row>
    <row r="20" ht="25.5" customFormat="1" customHeight="1" s="222">
      <c r="A20" s="287" t="n">
        <v>6</v>
      </c>
      <c r="B20" s="275" t="n"/>
      <c r="C20" s="212" t="inlineStr">
        <is>
          <t>91.05.13-001</t>
        </is>
      </c>
      <c r="D20" s="290" t="inlineStr">
        <is>
          <t>Автомобили бортовые, грузоподъемность до 6 т, с краном-манипулятором-4,0 т</t>
        </is>
      </c>
      <c r="E20" s="287" t="inlineStr">
        <is>
          <t>маш.час</t>
        </is>
      </c>
      <c r="F20" s="287" t="n">
        <v>2.2</v>
      </c>
      <c r="G20" s="292" t="n">
        <v>288.03</v>
      </c>
      <c r="H20" s="218">
        <f>ROUND(F20*G20,2)</f>
        <v/>
      </c>
      <c r="I20" s="152" t="n"/>
      <c r="L20" s="152" t="n"/>
    </row>
    <row r="21" ht="25.5" customHeight="1" s="232">
      <c r="A21" s="287" t="n">
        <v>7</v>
      </c>
      <c r="B21" s="275" t="n"/>
      <c r="C21" s="212" t="inlineStr">
        <is>
          <t>91.11.01-021</t>
        </is>
      </c>
      <c r="D21" s="290" t="inlineStr">
        <is>
          <t>Устройства подталкивающие для протяжки кабеля, тяговое усилие 800 кг</t>
        </is>
      </c>
      <c r="E21" s="287" t="inlineStr">
        <is>
          <t>маш.час</t>
        </is>
      </c>
      <c r="F21" s="287" t="n">
        <v>24.6</v>
      </c>
      <c r="G21" s="292" t="n">
        <v>25.37</v>
      </c>
      <c r="H21" s="218">
        <f>ROUND(F21*G21,2)</f>
        <v/>
      </c>
      <c r="I21" s="152" t="n"/>
      <c r="L21" s="152" t="n"/>
    </row>
    <row r="22">
      <c r="A22" s="287" t="n">
        <v>8</v>
      </c>
      <c r="B22" s="275" t="n"/>
      <c r="C22" s="212" t="inlineStr">
        <is>
          <t>91.14.05-002</t>
        </is>
      </c>
      <c r="D22" s="290" t="inlineStr">
        <is>
          <t>Полуприцепы-тяжеловозы, грузоподъемность 40 т</t>
        </is>
      </c>
      <c r="E22" s="287" t="inlineStr">
        <is>
          <t>маш.час</t>
        </is>
      </c>
      <c r="F22" s="287" t="n">
        <v>16.7</v>
      </c>
      <c r="G22" s="292" t="n">
        <v>28.65</v>
      </c>
      <c r="H22" s="218">
        <f>ROUND(F22*G22,2)</f>
        <v/>
      </c>
      <c r="I22" s="152" t="n"/>
    </row>
    <row r="23">
      <c r="A23" s="287" t="n">
        <v>9</v>
      </c>
      <c r="B23" s="275" t="n"/>
      <c r="C23" s="212" t="inlineStr">
        <is>
          <t>91.16.01-002</t>
        </is>
      </c>
      <c r="D23" s="290" t="inlineStr">
        <is>
          <t>Электростанции передвижные, мощность 4 кВт</t>
        </is>
      </c>
      <c r="E23" s="287" t="inlineStr">
        <is>
          <t>маш.час</t>
        </is>
      </c>
      <c r="F23" s="287" t="n">
        <v>11.3</v>
      </c>
      <c r="G23" s="292" t="n">
        <v>27.11</v>
      </c>
      <c r="H23" s="218">
        <f>ROUND(F23*G23,2)</f>
        <v/>
      </c>
      <c r="I23" s="152" t="n"/>
    </row>
    <row r="24">
      <c r="A24" s="287" t="n">
        <v>10</v>
      </c>
      <c r="B24" s="275" t="n"/>
      <c r="C24" s="212" t="inlineStr">
        <is>
          <t>91.17.04-091</t>
        </is>
      </c>
      <c r="D24" s="290" t="inlineStr">
        <is>
          <t>Горелки газовые инжекторные</t>
        </is>
      </c>
      <c r="E24" s="287" t="inlineStr">
        <is>
          <t>маш.час</t>
        </is>
      </c>
      <c r="F24" s="287" t="n">
        <v>11.3</v>
      </c>
      <c r="G24" s="292" t="n">
        <v>13.5</v>
      </c>
      <c r="H24" s="218">
        <f>ROUND(F24*G24,2)</f>
        <v/>
      </c>
      <c r="I24" s="152" t="n"/>
    </row>
    <row r="25">
      <c r="A25" s="287" t="n">
        <v>11</v>
      </c>
      <c r="B25" s="275" t="n"/>
      <c r="C25" s="212" t="inlineStr">
        <is>
          <t>91.21.15-022</t>
        </is>
      </c>
      <c r="D25" s="290" t="inlineStr">
        <is>
          <t>Пилы ленточные с поворотной пилорамой</t>
        </is>
      </c>
      <c r="E25" s="287" t="inlineStr">
        <is>
          <t>маш.час</t>
        </is>
      </c>
      <c r="F25" s="287" t="n">
        <v>11.3</v>
      </c>
      <c r="G25" s="292" t="n">
        <v>3.31</v>
      </c>
      <c r="H25" s="218">
        <f>ROUND(F25*G25,2)</f>
        <v/>
      </c>
      <c r="I25" s="152" t="n"/>
    </row>
    <row r="26">
      <c r="A26" s="287" t="n">
        <v>12</v>
      </c>
      <c r="B26" s="275" t="n"/>
      <c r="C26" s="212" t="inlineStr">
        <is>
          <t>91.06.01-002</t>
        </is>
      </c>
      <c r="D26" s="290" t="inlineStr">
        <is>
          <t>Домкраты гидравлические, грузоподъемность 6,3-25 т</t>
        </is>
      </c>
      <c r="E26" s="287" t="inlineStr">
        <is>
          <t>маш.час</t>
        </is>
      </c>
      <c r="F26" s="287" t="n">
        <v>57.3</v>
      </c>
      <c r="G26" s="292" t="n">
        <v>0.48</v>
      </c>
      <c r="H26" s="218">
        <f>ROUND(F26*G26,2)</f>
        <v/>
      </c>
      <c r="I26" s="152" t="n"/>
    </row>
    <row r="27">
      <c r="A27" s="274" t="inlineStr">
        <is>
          <t>Материалы</t>
        </is>
      </c>
      <c r="B27" s="360" t="n"/>
      <c r="C27" s="360" t="n"/>
      <c r="D27" s="360" t="n"/>
      <c r="E27" s="361" t="n"/>
      <c r="F27" s="274" t="n"/>
      <c r="G27" s="204" t="n"/>
      <c r="H27" s="364">
        <f>SUM(H28:H29)</f>
        <v/>
      </c>
    </row>
    <row r="28">
      <c r="A28" s="169" t="n">
        <v>13</v>
      </c>
      <c r="B28" s="275" t="n"/>
      <c r="C28" s="305" t="inlineStr">
        <is>
          <t>Прайс из СД ОП</t>
        </is>
      </c>
      <c r="D28" s="257" t="inlineStr">
        <is>
          <t>Кабель медный 500кВ 1х2500 мм2</t>
        </is>
      </c>
      <c r="E28" s="305" t="inlineStr">
        <is>
          <t>км</t>
        </is>
      </c>
      <c r="F28" s="305" t="n">
        <v>3.3</v>
      </c>
      <c r="G28" s="257" t="n">
        <v>18100127.05</v>
      </c>
      <c r="H28" s="218">
        <f>ROUND(F28*G28,2)</f>
        <v/>
      </c>
      <c r="I28" s="161" t="n"/>
      <c r="K28" s="152" t="n"/>
    </row>
    <row r="29">
      <c r="A29" s="169" t="n">
        <v>14</v>
      </c>
      <c r="B29" s="275" t="n"/>
      <c r="C29" s="212" t="inlineStr">
        <is>
          <t>01.3.02.09-0022</t>
        </is>
      </c>
      <c r="D29" s="290" t="inlineStr">
        <is>
          <t>Пропан-бутан смесь техническая</t>
        </is>
      </c>
      <c r="E29" s="287" t="inlineStr">
        <is>
          <t>кг</t>
        </is>
      </c>
      <c r="F29" s="287" t="n">
        <v>3.617</v>
      </c>
      <c r="G29" s="218" t="n">
        <v>6.09</v>
      </c>
      <c r="H29" s="218">
        <f>ROUND(F29*G29,2)</f>
        <v/>
      </c>
      <c r="I29" s="161" t="n"/>
      <c r="K29" s="152" t="n"/>
    </row>
    <row r="32">
      <c r="B32" s="234" t="inlineStr">
        <is>
          <t>Составил ______________________     Д.А. Самуйленко</t>
        </is>
      </c>
    </row>
    <row r="33">
      <c r="B33" s="138" t="inlineStr">
        <is>
          <t xml:space="preserve">                         (подпись, инициалы, фамилия)</t>
        </is>
      </c>
    </row>
    <row r="35">
      <c r="B35" s="234" t="inlineStr">
        <is>
          <t>Проверил ______________________        А.В. Костянецкая</t>
        </is>
      </c>
    </row>
    <row r="36">
      <c r="B36" s="138" t="inlineStr">
        <is>
          <t xml:space="preserve">                        (подпись, инициалы, фамилия)</t>
        </is>
      </c>
    </row>
  </sheetData>
  <mergeCells count="15">
    <mergeCell ref="C9:C10"/>
    <mergeCell ref="B9:B10"/>
    <mergeCell ref="A3:H3"/>
    <mergeCell ref="A12:E12"/>
    <mergeCell ref="D9:D10"/>
    <mergeCell ref="E9:E10"/>
    <mergeCell ref="F9:F10"/>
    <mergeCell ref="A16:E16"/>
    <mergeCell ref="A9:A10"/>
    <mergeCell ref="A4:H4"/>
    <mergeCell ref="A2:H2"/>
    <mergeCell ref="A14:E14"/>
    <mergeCell ref="G9:H9"/>
    <mergeCell ref="A6:H6"/>
    <mergeCell ref="A27:E27"/>
  </mergeCells>
  <pageMargins left="0.7" right="0.7" top="0.75" bottom="0.75" header="0.3" footer="0.3"/>
  <pageSetup orientation="portrait" paperSize="9" scale="54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L50"/>
  <sheetViews>
    <sheetView view="pageBreakPreview" topLeftCell="A33" workbookViewId="0">
      <selection activeCell="E61" sqref="E61"/>
    </sheetView>
  </sheetViews>
  <sheetFormatPr baseColWidth="8" defaultColWidth="9.140625" defaultRowHeight="15"/>
  <cols>
    <col width="4.140625" customWidth="1" style="232" min="1" max="1"/>
    <col width="36.28515625" customWidth="1" style="232" min="2" max="2"/>
    <col width="18.85546875" customWidth="1" style="232" min="3" max="3"/>
    <col width="18.28515625" customWidth="1" style="232" min="4" max="4"/>
    <col width="18.85546875" customWidth="1" style="232" min="5" max="5"/>
    <col width="13.42578125" customWidth="1" style="232" min="7" max="7"/>
    <col width="13.5703125" customWidth="1" style="232" min="12" max="12"/>
  </cols>
  <sheetData>
    <row r="1">
      <c r="B1" s="228" t="n"/>
      <c r="C1" s="228" t="n"/>
      <c r="D1" s="228" t="n"/>
      <c r="E1" s="228" t="n"/>
    </row>
    <row r="2">
      <c r="B2" s="228" t="n"/>
      <c r="C2" s="228" t="n"/>
      <c r="D2" s="228" t="n"/>
      <c r="E2" s="300" t="inlineStr">
        <is>
          <t>Приложение № 4</t>
        </is>
      </c>
    </row>
    <row r="3">
      <c r="B3" s="228" t="n"/>
      <c r="C3" s="228" t="n"/>
      <c r="D3" s="228" t="n"/>
      <c r="E3" s="228" t="n"/>
    </row>
    <row r="4">
      <c r="B4" s="228" t="n"/>
      <c r="C4" s="228" t="n"/>
      <c r="D4" s="228" t="n"/>
      <c r="E4" s="228" t="n"/>
    </row>
    <row r="5">
      <c r="B5" s="259" t="inlineStr">
        <is>
          <t>Ресурсная модель</t>
        </is>
      </c>
    </row>
    <row r="6">
      <c r="B6" s="157" t="n"/>
      <c r="C6" s="228" t="n"/>
      <c r="D6" s="228" t="n"/>
      <c r="E6" s="228" t="n"/>
    </row>
    <row r="7" ht="25.5" customHeight="1" s="232">
      <c r="B7" s="282" t="inlineStr">
        <is>
          <t>Наименование разрабатываемого показателя УНЦ — Демонтаж КЛ 500кВ сечением до 2500мм2</t>
        </is>
      </c>
    </row>
    <row r="8">
      <c r="B8" s="283" t="inlineStr">
        <is>
          <t>Единица измерения  — 1 км</t>
        </is>
      </c>
    </row>
    <row r="9">
      <c r="B9" s="157" t="n"/>
      <c r="C9" s="228" t="n"/>
      <c r="D9" s="228" t="n"/>
      <c r="E9" s="228" t="n"/>
    </row>
    <row r="10" ht="51" customHeight="1" s="232">
      <c r="B10" s="287" t="inlineStr">
        <is>
          <t>Наименование</t>
        </is>
      </c>
      <c r="C10" s="287" t="inlineStr">
        <is>
          <t>Сметная стоимость в ценах на 01.01.2023
 (руб.)</t>
        </is>
      </c>
      <c r="D10" s="287" t="inlineStr">
        <is>
          <t>Удельный вес, 
(в СМР)</t>
        </is>
      </c>
      <c r="E10" s="287" t="inlineStr">
        <is>
          <t>Удельный вес, % 
(от всего по РМ)</t>
        </is>
      </c>
    </row>
    <row r="11">
      <c r="B11" s="24" t="inlineStr">
        <is>
          <t>Оплата труда рабочих</t>
        </is>
      </c>
      <c r="C11" s="154">
        <f>'Прил.5 Расчет СМР и ОБ'!J15</f>
        <v/>
      </c>
      <c r="D11" s="26">
        <f>C11/$C$24</f>
        <v/>
      </c>
      <c r="E11" s="26">
        <f>C11/$C$40</f>
        <v/>
      </c>
    </row>
    <row r="12">
      <c r="B12" s="24" t="inlineStr">
        <is>
          <t>Эксплуатация машин основных</t>
        </is>
      </c>
      <c r="C12" s="154">
        <f>'Прил.5 Расчет СМР и ОБ'!J24</f>
        <v/>
      </c>
      <c r="D12" s="26">
        <f>C12/$C$24</f>
        <v/>
      </c>
      <c r="E12" s="26">
        <f>C12/$C$40</f>
        <v/>
      </c>
    </row>
    <row r="13">
      <c r="B13" s="24" t="inlineStr">
        <is>
          <t>Эксплуатация машин прочих</t>
        </is>
      </c>
      <c r="C13" s="154">
        <f>'Прил.5 Расчет СМР и ОБ'!J34</f>
        <v/>
      </c>
      <c r="D13" s="26">
        <f>C13/$C$24</f>
        <v/>
      </c>
      <c r="E13" s="26">
        <f>C13/$C$40</f>
        <v/>
      </c>
    </row>
    <row r="14">
      <c r="B14" s="24" t="inlineStr">
        <is>
          <t>ЭКСПЛУАТАЦИЯ МАШИН, ВСЕГО:</t>
        </is>
      </c>
      <c r="C14" s="154">
        <f>'Прил.5 Расчет СМР и ОБ'!J36</f>
        <v/>
      </c>
      <c r="D14" s="26">
        <f>C14/$C$24</f>
        <v/>
      </c>
      <c r="E14" s="26">
        <f>C14/$C$40</f>
        <v/>
      </c>
    </row>
    <row r="15">
      <c r="B15" s="24" t="inlineStr">
        <is>
          <t>в том числе зарплата машинистов</t>
        </is>
      </c>
      <c r="C15" s="154">
        <f>'Прил.5 Расчет СМР и ОБ'!J18</f>
        <v/>
      </c>
      <c r="D15" s="26">
        <f>C15/$C$24</f>
        <v/>
      </c>
      <c r="E15" s="26">
        <f>C15/$C$40</f>
        <v/>
      </c>
    </row>
    <row r="16">
      <c r="B16" s="24" t="inlineStr">
        <is>
          <t>Материалы основные</t>
        </is>
      </c>
      <c r="C16" s="154">
        <f>'Прил.5 Расчет СМР и ОБ'!J45</f>
        <v/>
      </c>
      <c r="D16" s="26">
        <f>C16/$C$24</f>
        <v/>
      </c>
      <c r="E16" s="26">
        <f>C16/$C$40</f>
        <v/>
      </c>
    </row>
    <row r="17">
      <c r="B17" s="24" t="inlineStr">
        <is>
          <t>Материалы прочие</t>
        </is>
      </c>
      <c r="C17" s="154">
        <f>'Прил.5 Расчет СМР и ОБ'!J46</f>
        <v/>
      </c>
      <c r="D17" s="26">
        <f>C17/$C$24</f>
        <v/>
      </c>
      <c r="E17" s="26">
        <f>C17/$C$40</f>
        <v/>
      </c>
      <c r="G17" s="366" t="n"/>
    </row>
    <row r="18">
      <c r="B18" s="24" t="inlineStr">
        <is>
          <t>МАТЕРИАЛЫ, ВСЕГО:</t>
        </is>
      </c>
      <c r="C18" s="154">
        <f>C17+C16</f>
        <v/>
      </c>
      <c r="D18" s="26">
        <f>C18/$C$24</f>
        <v/>
      </c>
      <c r="E18" s="26">
        <f>C18/$C$40</f>
        <v/>
      </c>
    </row>
    <row r="19">
      <c r="B19" s="24" t="inlineStr">
        <is>
          <t>ИТОГО</t>
        </is>
      </c>
      <c r="C19" s="154">
        <f>C18+C14+C11</f>
        <v/>
      </c>
      <c r="D19" s="26" t="n"/>
      <c r="E19" s="24" t="n"/>
    </row>
    <row r="20">
      <c r="B20" s="24" t="inlineStr">
        <is>
          <t>Сметная прибыль, руб.</t>
        </is>
      </c>
      <c r="C20" s="154">
        <f>ROUND(C21*(C11+C15),2)</f>
        <v/>
      </c>
      <c r="D20" s="26">
        <f>C20/$C$24</f>
        <v/>
      </c>
      <c r="E20" s="26">
        <f>C20/$C$40</f>
        <v/>
      </c>
    </row>
    <row r="21">
      <c r="B21" s="24" t="inlineStr">
        <is>
          <t>Сметная прибыль, %</t>
        </is>
      </c>
      <c r="C21" s="181">
        <f>'Прил.5 Расчет СМР и ОБ'!D52</f>
        <v/>
      </c>
      <c r="D21" s="26" t="n"/>
      <c r="E21" s="24" t="n"/>
    </row>
    <row r="22">
      <c r="B22" s="24" t="inlineStr">
        <is>
          <t>Накладные расходы, руб.</t>
        </is>
      </c>
      <c r="C22" s="154">
        <f>ROUND(C23*(C11+C15),2)</f>
        <v/>
      </c>
      <c r="D22" s="26">
        <f>C22/$C$24</f>
        <v/>
      </c>
      <c r="E22" s="26">
        <f>C22/$C$40</f>
        <v/>
      </c>
    </row>
    <row r="23">
      <c r="B23" s="24" t="inlineStr">
        <is>
          <t>Накладные расходы, %</t>
        </is>
      </c>
      <c r="C23" s="181">
        <f>'Прил.5 Расчет СМР и ОБ'!D50</f>
        <v/>
      </c>
      <c r="D23" s="26" t="n"/>
      <c r="E23" s="24" t="n"/>
    </row>
    <row r="24">
      <c r="B24" s="24" t="inlineStr">
        <is>
          <t>ВСЕГО СМР с НР и СП</t>
        </is>
      </c>
      <c r="C24" s="154">
        <f>C19+C20+C22</f>
        <v/>
      </c>
      <c r="D24" s="26">
        <f>C24/$C$24</f>
        <v/>
      </c>
      <c r="E24" s="26">
        <f>C24/$C$40</f>
        <v/>
      </c>
    </row>
    <row r="25" ht="25.5" customHeight="1" s="232">
      <c r="B25" s="24" t="inlineStr">
        <is>
          <t>ВСЕГО стоимость оборудования, в том числе</t>
        </is>
      </c>
      <c r="C25" s="154">
        <f>'Прил.5 Расчет СМР и ОБ'!J41</f>
        <v/>
      </c>
      <c r="D25" s="26" t="n"/>
      <c r="E25" s="26">
        <f>C25/$C$40</f>
        <v/>
      </c>
    </row>
    <row r="26" ht="25.5" customHeight="1" s="232">
      <c r="B26" s="24" t="inlineStr">
        <is>
          <t>стоимость оборудования технологического</t>
        </is>
      </c>
      <c r="C26" s="154">
        <f>'Прил.5 Расчет СМР и ОБ'!J42</f>
        <v/>
      </c>
      <c r="D26" s="26" t="n"/>
      <c r="E26" s="26">
        <f>C26/$C$40</f>
        <v/>
      </c>
    </row>
    <row r="27">
      <c r="B27" s="24" t="inlineStr">
        <is>
          <t>ИТОГО (СМР + ОБОРУДОВАНИЕ)</t>
        </is>
      </c>
      <c r="C27" s="185">
        <f>'Прил.5 Расчет СМР и ОБ'!J55</f>
        <v/>
      </c>
      <c r="D27" s="26" t="n"/>
      <c r="E27" s="26">
        <f>C27/$C$40</f>
        <v/>
      </c>
      <c r="G27" s="155" t="n"/>
    </row>
    <row r="28" ht="33" customHeight="1" s="232">
      <c r="B28" s="24" t="inlineStr">
        <is>
          <t>ПРОЧ. ЗАТР., УЧТЕННЫЕ ПОКАЗАТЕЛЕМ,  в том числе</t>
        </is>
      </c>
      <c r="C28" s="24" t="n"/>
      <c r="D28" s="24" t="n"/>
      <c r="E28" s="24" t="n"/>
    </row>
    <row r="29" ht="25.5" customHeight="1" s="232">
      <c r="B29" s="24" t="inlineStr">
        <is>
          <t>Временные здания и сооружения - 3,9%</t>
        </is>
      </c>
      <c r="C29" s="185">
        <f>ROUND(C24*3.9%,2)</f>
        <v/>
      </c>
      <c r="D29" s="24" t="n"/>
      <c r="E29" s="26">
        <f>C29/$C$40</f>
        <v/>
      </c>
    </row>
    <row r="30" ht="38.25" customHeight="1" s="232">
      <c r="B30" s="24" t="inlineStr">
        <is>
          <t>Дополнительные затраты при производстве строительно-монтажных работ в зимнее время - 2,1%</t>
        </is>
      </c>
      <c r="C30" s="185">
        <f>ROUND((C24+C29)*2.1%,2)</f>
        <v/>
      </c>
      <c r="D30" s="24" t="n"/>
      <c r="E30" s="26">
        <f>C30/$C$40</f>
        <v/>
      </c>
    </row>
    <row r="31">
      <c r="B31" s="24" t="inlineStr">
        <is>
          <t>Пусконаладочные работы</t>
        </is>
      </c>
      <c r="C31" s="166" t="n">
        <v>0</v>
      </c>
      <c r="D31" s="24" t="n"/>
      <c r="E31" s="26">
        <f>C31/$C$40</f>
        <v/>
      </c>
    </row>
    <row r="32" ht="25.5" customHeight="1" s="232">
      <c r="B32" s="24" t="inlineStr">
        <is>
          <t>Затраты по перевозке работников к месту работы и обратно</t>
        </is>
      </c>
      <c r="C32" s="185" t="n">
        <v>0</v>
      </c>
      <c r="D32" s="24" t="n"/>
      <c r="E32" s="26">
        <f>C32/$C$40</f>
        <v/>
      </c>
    </row>
    <row r="33" ht="25.5" customHeight="1" s="232">
      <c r="B33" s="24" t="inlineStr">
        <is>
          <t>Затраты, связанные с осуществлением работ вахтовым методом</t>
        </is>
      </c>
      <c r="C33" s="185">
        <f>ROUND(C27*0%,2)</f>
        <v/>
      </c>
      <c r="D33" s="24" t="n"/>
      <c r="E33" s="26">
        <f>C33/$C$40</f>
        <v/>
      </c>
    </row>
    <row r="34" ht="51" customHeight="1" s="232">
      <c r="B34" s="24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85" t="n">
        <v>0</v>
      </c>
      <c r="D34" s="24" t="n"/>
      <c r="E34" s="26">
        <f>C34/$C$40</f>
        <v/>
      </c>
    </row>
    <row r="35" ht="76.5" customHeight="1" s="232">
      <c r="B35" s="24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85">
        <f>ROUND(C27*0%,2)</f>
        <v/>
      </c>
      <c r="D35" s="24" t="n"/>
      <c r="E35" s="26">
        <f>C35/$C$40</f>
        <v/>
      </c>
    </row>
    <row r="36" ht="25.5" customHeight="1" s="232">
      <c r="B36" s="24" t="inlineStr">
        <is>
          <t>Строительный контроль и содержание службы заказчика - 2,14%</t>
        </is>
      </c>
      <c r="C36" s="185">
        <f>ROUND((C27+C32+C33+C34+C35+C29+C31+C30)*2.14%,2)</f>
        <v/>
      </c>
      <c r="D36" s="24" t="n"/>
      <c r="E36" s="26">
        <f>C36/$C$40</f>
        <v/>
      </c>
      <c r="G36" s="210" t="n"/>
      <c r="L36" s="155" t="n"/>
    </row>
    <row r="37">
      <c r="B37" s="24" t="inlineStr">
        <is>
          <t>Авторский надзор - 0,2%</t>
        </is>
      </c>
      <c r="C37" s="185">
        <f>ROUND((C27+C32+C33+C34+C35+C29+C31+C30)*0.2%,2)</f>
        <v/>
      </c>
      <c r="D37" s="24" t="n"/>
      <c r="E37" s="26">
        <f>C37/$C$40</f>
        <v/>
      </c>
      <c r="G37" s="211" t="n"/>
      <c r="L37" s="155" t="n"/>
    </row>
    <row r="38" ht="38.25" customHeight="1" s="232">
      <c r="B38" s="24" t="inlineStr">
        <is>
          <t>ИТОГО (СМР+ОБОРУДОВАНИЕ+ПРОЧ. ЗАТР., УЧТЕННЫЕ ПОКАЗАТЕЛЕМ)</t>
        </is>
      </c>
      <c r="C38" s="154">
        <f>C27+C32+C33+C34+C35+C29+C31+C30+C36+C37</f>
        <v/>
      </c>
      <c r="D38" s="24" t="n"/>
      <c r="E38" s="26">
        <f>C38/$C$40</f>
        <v/>
      </c>
    </row>
    <row r="39" ht="13.5" customHeight="1" s="232">
      <c r="B39" s="24" t="inlineStr">
        <is>
          <t>Непредвиденные расходы</t>
        </is>
      </c>
      <c r="C39" s="154">
        <f>ROUND(C38*3%,2)</f>
        <v/>
      </c>
      <c r="D39" s="24" t="n"/>
      <c r="E39" s="26">
        <f>C39/$C$38</f>
        <v/>
      </c>
    </row>
    <row r="40">
      <c r="B40" s="24" t="inlineStr">
        <is>
          <t>ВСЕГО:</t>
        </is>
      </c>
      <c r="C40" s="154">
        <f>C39+C38</f>
        <v/>
      </c>
      <c r="D40" s="24" t="n"/>
      <c r="E40" s="26">
        <f>C40/$C$40</f>
        <v/>
      </c>
    </row>
    <row r="41">
      <c r="B41" s="24" t="inlineStr">
        <is>
          <t>ИТОГО ПОКАЗАТЕЛЬ НА ЕД. ИЗМ.</t>
        </is>
      </c>
      <c r="C41" s="154">
        <f>C40/'Прил.5 Расчет СМР и ОБ'!E56</f>
        <v/>
      </c>
      <c r="D41" s="24" t="n"/>
      <c r="E41" s="24" t="n"/>
    </row>
    <row r="42">
      <c r="B42" s="208" t="n"/>
      <c r="C42" s="228" t="n"/>
      <c r="D42" s="228" t="n"/>
      <c r="E42" s="228" t="n"/>
    </row>
    <row r="43">
      <c r="B43" s="208" t="inlineStr">
        <is>
          <t>Составил ____________________________  Д.А. Самуйленко</t>
        </is>
      </c>
      <c r="C43" s="228" t="n"/>
      <c r="D43" s="228" t="n"/>
      <c r="E43" s="228" t="n"/>
    </row>
    <row r="44">
      <c r="B44" s="208" t="inlineStr">
        <is>
          <t xml:space="preserve">(должность, подпись, инициалы, фамилия) </t>
        </is>
      </c>
      <c r="C44" s="228" t="n"/>
      <c r="D44" s="228" t="n"/>
      <c r="E44" s="228" t="n"/>
    </row>
    <row r="45">
      <c r="B45" s="208" t="n"/>
      <c r="C45" s="228" t="n"/>
      <c r="D45" s="228" t="n"/>
      <c r="E45" s="228" t="n"/>
    </row>
    <row r="46">
      <c r="B46" s="208" t="inlineStr">
        <is>
          <t>Проверил ____________________________ А.В. Костянецкая</t>
        </is>
      </c>
      <c r="C46" s="228" t="n"/>
      <c r="D46" s="228" t="n"/>
      <c r="E46" s="228" t="n"/>
    </row>
    <row r="47">
      <c r="B47" s="283" t="inlineStr">
        <is>
          <t>(должность, подпись, инициалы, фамилия)</t>
        </is>
      </c>
      <c r="D47" s="228" t="n"/>
      <c r="E47" s="228" t="n"/>
    </row>
    <row r="49">
      <c r="B49" s="228" t="n"/>
      <c r="C49" s="228" t="n"/>
      <c r="D49" s="228" t="n"/>
      <c r="E49" s="228" t="n"/>
    </row>
    <row r="50">
      <c r="B50" s="228" t="n"/>
      <c r="C50" s="228" t="n"/>
      <c r="D50" s="228" t="n"/>
      <c r="E50" s="228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88"/>
  <rowBreaks count="1" manualBreakCount="1">
    <brk id="35" min="0" max="4" man="1"/>
  </rowBreaks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62"/>
  <sheetViews>
    <sheetView view="pageBreakPreview" topLeftCell="A22" zoomScale="85" workbookViewId="0">
      <selection activeCell="B49" sqref="B49"/>
    </sheetView>
  </sheetViews>
  <sheetFormatPr baseColWidth="8" defaultColWidth="9.140625" defaultRowHeight="15" outlineLevelRow="1"/>
  <cols>
    <col width="5.7109375" customWidth="1" style="229" min="1" max="1"/>
    <col width="22.5703125" customWidth="1" style="229" min="2" max="2"/>
    <col width="39.140625" customWidth="1" style="229" min="3" max="3"/>
    <col width="13.5703125" customWidth="1" style="229" min="4" max="4"/>
    <col width="12.7109375" customWidth="1" style="229" min="5" max="5"/>
    <col width="14.5703125" customWidth="1" style="229" min="6" max="6"/>
    <col width="15.85546875" customWidth="1" style="229" min="7" max="7"/>
    <col width="12.7109375" customWidth="1" style="229" min="8" max="8"/>
    <col width="15.85546875" customWidth="1" style="229" min="9" max="9"/>
    <col width="17.5703125" customWidth="1" style="229" min="10" max="10"/>
    <col width="10.85546875" customWidth="1" style="229" min="11" max="11"/>
    <col width="13.85546875" customWidth="1" style="229" min="12" max="12"/>
  </cols>
  <sheetData>
    <row r="1">
      <c r="M1" s="229" t="n"/>
      <c r="N1" s="229" t="n"/>
    </row>
    <row r="2" ht="15.75" customHeight="1" s="232">
      <c r="H2" s="284" t="inlineStr">
        <is>
          <t>Приложение №5</t>
        </is>
      </c>
      <c r="M2" s="229" t="n"/>
      <c r="N2" s="229" t="n"/>
    </row>
    <row r="3">
      <c r="M3" s="229" t="n"/>
      <c r="N3" s="229" t="n"/>
    </row>
    <row r="4" ht="12.75" customFormat="1" customHeight="1" s="228">
      <c r="A4" s="259" t="inlineStr">
        <is>
          <t>Расчет стоимости СМР и оборудования</t>
        </is>
      </c>
    </row>
    <row r="5" ht="12.75" customFormat="1" customHeight="1" s="228">
      <c r="A5" s="259" t="n"/>
      <c r="B5" s="259" t="n"/>
      <c r="C5" s="308" t="n"/>
      <c r="D5" s="259" t="n"/>
      <c r="E5" s="259" t="n"/>
      <c r="F5" s="259" t="n"/>
      <c r="G5" s="259" t="n"/>
      <c r="H5" s="259" t="n"/>
      <c r="I5" s="259" t="n"/>
      <c r="J5" s="259" t="n"/>
    </row>
    <row r="6" ht="12.75" customFormat="1" customHeight="1" s="228">
      <c r="A6" s="136" t="inlineStr">
        <is>
          <t>Наименование разрабатываемого показателя УНЦ</t>
        </is>
      </c>
      <c r="B6" s="135" t="n"/>
      <c r="C6" s="135" t="n"/>
      <c r="D6" s="262" t="inlineStr">
        <is>
          <t>Демонтаж КЛ 500кВ сечением до 2500мм2</t>
        </is>
      </c>
    </row>
    <row r="7" ht="12.75" customFormat="1" customHeight="1" s="228">
      <c r="A7" s="262" t="inlineStr">
        <is>
          <t>Единица измерения  — 1 км</t>
        </is>
      </c>
      <c r="I7" s="282" t="n"/>
      <c r="J7" s="282" t="n"/>
    </row>
    <row r="8" ht="13.5" customFormat="1" customHeight="1" s="228">
      <c r="A8" s="262" t="n"/>
    </row>
    <row r="9" ht="27" customHeight="1" s="232">
      <c r="A9" s="287" t="inlineStr">
        <is>
          <t>№ пп.</t>
        </is>
      </c>
      <c r="B9" s="287" t="inlineStr">
        <is>
          <t>Код ресурса</t>
        </is>
      </c>
      <c r="C9" s="287" t="inlineStr">
        <is>
          <t>Наименование</t>
        </is>
      </c>
      <c r="D9" s="287" t="inlineStr">
        <is>
          <t>Ед. изм.</t>
        </is>
      </c>
      <c r="E9" s="287" t="inlineStr">
        <is>
          <t>Кол-во единиц по проектным данным</t>
        </is>
      </c>
      <c r="F9" s="287" t="inlineStr">
        <is>
          <t>Сметная стоимость в ценах на 01.01.2000 (руб.)</t>
        </is>
      </c>
      <c r="G9" s="361" t="n"/>
      <c r="H9" s="287" t="inlineStr">
        <is>
          <t>Удельный вес, %</t>
        </is>
      </c>
      <c r="I9" s="287" t="inlineStr">
        <is>
          <t>Сметная стоимость в ценах на 01.01.2023 (руб.)</t>
        </is>
      </c>
      <c r="J9" s="361" t="n"/>
      <c r="M9" s="229" t="n"/>
      <c r="N9" s="229" t="n"/>
    </row>
    <row r="10" ht="28.5" customHeight="1" s="232">
      <c r="A10" s="363" t="n"/>
      <c r="B10" s="363" t="n"/>
      <c r="C10" s="363" t="n"/>
      <c r="D10" s="363" t="n"/>
      <c r="E10" s="363" t="n"/>
      <c r="F10" s="287" t="inlineStr">
        <is>
          <t>на ед. изм.</t>
        </is>
      </c>
      <c r="G10" s="287" t="inlineStr">
        <is>
          <t>общая</t>
        </is>
      </c>
      <c r="H10" s="363" t="n"/>
      <c r="I10" s="287" t="inlineStr">
        <is>
          <t>на ед. изм.</t>
        </is>
      </c>
      <c r="J10" s="287" t="inlineStr">
        <is>
          <t>общая</t>
        </is>
      </c>
      <c r="M10" s="229" t="n"/>
      <c r="N10" s="229" t="n"/>
    </row>
    <row r="11">
      <c r="A11" s="287" t="n">
        <v>1</v>
      </c>
      <c r="B11" s="287" t="n">
        <v>2</v>
      </c>
      <c r="C11" s="287" t="n">
        <v>3</v>
      </c>
      <c r="D11" s="287" t="n">
        <v>4</v>
      </c>
      <c r="E11" s="287" t="n">
        <v>5</v>
      </c>
      <c r="F11" s="287" t="n">
        <v>6</v>
      </c>
      <c r="G11" s="287" t="n">
        <v>7</v>
      </c>
      <c r="H11" s="287" t="n">
        <v>8</v>
      </c>
      <c r="I11" s="288" t="n">
        <v>9</v>
      </c>
      <c r="J11" s="288" t="n">
        <v>10</v>
      </c>
      <c r="M11" s="229" t="n"/>
      <c r="N11" s="229" t="n"/>
    </row>
    <row r="12">
      <c r="A12" s="287" t="n"/>
      <c r="B12" s="273" t="inlineStr">
        <is>
          <t>Затраты труда рабочих-строителей</t>
        </is>
      </c>
      <c r="C12" s="360" t="n"/>
      <c r="D12" s="360" t="n"/>
      <c r="E12" s="360" t="n"/>
      <c r="F12" s="360" t="n"/>
      <c r="G12" s="360" t="n"/>
      <c r="H12" s="361" t="n"/>
      <c r="I12" s="177" t="n"/>
      <c r="J12" s="177" t="n"/>
    </row>
    <row r="13" ht="25.5" customHeight="1" s="232">
      <c r="A13" s="287" t="n">
        <v>1</v>
      </c>
      <c r="B13" s="212" t="inlineStr">
        <is>
          <t>1-4-0</t>
        </is>
      </c>
      <c r="C13" s="290" t="inlineStr">
        <is>
          <t>Затраты труда рабочих-строителей среднего разряда (4,0)</t>
        </is>
      </c>
      <c r="D13" s="287" t="inlineStr">
        <is>
          <t>чел.-ч.</t>
        </is>
      </c>
      <c r="E13" s="367" t="n">
        <v>1515.8004158004</v>
      </c>
      <c r="F13" s="218" t="n">
        <v>9.619999999999999</v>
      </c>
      <c r="G13" s="218" t="n">
        <v>14582</v>
      </c>
      <c r="H13" s="293">
        <f>G13/G14</f>
        <v/>
      </c>
      <c r="I13" s="218">
        <f>ФОТр.тек.!E13</f>
        <v/>
      </c>
      <c r="J13" s="218">
        <f>ROUND(I13*E13,2)</f>
        <v/>
      </c>
    </row>
    <row r="14" ht="25.5" customFormat="1" customHeight="1" s="229">
      <c r="A14" s="287" t="n"/>
      <c r="B14" s="287" t="n"/>
      <c r="C14" s="273" t="inlineStr">
        <is>
          <t>Итого по разделу "Затраты труда рабочих-строителей"</t>
        </is>
      </c>
      <c r="D14" s="287" t="inlineStr">
        <is>
          <t>чел.-ч.</t>
        </is>
      </c>
      <c r="E14" s="367">
        <f>SUM(E13:E13)</f>
        <v/>
      </c>
      <c r="F14" s="218" t="n"/>
      <c r="G14" s="218">
        <f>SUM(G13:G13)</f>
        <v/>
      </c>
      <c r="H14" s="294" t="n">
        <v>1</v>
      </c>
      <c r="I14" s="177" t="n"/>
      <c r="J14" s="218">
        <f>SUM(J13:J13)</f>
        <v/>
      </c>
    </row>
    <row r="15" ht="38.25" customFormat="1" customHeight="1" s="229">
      <c r="A15" s="287" t="n"/>
      <c r="B15" s="287" t="n"/>
      <c r="C15" s="273" t="inlineStr">
        <is>
          <t>Итого по разделу "Затраты труда рабочих-строителей" 
(с коэффициентом на демонтаж 0,7)</t>
        </is>
      </c>
      <c r="D15" s="287" t="inlineStr">
        <is>
          <t>чел.-ч.</t>
        </is>
      </c>
      <c r="E15" s="291" t="n"/>
      <c r="F15" s="292" t="n"/>
      <c r="G15" s="218">
        <f>SUM(G14)*0.7</f>
        <v/>
      </c>
      <c r="H15" s="294" t="n">
        <v>1</v>
      </c>
      <c r="I15" s="177" t="n"/>
      <c r="J15" s="218">
        <f>SUM(J13)*0.7</f>
        <v/>
      </c>
    </row>
    <row r="16" ht="14.25" customFormat="1" customHeight="1" s="229">
      <c r="A16" s="287" t="n"/>
      <c r="B16" s="290" t="inlineStr">
        <is>
          <t>Затраты труда машинистов</t>
        </is>
      </c>
      <c r="C16" s="360" t="n"/>
      <c r="D16" s="360" t="n"/>
      <c r="E16" s="360" t="n"/>
      <c r="F16" s="360" t="n"/>
      <c r="G16" s="360" t="n"/>
      <c r="H16" s="361" t="n"/>
      <c r="I16" s="177" t="n"/>
      <c r="J16" s="177" t="n"/>
    </row>
    <row r="17" ht="14.25" customFormat="1" customHeight="1" s="229">
      <c r="A17" s="287" t="n">
        <v>2</v>
      </c>
      <c r="B17" s="287" t="n">
        <v>2</v>
      </c>
      <c r="C17" s="290" t="inlineStr">
        <is>
          <t>Затраты труда машинистов</t>
        </is>
      </c>
      <c r="D17" s="287" t="inlineStr">
        <is>
          <t>чел.-ч.</t>
        </is>
      </c>
      <c r="E17" s="367" t="n">
        <v>104.5</v>
      </c>
      <c r="F17" s="218" t="n">
        <v>11.757894736842</v>
      </c>
      <c r="G17" s="218" t="n">
        <v>1228.7</v>
      </c>
      <c r="H17" s="294" t="n">
        <v>1</v>
      </c>
      <c r="I17" s="218">
        <f>ROUND(F17*Прил.10!D11,2)</f>
        <v/>
      </c>
      <c r="J17" s="218">
        <f>ROUND(I17*E17,2)</f>
        <v/>
      </c>
    </row>
    <row r="18" ht="25.5" customFormat="1" customHeight="1" s="229">
      <c r="A18" s="287" t="n"/>
      <c r="B18" s="287" t="n"/>
      <c r="C18" s="186" t="inlineStr">
        <is>
          <t>Затраты труда машинистов 
(с коэффициентом на демонтаж 0,7)</t>
        </is>
      </c>
      <c r="D18" s="180" t="n"/>
      <c r="E18" s="180" t="n"/>
      <c r="F18" s="180" t="n"/>
      <c r="G18" s="185">
        <f>G17*0.7</f>
        <v/>
      </c>
      <c r="H18" s="181">
        <f>H17</f>
        <v/>
      </c>
      <c r="I18" s="182" t="n"/>
      <c r="J18" s="185">
        <f>J17*0.7</f>
        <v/>
      </c>
    </row>
    <row r="19" ht="14.25" customFormat="1" customHeight="1" s="229">
      <c r="A19" s="287" t="n"/>
      <c r="B19" s="273" t="inlineStr">
        <is>
          <t>Машины и механизмы</t>
        </is>
      </c>
      <c r="C19" s="360" t="n"/>
      <c r="D19" s="360" t="n"/>
      <c r="E19" s="360" t="n"/>
      <c r="F19" s="360" t="n"/>
      <c r="G19" s="360" t="n"/>
      <c r="H19" s="361" t="n"/>
      <c r="I19" s="177" t="n"/>
      <c r="J19" s="177" t="n"/>
    </row>
    <row r="20" ht="14.25" customFormat="1" customHeight="1" s="229">
      <c r="A20" s="287" t="n"/>
      <c r="B20" s="290" t="inlineStr">
        <is>
          <t>Основные машины и механизмы</t>
        </is>
      </c>
      <c r="C20" s="360" t="n"/>
      <c r="D20" s="360" t="n"/>
      <c r="E20" s="360" t="n"/>
      <c r="F20" s="360" t="n"/>
      <c r="G20" s="360" t="n"/>
      <c r="H20" s="361" t="n"/>
      <c r="I20" s="177" t="n"/>
      <c r="J20" s="177" t="n"/>
    </row>
    <row r="21" ht="25.5" customFormat="1" customHeight="1" s="229">
      <c r="A21" s="287" t="n">
        <v>3</v>
      </c>
      <c r="B21" s="212" t="inlineStr">
        <is>
          <t>91.05.05-018</t>
        </is>
      </c>
      <c r="C21" s="290" t="inlineStr">
        <is>
          <t>Краны на автомобильном ходу, грузоподъемность 63 т</t>
        </is>
      </c>
      <c r="D21" s="287" t="inlineStr">
        <is>
          <t>маш.час</t>
        </is>
      </c>
      <c r="E21" s="367" t="n">
        <v>19.9</v>
      </c>
      <c r="F21" s="292" t="n">
        <v>823.23</v>
      </c>
      <c r="G21" s="218">
        <f>ROUND(E21*F21,2)</f>
        <v/>
      </c>
      <c r="H21" s="293">
        <f>G21/$G$35</f>
        <v/>
      </c>
      <c r="I21" s="218">
        <f>ROUND(F21*Прил.10!$D$12,2)</f>
        <v/>
      </c>
      <c r="J21" s="218">
        <f>ROUND(I21*E21,2)</f>
        <v/>
      </c>
    </row>
    <row r="22" ht="25.5" customFormat="1" customHeight="1" s="229">
      <c r="A22" s="287" t="n">
        <v>4</v>
      </c>
      <c r="B22" s="212" t="inlineStr">
        <is>
          <t>91.06.03-012</t>
        </is>
      </c>
      <c r="C22" s="290" t="inlineStr">
        <is>
          <t>Лебедки-прицепы гидравлические для протяжки кабеля, тяговое усилие 10 т</t>
        </is>
      </c>
      <c r="D22" s="287" t="inlineStr">
        <is>
          <t>маш.час</t>
        </is>
      </c>
      <c r="E22" s="367" t="n">
        <v>34.5</v>
      </c>
      <c r="F22" s="292" t="n">
        <v>244.95</v>
      </c>
      <c r="G22" s="218">
        <f>ROUND(E22*F22,2)</f>
        <v/>
      </c>
      <c r="H22" s="293">
        <f>G22/$G$35</f>
        <v/>
      </c>
      <c r="I22" s="218">
        <f>ROUND(F22*Прил.10!$D$12,2)</f>
        <v/>
      </c>
      <c r="J22" s="218">
        <f>ROUND(I22*E22,2)</f>
        <v/>
      </c>
    </row>
    <row r="23" ht="14.25" customFormat="1" customHeight="1" s="229">
      <c r="A23" s="287" t="n"/>
      <c r="B23" s="287" t="n"/>
      <c r="C23" s="290" t="inlineStr">
        <is>
          <t>Итого основные машины и механизмы</t>
        </is>
      </c>
      <c r="D23" s="287" t="n"/>
      <c r="E23" s="367" t="n"/>
      <c r="F23" s="218" t="n"/>
      <c r="G23" s="218">
        <f>SUM(G21:G22)</f>
        <v/>
      </c>
      <c r="H23" s="294">
        <f>G23/G35</f>
        <v/>
      </c>
      <c r="I23" s="127" t="n"/>
      <c r="J23" s="218">
        <f>SUM(J21:J22)</f>
        <v/>
      </c>
    </row>
    <row r="24" ht="25.5" customFormat="1" customHeight="1" s="229">
      <c r="A24" s="287" t="n"/>
      <c r="B24" s="287" t="n"/>
      <c r="C24" s="186" t="inlineStr">
        <is>
          <t>Итого основные машины и механизмы 
(с коэффициентом на демонтаж 0,7)</t>
        </is>
      </c>
      <c r="D24" s="287" t="n"/>
      <c r="E24" s="368" t="n"/>
      <c r="F24" s="291" t="n"/>
      <c r="G24" s="218">
        <f>G23*0.7</f>
        <v/>
      </c>
      <c r="H24" s="293">
        <f>G24/G36</f>
        <v/>
      </c>
      <c r="I24" s="218" t="n"/>
      <c r="J24" s="218">
        <f>J23*0.7</f>
        <v/>
      </c>
    </row>
    <row r="25" hidden="1" outlineLevel="1" ht="14.25" customFormat="1" customHeight="1" s="229">
      <c r="A25" s="287" t="n">
        <v>5</v>
      </c>
      <c r="B25" s="212" t="inlineStr">
        <is>
          <t>91.14.04-003</t>
        </is>
      </c>
      <c r="C25" s="290" t="inlineStr">
        <is>
          <t>Тягачи седельные, грузоподъемность 30 т</t>
        </is>
      </c>
      <c r="D25" s="287" t="inlineStr">
        <is>
          <t>маш.час</t>
        </is>
      </c>
      <c r="E25" s="367" t="n">
        <v>16.7</v>
      </c>
      <c r="F25" s="292" t="n">
        <v>120.31</v>
      </c>
      <c r="G25" s="218">
        <f>ROUND(E25*F25,2)</f>
        <v/>
      </c>
      <c r="H25" s="293">
        <f>G25/$G$35</f>
        <v/>
      </c>
      <c r="I25" s="218">
        <f>ROUND(F25*Прил.10!$D$12,2)</f>
        <v/>
      </c>
      <c r="J25" s="218">
        <f>ROUND(I25*E25,2)</f>
        <v/>
      </c>
    </row>
    <row r="26" hidden="1" outlineLevel="1" ht="25.5" customFormat="1" customHeight="1" s="229">
      <c r="A26" s="287" t="n">
        <v>6</v>
      </c>
      <c r="B26" s="212" t="inlineStr">
        <is>
          <t>91.05.13-001</t>
        </is>
      </c>
      <c r="C26" s="290" t="inlineStr">
        <is>
          <t>Автомобили бортовые, грузоподъемность до 6 т, с краном-манипулятором-4,0 т</t>
        </is>
      </c>
      <c r="D26" s="287" t="inlineStr">
        <is>
          <t>маш.час</t>
        </is>
      </c>
      <c r="E26" s="367" t="n">
        <v>2.2</v>
      </c>
      <c r="F26" s="292" t="n">
        <v>288.03</v>
      </c>
      <c r="G26" s="218">
        <f>ROUND(E26*F26,2)</f>
        <v/>
      </c>
      <c r="H26" s="293">
        <f>G26/$G$35</f>
        <v/>
      </c>
      <c r="I26" s="218">
        <f>ROUND(F26*Прил.10!$D$12,2)</f>
        <v/>
      </c>
      <c r="J26" s="218">
        <f>ROUND(I26*E26,2)</f>
        <v/>
      </c>
    </row>
    <row r="27" hidden="1" outlineLevel="1" ht="25.5" customFormat="1" customHeight="1" s="229">
      <c r="A27" s="287" t="n">
        <v>7</v>
      </c>
      <c r="B27" s="212" t="inlineStr">
        <is>
          <t>91.11.01-021</t>
        </is>
      </c>
      <c r="C27" s="290" t="inlineStr">
        <is>
          <t>Устройства подталкивающие для протяжки кабеля, тяговое усилие 800 кг</t>
        </is>
      </c>
      <c r="D27" s="287" t="inlineStr">
        <is>
          <t>маш.час</t>
        </is>
      </c>
      <c r="E27" s="367" t="n">
        <v>24.6</v>
      </c>
      <c r="F27" s="292" t="n">
        <v>25.37</v>
      </c>
      <c r="G27" s="218">
        <f>ROUND(E27*F27,2)</f>
        <v/>
      </c>
      <c r="H27" s="293">
        <f>G27/$G$35</f>
        <v/>
      </c>
      <c r="I27" s="218">
        <f>ROUND(F27*Прил.10!$D$12,2)</f>
        <v/>
      </c>
      <c r="J27" s="218">
        <f>ROUND(I27*E27,2)</f>
        <v/>
      </c>
    </row>
    <row r="28" hidden="1" outlineLevel="1" ht="25.5" customFormat="1" customHeight="1" s="229">
      <c r="A28" s="287" t="n">
        <v>8</v>
      </c>
      <c r="B28" s="212" t="inlineStr">
        <is>
          <t>91.14.05-002</t>
        </is>
      </c>
      <c r="C28" s="290" t="inlineStr">
        <is>
          <t>Полуприцепы-тяжеловозы, грузоподъемность 40 т</t>
        </is>
      </c>
      <c r="D28" s="287" t="inlineStr">
        <is>
          <t>маш.час</t>
        </is>
      </c>
      <c r="E28" s="367" t="n">
        <v>16.7</v>
      </c>
      <c r="F28" s="292" t="n">
        <v>28.65</v>
      </c>
      <c r="G28" s="218">
        <f>ROUND(E28*F28,2)</f>
        <v/>
      </c>
      <c r="H28" s="293">
        <f>G28/$G$35</f>
        <v/>
      </c>
      <c r="I28" s="218">
        <f>ROUND(F28*Прил.10!$D$12,2)</f>
        <v/>
      </c>
      <c r="J28" s="218">
        <f>ROUND(I28*E28,2)</f>
        <v/>
      </c>
    </row>
    <row r="29" hidden="1" outlineLevel="1" ht="25.5" customFormat="1" customHeight="1" s="229">
      <c r="A29" s="287" t="n">
        <v>9</v>
      </c>
      <c r="B29" s="212" t="inlineStr">
        <is>
          <t>91.16.01-002</t>
        </is>
      </c>
      <c r="C29" s="290" t="inlineStr">
        <is>
          <t>Электростанции передвижные, мощность 4 кВт</t>
        </is>
      </c>
      <c r="D29" s="287" t="inlineStr">
        <is>
          <t>маш.час</t>
        </is>
      </c>
      <c r="E29" s="367" t="n">
        <v>11.3</v>
      </c>
      <c r="F29" s="292" t="n">
        <v>27.11</v>
      </c>
      <c r="G29" s="218">
        <f>ROUND(E29*F29,2)</f>
        <v/>
      </c>
      <c r="H29" s="293">
        <f>G29/$G$35</f>
        <v/>
      </c>
      <c r="I29" s="218">
        <f>ROUND(F29*Прил.10!$D$12,2)</f>
        <v/>
      </c>
      <c r="J29" s="218">
        <f>ROUND(I29*E29,2)</f>
        <v/>
      </c>
    </row>
    <row r="30" hidden="1" outlineLevel="1" ht="14.25" customFormat="1" customHeight="1" s="229">
      <c r="A30" s="287" t="n">
        <v>10</v>
      </c>
      <c r="B30" s="212" t="inlineStr">
        <is>
          <t>91.17.04-091</t>
        </is>
      </c>
      <c r="C30" s="290" t="inlineStr">
        <is>
          <t>Горелки газовые инжекторные</t>
        </is>
      </c>
      <c r="D30" s="287" t="inlineStr">
        <is>
          <t>маш.час</t>
        </is>
      </c>
      <c r="E30" s="367" t="n">
        <v>11.3</v>
      </c>
      <c r="F30" s="292" t="n">
        <v>13.5</v>
      </c>
      <c r="G30" s="218">
        <f>ROUND(E30*F30,2)</f>
        <v/>
      </c>
      <c r="H30" s="293">
        <f>G30/$G$35</f>
        <v/>
      </c>
      <c r="I30" s="218">
        <f>ROUND(F30*Прил.10!$D$12,2)</f>
        <v/>
      </c>
      <c r="J30" s="218">
        <f>ROUND(I30*E30,2)</f>
        <v/>
      </c>
    </row>
    <row r="31" hidden="1" outlineLevel="1" ht="14.25" customFormat="1" customHeight="1" s="229">
      <c r="A31" s="287" t="n">
        <v>11</v>
      </c>
      <c r="B31" s="212" t="inlineStr">
        <is>
          <t>91.21.15-022</t>
        </is>
      </c>
      <c r="C31" s="290" t="inlineStr">
        <is>
          <t>Пилы ленточные с поворотной пилорамой</t>
        </is>
      </c>
      <c r="D31" s="287" t="inlineStr">
        <is>
          <t>маш.час</t>
        </is>
      </c>
      <c r="E31" s="367" t="n">
        <v>11.3</v>
      </c>
      <c r="F31" s="292" t="n">
        <v>3.31</v>
      </c>
      <c r="G31" s="218">
        <f>ROUND(E31*F31,2)</f>
        <v/>
      </c>
      <c r="H31" s="293">
        <f>G31/$G$35</f>
        <v/>
      </c>
      <c r="I31" s="218">
        <f>ROUND(F31*Прил.10!$D$12,2)</f>
        <v/>
      </c>
      <c r="J31" s="218">
        <f>ROUND(I31*E31,2)</f>
        <v/>
      </c>
    </row>
    <row r="32" hidden="1" outlineLevel="1" ht="25.5" customFormat="1" customHeight="1" s="229">
      <c r="A32" s="287" t="n">
        <v>12</v>
      </c>
      <c r="B32" s="212" t="inlineStr">
        <is>
          <t>91.06.01-002</t>
        </is>
      </c>
      <c r="C32" s="290" t="inlineStr">
        <is>
          <t>Домкраты гидравлические, грузоподъемность 6,3-25 т</t>
        </is>
      </c>
      <c r="D32" s="287" t="inlineStr">
        <is>
          <t>маш.час</t>
        </is>
      </c>
      <c r="E32" s="367" t="n">
        <v>57.3</v>
      </c>
      <c r="F32" s="292" t="n">
        <v>0.48</v>
      </c>
      <c r="G32" s="218">
        <f>ROUND(E32*F32,2)</f>
        <v/>
      </c>
      <c r="H32" s="293">
        <f>G32/$G$35</f>
        <v/>
      </c>
      <c r="I32" s="218">
        <f>ROUND(F32*Прил.10!$D$12,2)</f>
        <v/>
      </c>
      <c r="J32" s="218">
        <f>ROUND(I32*E32,2)</f>
        <v/>
      </c>
    </row>
    <row r="33" collapsed="1" ht="14.25" customFormat="1" customHeight="1" s="229">
      <c r="A33" s="287" t="n"/>
      <c r="B33" s="287" t="n"/>
      <c r="C33" s="290" t="inlineStr">
        <is>
          <t>Итого прочие машины и механизмы</t>
        </is>
      </c>
      <c r="D33" s="287" t="n"/>
      <c r="E33" s="291" t="n"/>
      <c r="F33" s="218" t="n"/>
      <c r="G33" s="127">
        <f>SUM(G25:G32)</f>
        <v/>
      </c>
      <c r="H33" s="293">
        <f>G33/G35</f>
        <v/>
      </c>
      <c r="I33" s="218" t="n"/>
      <c r="J33" s="127">
        <f>SUM(J25:J32)</f>
        <v/>
      </c>
    </row>
    <row r="34" ht="25.5" customFormat="1" customHeight="1" s="229">
      <c r="A34" s="287" t="n"/>
      <c r="B34" s="287" t="n"/>
      <c r="C34" s="186" t="inlineStr">
        <is>
          <t>Итого прочие машины и механизмы 
(с коэффициентом на демонтаж 0,7)</t>
        </is>
      </c>
      <c r="D34" s="287" t="n"/>
      <c r="E34" s="291" t="n"/>
      <c r="F34" s="218" t="n"/>
      <c r="G34" s="218">
        <f>G33*0.7</f>
        <v/>
      </c>
      <c r="H34" s="293">
        <f>G34/G36</f>
        <v/>
      </c>
      <c r="I34" s="218" t="n"/>
      <c r="J34" s="218">
        <f>J33*0.7</f>
        <v/>
      </c>
    </row>
    <row r="35" ht="25.5" customFormat="1" customHeight="1" s="229">
      <c r="A35" s="287" t="n"/>
      <c r="B35" s="287" t="n"/>
      <c r="C35" s="273" t="inlineStr">
        <is>
          <t>Итого по разделу «Машины и механизмы»</t>
        </is>
      </c>
      <c r="D35" s="287" t="n"/>
      <c r="E35" s="291" t="n"/>
      <c r="F35" s="218" t="n"/>
      <c r="G35" s="218">
        <f>G33+G23</f>
        <v/>
      </c>
      <c r="H35" s="198" t="n">
        <v>1</v>
      </c>
      <c r="I35" s="199" t="n"/>
      <c r="J35" s="197">
        <f>J33+J23</f>
        <v/>
      </c>
    </row>
    <row r="36" ht="38.25" customFormat="1" customHeight="1" s="229">
      <c r="A36" s="287" t="n"/>
      <c r="B36" s="287" t="n"/>
      <c r="C36" s="194" t="inlineStr">
        <is>
          <t>Итого по разделу «Машины и механизмы»  
(с коэффициентом на демонтаж 0,7)</t>
        </is>
      </c>
      <c r="D36" s="289" t="n"/>
      <c r="E36" s="196" t="n"/>
      <c r="F36" s="197" t="n"/>
      <c r="G36" s="197">
        <f>G24+G34</f>
        <v/>
      </c>
      <c r="H36" s="198" t="n">
        <v>1</v>
      </c>
      <c r="I36" s="199" t="n"/>
      <c r="J36" s="197">
        <f>J24+J34</f>
        <v/>
      </c>
    </row>
    <row r="37" ht="14.25" customFormat="1" customHeight="1" s="229">
      <c r="A37" s="287" t="n"/>
      <c r="B37" s="273" t="inlineStr">
        <is>
          <t>Оборудование</t>
        </is>
      </c>
      <c r="C37" s="360" t="n"/>
      <c r="D37" s="360" t="n"/>
      <c r="E37" s="360" t="n"/>
      <c r="F37" s="360" t="n"/>
      <c r="G37" s="360" t="n"/>
      <c r="H37" s="361" t="n"/>
      <c r="I37" s="177" t="n"/>
      <c r="J37" s="177" t="n"/>
    </row>
    <row r="38">
      <c r="A38" s="287" t="n"/>
      <c r="B38" s="290" t="inlineStr">
        <is>
          <t>Основное оборудование</t>
        </is>
      </c>
      <c r="C38" s="360" t="n"/>
      <c r="D38" s="360" t="n"/>
      <c r="E38" s="360" t="n"/>
      <c r="F38" s="360" t="n"/>
      <c r="G38" s="360" t="n"/>
      <c r="H38" s="361" t="n"/>
      <c r="I38" s="177" t="n"/>
      <c r="J38" s="177" t="n"/>
    </row>
    <row r="39">
      <c r="A39" s="287" t="n"/>
      <c r="B39" s="167" t="n"/>
      <c r="C39" s="168" t="inlineStr">
        <is>
          <t>Итого основное оборудование</t>
        </is>
      </c>
      <c r="D39" s="287" t="n"/>
      <c r="E39" s="367" t="n"/>
      <c r="F39" s="292" t="n"/>
      <c r="G39" s="218" t="n">
        <v>0</v>
      </c>
      <c r="H39" s="294" t="n">
        <v>0</v>
      </c>
      <c r="I39" s="127" t="n"/>
      <c r="J39" s="218" t="n">
        <v>0</v>
      </c>
    </row>
    <row r="40">
      <c r="A40" s="287" t="n"/>
      <c r="B40" s="287" t="n"/>
      <c r="C40" s="290" t="inlineStr">
        <is>
          <t>Итого прочее оборудование</t>
        </is>
      </c>
      <c r="D40" s="287" t="n"/>
      <c r="E40" s="367" t="n"/>
      <c r="F40" s="292" t="n"/>
      <c r="G40" s="218" t="n">
        <v>0</v>
      </c>
      <c r="H40" s="293" t="n">
        <v>0</v>
      </c>
      <c r="I40" s="127" t="n"/>
      <c r="J40" s="218" t="n">
        <v>0</v>
      </c>
    </row>
    <row r="41">
      <c r="A41" s="287" t="n"/>
      <c r="B41" s="287" t="n"/>
      <c r="C41" s="273" t="inlineStr">
        <is>
          <t>Итого по разделу «Оборудование»</t>
        </is>
      </c>
      <c r="D41" s="287" t="n"/>
      <c r="E41" s="291" t="n"/>
      <c r="F41" s="292" t="n"/>
      <c r="G41" s="218">
        <f>G40+G39</f>
        <v/>
      </c>
      <c r="H41" s="294">
        <f>H40+H39</f>
        <v/>
      </c>
      <c r="I41" s="127" t="n"/>
      <c r="J41" s="218">
        <f>J40+J39</f>
        <v/>
      </c>
    </row>
    <row r="42" ht="25.5" customHeight="1" s="232">
      <c r="A42" s="287" t="n"/>
      <c r="B42" s="287" t="n"/>
      <c r="C42" s="290" t="inlineStr">
        <is>
          <t>в том числе технологическое оборудование</t>
        </is>
      </c>
      <c r="D42" s="287" t="n"/>
      <c r="E42" s="368" t="n"/>
      <c r="F42" s="292" t="n"/>
      <c r="G42" s="218" t="n">
        <v>0</v>
      </c>
      <c r="H42" s="294" t="n"/>
      <c r="I42" s="127" t="n"/>
      <c r="J42" s="218">
        <f>J41</f>
        <v/>
      </c>
    </row>
    <row r="43" ht="14.25" customFormat="1" customHeight="1" s="229">
      <c r="A43" s="287" t="n"/>
      <c r="B43" s="273" t="inlineStr">
        <is>
          <t>Материалы</t>
        </is>
      </c>
      <c r="C43" s="360" t="n"/>
      <c r="D43" s="360" t="n"/>
      <c r="E43" s="360" t="n"/>
      <c r="F43" s="360" t="n"/>
      <c r="G43" s="360" t="n"/>
      <c r="H43" s="361" t="n"/>
      <c r="I43" s="201" t="n"/>
      <c r="J43" s="201" t="n"/>
    </row>
    <row r="44" ht="14.25" customFormat="1" customHeight="1" s="229">
      <c r="A44" s="287" t="n"/>
      <c r="B44" s="290" t="inlineStr">
        <is>
          <t>Основные материалы</t>
        </is>
      </c>
      <c r="C44" s="360" t="n"/>
      <c r="D44" s="360" t="n"/>
      <c r="E44" s="360" t="n"/>
      <c r="F44" s="360" t="n"/>
      <c r="G44" s="360" t="n"/>
      <c r="H44" s="361" t="n"/>
      <c r="I44" s="201" t="n"/>
      <c r="J44" s="201" t="n"/>
    </row>
    <row r="45" ht="14.25" customFormat="1" customHeight="1" s="229">
      <c r="A45" s="287" t="n"/>
      <c r="B45" s="212" t="n"/>
      <c r="C45" s="290" t="inlineStr">
        <is>
          <t>Итого основные материалы</t>
        </is>
      </c>
      <c r="D45" s="287" t="n"/>
      <c r="E45" s="367" t="n"/>
      <c r="F45" s="218" t="n"/>
      <c r="G45" s="218" t="n">
        <v>0</v>
      </c>
      <c r="H45" s="293" t="n">
        <v>0</v>
      </c>
      <c r="I45" s="218" t="n"/>
      <c r="J45" s="218" t="n">
        <v>0</v>
      </c>
    </row>
    <row r="46" ht="14.25" customFormat="1" customHeight="1" s="229">
      <c r="A46" s="287" t="n"/>
      <c r="B46" s="287" t="n"/>
      <c r="C46" s="290" t="inlineStr">
        <is>
          <t>Итого прочие материалы</t>
        </is>
      </c>
      <c r="D46" s="287" t="n"/>
      <c r="E46" s="291" t="n"/>
      <c r="F46" s="292" t="n"/>
      <c r="G46" s="218" t="n">
        <v>0</v>
      </c>
      <c r="H46" s="293" t="n">
        <v>0</v>
      </c>
      <c r="I46" s="218" t="n"/>
      <c r="J46" s="218" t="n">
        <v>0</v>
      </c>
    </row>
    <row r="47" ht="14.25" customFormat="1" customHeight="1" s="229">
      <c r="A47" s="287" t="n"/>
      <c r="B47" s="287" t="n"/>
      <c r="C47" s="273" t="inlineStr">
        <is>
          <t>Итого по разделу «Материалы»</t>
        </is>
      </c>
      <c r="D47" s="287" t="n"/>
      <c r="E47" s="291" t="n"/>
      <c r="F47" s="292" t="n"/>
      <c r="G47" s="218">
        <f>G45+G46</f>
        <v/>
      </c>
      <c r="H47" s="293" t="n">
        <v>0</v>
      </c>
      <c r="I47" s="218" t="n"/>
      <c r="J47" s="218">
        <f>J45+J46</f>
        <v/>
      </c>
    </row>
    <row r="48" ht="14.25" customFormat="1" customHeight="1" s="229">
      <c r="A48" s="287" t="n"/>
      <c r="B48" s="287" t="n"/>
      <c r="C48" s="290" t="inlineStr">
        <is>
          <t>ИТОГО ПО РМ</t>
        </is>
      </c>
      <c r="D48" s="287" t="n"/>
      <c r="E48" s="291" t="n"/>
      <c r="F48" s="292" t="n"/>
      <c r="G48" s="218">
        <f>G14+G35</f>
        <v/>
      </c>
      <c r="H48" s="293" t="n"/>
      <c r="I48" s="218" t="n"/>
      <c r="J48" s="218">
        <f>J14+J35+J47</f>
        <v/>
      </c>
    </row>
    <row r="49" ht="25.5" customFormat="1" customHeight="1" s="229">
      <c r="A49" s="287" t="n"/>
      <c r="B49" s="287" t="n"/>
      <c r="C49" s="290" t="inlineStr">
        <is>
          <t>ИТОГО ПО РМ
(с коэффициентом на демонтаж 0,7)</t>
        </is>
      </c>
      <c r="D49" s="287" t="n"/>
      <c r="E49" s="291" t="n"/>
      <c r="F49" s="292" t="n"/>
      <c r="G49" s="218">
        <f>G15+G36</f>
        <v/>
      </c>
      <c r="H49" s="293" t="n"/>
      <c r="I49" s="218" t="n"/>
      <c r="J49" s="218">
        <f>J14*0.7+J35*0.7+J47</f>
        <v/>
      </c>
    </row>
    <row r="50" ht="14.25" customFormat="1" customHeight="1" s="229">
      <c r="A50" s="287" t="n"/>
      <c r="B50" s="287" t="n"/>
      <c r="C50" s="290" t="inlineStr">
        <is>
          <t>Накладные расходы</t>
        </is>
      </c>
      <c r="D50" s="133">
        <f>ROUND(G50/(G$17+$G$14),2)</f>
        <v/>
      </c>
      <c r="E50" s="291" t="n"/>
      <c r="F50" s="292" t="n"/>
      <c r="G50" s="218" t="n">
        <v>15336.38</v>
      </c>
      <c r="H50" s="294" t="n"/>
      <c r="I50" s="218" t="n"/>
      <c r="J50" s="218">
        <f>ROUND(D50*(J14+J17),2)</f>
        <v/>
      </c>
    </row>
    <row r="51" ht="25.5" customFormat="1" customHeight="1" s="229">
      <c r="A51" s="287" t="n"/>
      <c r="B51" s="287" t="n"/>
      <c r="C51" s="290" t="inlineStr">
        <is>
          <t>Накладные расходы 
(с коэффициентом на демонтаж 0,7)</t>
        </is>
      </c>
      <c r="D51" s="200">
        <f>ROUND(G51/(G$18+$G$15),2)</f>
        <v/>
      </c>
      <c r="E51" s="291" t="n"/>
      <c r="F51" s="292" t="n"/>
      <c r="G51" s="218">
        <f>G50*0.7</f>
        <v/>
      </c>
      <c r="H51" s="294" t="n"/>
      <c r="I51" s="218" t="n"/>
      <c r="J51" s="218">
        <f>ROUND(D51*(J15+J18),2)</f>
        <v/>
      </c>
    </row>
    <row r="52" ht="14.25" customFormat="1" customHeight="1" s="229">
      <c r="A52" s="287" t="n"/>
      <c r="B52" s="287" t="n"/>
      <c r="C52" s="290" t="inlineStr">
        <is>
          <t>Сметная прибыль</t>
        </is>
      </c>
      <c r="D52" s="133">
        <f>ROUND(G52/(G$14+G$17),2)</f>
        <v/>
      </c>
      <c r="E52" s="291" t="n"/>
      <c r="F52" s="292" t="n"/>
      <c r="G52" s="218" t="n">
        <v>8063.46</v>
      </c>
      <c r="H52" s="294" t="n"/>
      <c r="I52" s="218" t="n"/>
      <c r="J52" s="218">
        <f>ROUND(D52*(J14+J17),2)</f>
        <v/>
      </c>
    </row>
    <row r="53" ht="25.5" customFormat="1" customHeight="1" s="229">
      <c r="A53" s="287" t="n"/>
      <c r="B53" s="287" t="n"/>
      <c r="C53" s="290" t="inlineStr">
        <is>
          <t>Сметная прибыль 
(с коэффициентом на демонтаж 0,7)</t>
        </is>
      </c>
      <c r="D53" s="200">
        <f>ROUND(G53/(G$15+G$18),2)</f>
        <v/>
      </c>
      <c r="E53" s="291" t="n"/>
      <c r="F53" s="292" t="n"/>
      <c r="G53" s="218">
        <f>G52*0.7</f>
        <v/>
      </c>
      <c r="H53" s="294" t="n"/>
      <c r="I53" s="218" t="n"/>
      <c r="J53" s="218">
        <f>ROUND(D53*(J15+J18),2)</f>
        <v/>
      </c>
    </row>
    <row r="54" ht="25.5" customFormat="1" customHeight="1" s="229">
      <c r="A54" s="287" t="n"/>
      <c r="B54" s="287" t="n"/>
      <c r="C54" s="290" t="inlineStr">
        <is>
          <t>Итого СМР (с НР и СП) 
(с коэффициентом на демонтаж 0,7)</t>
        </is>
      </c>
      <c r="D54" s="287" t="n"/>
      <c r="E54" s="291" t="n"/>
      <c r="F54" s="292" t="n"/>
      <c r="G54" s="218">
        <f>G49+G51+G53</f>
        <v/>
      </c>
      <c r="H54" s="294" t="n"/>
      <c r="I54" s="218" t="n"/>
      <c r="J54" s="218">
        <f>ROUND((J49+J51+J53),2)</f>
        <v/>
      </c>
    </row>
    <row r="55" ht="25.5" customFormat="1" customHeight="1" s="229">
      <c r="A55" s="287" t="n"/>
      <c r="B55" s="287" t="n"/>
      <c r="C55" s="290" t="inlineStr">
        <is>
          <t>ВСЕГО СМР + ОБОРУДОВАНИЕ 
(с коэффициентом на демонтаж 0,7)</t>
        </is>
      </c>
      <c r="D55" s="287" t="n"/>
      <c r="E55" s="291" t="n"/>
      <c r="F55" s="292" t="n"/>
      <c r="G55" s="218">
        <f>G54</f>
        <v/>
      </c>
      <c r="H55" s="294" t="n"/>
      <c r="I55" s="218" t="n"/>
      <c r="J55" s="218">
        <f>J54</f>
        <v/>
      </c>
    </row>
    <row r="56" ht="34.5" customFormat="1" customHeight="1" s="229">
      <c r="A56" s="287" t="n"/>
      <c r="B56" s="287" t="n"/>
      <c r="C56" s="290" t="inlineStr">
        <is>
          <t>ИТОГО ПОКАЗАТЕЛЬ НА ЕД. ИЗМ.</t>
        </is>
      </c>
      <c r="D56" s="287" t="inlineStr">
        <is>
          <t>1 км</t>
        </is>
      </c>
      <c r="E56" s="291" t="n">
        <v>1</v>
      </c>
      <c r="F56" s="292" t="n"/>
      <c r="G56" s="218">
        <f>G55/E56</f>
        <v/>
      </c>
      <c r="H56" s="294" t="n"/>
      <c r="I56" s="218" t="n"/>
      <c r="J56" s="197">
        <f>J55/E56</f>
        <v/>
      </c>
    </row>
    <row r="58" ht="14.25" customFormat="1" customHeight="1" s="229">
      <c r="A58" s="228" t="inlineStr">
        <is>
          <t>Составил ______________________     Д.А. Самуйленко</t>
        </is>
      </c>
    </row>
    <row r="59" ht="14.25" customFormat="1" customHeight="1" s="229">
      <c r="A59" s="231" t="inlineStr">
        <is>
          <t xml:space="preserve">                         (подпись, инициалы, фамилия)</t>
        </is>
      </c>
    </row>
    <row r="60" ht="14.25" customFormat="1" customHeight="1" s="229">
      <c r="A60" s="228" t="n"/>
    </row>
    <row r="61" ht="14.25" customFormat="1" customHeight="1" s="229">
      <c r="A61" s="228" t="inlineStr">
        <is>
          <t>Проверил ______________________        А.В. Костянецкая</t>
        </is>
      </c>
    </row>
    <row r="62" ht="14.25" customFormat="1" customHeight="1" s="229">
      <c r="A62" s="231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H2:J2"/>
    <mergeCell ref="B20:H20"/>
    <mergeCell ref="C9:C10"/>
    <mergeCell ref="E9:E10"/>
    <mergeCell ref="A7:H7"/>
    <mergeCell ref="B16:H16"/>
    <mergeCell ref="B9:B10"/>
    <mergeCell ref="D9:D10"/>
    <mergeCell ref="B43:H43"/>
    <mergeCell ref="B12:H12"/>
    <mergeCell ref="D6:J6"/>
    <mergeCell ref="A8:H8"/>
    <mergeCell ref="F9:G9"/>
    <mergeCell ref="A9:A10"/>
    <mergeCell ref="B44:H44"/>
    <mergeCell ref="B38:H38"/>
    <mergeCell ref="B19:H19"/>
    <mergeCell ref="B37:H37"/>
    <mergeCell ref="I9:J9"/>
  </mergeCells>
  <pageMargins left="0.62992125984252" right="0.23622047244094" top="0.74803149606299" bottom="0.74803149606299" header="0.31496062992126" footer="0.31496062992126"/>
  <pageSetup orientation="portrait" paperSize="9" scale="55" fitToHeight="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19"/>
  <sheetViews>
    <sheetView view="pageBreakPreview" workbookViewId="0">
      <selection activeCell="B15" sqref="B15"/>
    </sheetView>
  </sheetViews>
  <sheetFormatPr baseColWidth="8" defaultRowHeight="15"/>
  <cols>
    <col width="5.7109375" customWidth="1" style="232" min="1" max="1"/>
    <col width="17.5703125" customWidth="1" style="232" min="2" max="2"/>
    <col width="39.140625" customWidth="1" style="232" min="3" max="3"/>
    <col width="10.7109375" customWidth="1" style="307" min="4" max="4"/>
    <col width="13.85546875" customWidth="1" style="232" min="5" max="5"/>
    <col width="13.28515625" customWidth="1" style="232" min="6" max="6"/>
    <col width="14.140625" customWidth="1" style="232" min="7" max="7"/>
  </cols>
  <sheetData>
    <row r="1">
      <c r="A1" s="300" t="inlineStr">
        <is>
          <t>Приложение №6</t>
        </is>
      </c>
    </row>
    <row r="2" ht="21.75" customHeight="1" s="232">
      <c r="A2" s="300" t="n"/>
      <c r="B2" s="300" t="n"/>
      <c r="C2" s="300" t="n"/>
      <c r="D2" s="309" t="n"/>
      <c r="E2" s="300" t="n"/>
      <c r="F2" s="300" t="n"/>
      <c r="G2" s="300" t="n"/>
    </row>
    <row r="3">
      <c r="A3" s="259" t="inlineStr">
        <is>
          <t>Расчет стоимости оборудования</t>
        </is>
      </c>
    </row>
    <row r="4" ht="25.5" customHeight="1" s="232">
      <c r="A4" s="262" t="inlineStr">
        <is>
          <t>Наименование разрабатываемого показателя УНЦ — Демонтаж КЛ 500кВ сечением до 2500мм2</t>
        </is>
      </c>
    </row>
    <row r="5">
      <c r="A5" s="228" t="n"/>
      <c r="B5" s="228" t="n"/>
      <c r="C5" s="228" t="n"/>
      <c r="D5" s="309" t="n"/>
      <c r="E5" s="228" t="n"/>
      <c r="F5" s="228" t="n"/>
      <c r="G5" s="228" t="n"/>
    </row>
    <row r="6" ht="30" customHeight="1" s="232">
      <c r="A6" s="305" t="inlineStr">
        <is>
          <t>№ пп.</t>
        </is>
      </c>
      <c r="B6" s="305" t="inlineStr">
        <is>
          <t>Код ресурса</t>
        </is>
      </c>
      <c r="C6" s="305" t="inlineStr">
        <is>
          <t>Наименование</t>
        </is>
      </c>
      <c r="D6" s="305" t="inlineStr">
        <is>
          <t>Ед. изм.</t>
        </is>
      </c>
      <c r="E6" s="287" t="inlineStr">
        <is>
          <t>Кол-во единиц по проектным данным</t>
        </is>
      </c>
      <c r="F6" s="305" t="inlineStr">
        <is>
          <t>Сметная стоимость в ценах на 01.01.2000 (руб.)</t>
        </is>
      </c>
      <c r="G6" s="361" t="n"/>
    </row>
    <row r="7">
      <c r="A7" s="363" t="n"/>
      <c r="B7" s="363" t="n"/>
      <c r="C7" s="363" t="n"/>
      <c r="D7" s="363" t="n"/>
      <c r="E7" s="363" t="n"/>
      <c r="F7" s="287" t="inlineStr">
        <is>
          <t>на ед. изм.</t>
        </is>
      </c>
      <c r="G7" s="287" t="inlineStr">
        <is>
          <t>общая</t>
        </is>
      </c>
    </row>
    <row r="8">
      <c r="A8" s="287" t="n">
        <v>1</v>
      </c>
      <c r="B8" s="287" t="n">
        <v>2</v>
      </c>
      <c r="C8" s="287" t="n">
        <v>3</v>
      </c>
      <c r="D8" s="287" t="n">
        <v>4</v>
      </c>
      <c r="E8" s="287" t="n">
        <v>5</v>
      </c>
      <c r="F8" s="287" t="n">
        <v>6</v>
      </c>
      <c r="G8" s="287" t="n">
        <v>7</v>
      </c>
    </row>
    <row r="9" ht="15" customHeight="1" s="232">
      <c r="A9" s="24" t="n"/>
      <c r="B9" s="290" t="inlineStr">
        <is>
          <t>ИНЖЕНЕРНОЕ ОБОРУДОВАНИЕ</t>
        </is>
      </c>
      <c r="C9" s="360" t="n"/>
      <c r="D9" s="360" t="n"/>
      <c r="E9" s="360" t="n"/>
      <c r="F9" s="360" t="n"/>
      <c r="G9" s="361" t="n"/>
    </row>
    <row r="10" ht="27" customHeight="1" s="232">
      <c r="A10" s="287" t="n"/>
      <c r="B10" s="273" t="n"/>
      <c r="C10" s="290" t="inlineStr">
        <is>
          <t>ИТОГО ИНЖЕНЕРНОЕ ОБОРУДОВАНИЕ</t>
        </is>
      </c>
      <c r="D10" s="295" t="n"/>
      <c r="E10" s="103" t="n"/>
      <c r="F10" s="292" t="n"/>
      <c r="G10" s="292" t="n">
        <v>0</v>
      </c>
    </row>
    <row r="11">
      <c r="A11" s="287" t="n"/>
      <c r="B11" s="290" t="inlineStr">
        <is>
          <t>ТЕХНОЛОГИЧЕСКОЕ ОБОРУДОВАНИЕ</t>
        </is>
      </c>
      <c r="C11" s="360" t="n"/>
      <c r="D11" s="360" t="n"/>
      <c r="E11" s="360" t="n"/>
      <c r="F11" s="360" t="n"/>
      <c r="G11" s="361" t="n"/>
    </row>
    <row r="12" ht="25.5" customHeight="1" s="232">
      <c r="A12" s="287" t="n"/>
      <c r="B12" s="290" t="n"/>
      <c r="C12" s="290" t="inlineStr">
        <is>
          <t>ИТОГО ТЕХНОЛОГИЧЕСКОЕ ОБОРУДОВАНИЕ</t>
        </is>
      </c>
      <c r="D12" s="287" t="n"/>
      <c r="E12" s="304" t="n"/>
      <c r="F12" s="292" t="n"/>
      <c r="G12" s="218" t="n">
        <v>0</v>
      </c>
    </row>
    <row r="13" ht="19.5" customHeight="1" s="232">
      <c r="A13" s="287" t="n"/>
      <c r="B13" s="290" t="n"/>
      <c r="C13" s="290" t="inlineStr">
        <is>
          <t>Всего по разделу «Оборудование»</t>
        </is>
      </c>
      <c r="D13" s="287" t="n"/>
      <c r="E13" s="304" t="n"/>
      <c r="F13" s="292" t="n"/>
      <c r="G13" s="218">
        <f>G10+G12</f>
        <v/>
      </c>
    </row>
    <row r="14">
      <c r="A14" s="230" t="n"/>
      <c r="B14" s="104" t="n"/>
      <c r="C14" s="230" t="n"/>
      <c r="D14" s="165" t="n"/>
      <c r="E14" s="230" t="n"/>
      <c r="F14" s="230" t="n"/>
      <c r="G14" s="230" t="n"/>
    </row>
    <row r="15">
      <c r="A15" s="228" t="inlineStr">
        <is>
          <t>Составил ______________________    Д.А. Самуйленко</t>
        </is>
      </c>
      <c r="B15" s="229" t="n"/>
      <c r="C15" s="229" t="n"/>
      <c r="D15" s="165" t="n"/>
      <c r="E15" s="230" t="n"/>
      <c r="F15" s="230" t="n"/>
      <c r="G15" s="230" t="n"/>
    </row>
    <row r="16">
      <c r="A16" s="231" t="inlineStr">
        <is>
          <t xml:space="preserve">                         (подпись, инициалы, фамилия)</t>
        </is>
      </c>
      <c r="B16" s="229" t="n"/>
      <c r="C16" s="229" t="n"/>
      <c r="D16" s="165" t="n"/>
      <c r="E16" s="230" t="n"/>
      <c r="F16" s="230" t="n"/>
      <c r="G16" s="230" t="n"/>
    </row>
    <row r="17">
      <c r="A17" s="228" t="n"/>
      <c r="B17" s="229" t="n"/>
      <c r="C17" s="229" t="n"/>
      <c r="D17" s="165" t="n"/>
      <c r="E17" s="230" t="n"/>
      <c r="F17" s="230" t="n"/>
      <c r="G17" s="230" t="n"/>
    </row>
    <row r="18">
      <c r="A18" s="228" t="inlineStr">
        <is>
          <t>Проверил ______________________        А.В. Костянецкая</t>
        </is>
      </c>
      <c r="B18" s="229" t="n"/>
      <c r="C18" s="229" t="n"/>
      <c r="D18" s="165" t="n"/>
      <c r="E18" s="230" t="n"/>
      <c r="F18" s="230" t="n"/>
      <c r="G18" s="230" t="n"/>
    </row>
    <row r="19">
      <c r="A19" s="231" t="inlineStr">
        <is>
          <t xml:space="preserve">                        (подпись, инициалы, фамилия)</t>
        </is>
      </c>
      <c r="B19" s="229" t="n"/>
      <c r="C19" s="229" t="n"/>
      <c r="D19" s="165" t="n"/>
      <c r="E19" s="230" t="n"/>
      <c r="F19" s="230" t="n"/>
      <c r="G19" s="23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B13" sqref="B13"/>
    </sheetView>
  </sheetViews>
  <sheetFormatPr baseColWidth="8" defaultRowHeight="15"/>
  <cols>
    <col width="12.7109375" customWidth="1" style="232" min="1" max="1"/>
    <col width="16.42578125" customWidth="1" style="232" min="2" max="2"/>
    <col width="37.140625" customWidth="1" style="232" min="3" max="3"/>
    <col width="49" customWidth="1" style="232" min="4" max="4"/>
    <col width="9.140625" customWidth="1" style="232" min="5" max="5"/>
  </cols>
  <sheetData>
    <row r="1" ht="15.75" customHeight="1" s="232">
      <c r="A1" s="234" t="n"/>
      <c r="B1" s="234" t="n"/>
      <c r="C1" s="234" t="n"/>
      <c r="D1" s="234" t="inlineStr">
        <is>
          <t>Приложение №7</t>
        </is>
      </c>
    </row>
    <row r="2" ht="15.75" customHeight="1" s="232">
      <c r="A2" s="234" t="n"/>
      <c r="B2" s="234" t="n"/>
      <c r="C2" s="234" t="n"/>
      <c r="D2" s="234" t="n"/>
    </row>
    <row r="3" ht="15.75" customHeight="1" s="232">
      <c r="A3" s="234" t="n"/>
      <c r="B3" s="222" t="inlineStr">
        <is>
          <t>Расчет показателя УНЦ</t>
        </is>
      </c>
      <c r="C3" s="234" t="n"/>
      <c r="D3" s="234" t="n"/>
    </row>
    <row r="4" ht="15.75" customHeight="1" s="232">
      <c r="A4" s="234" t="n"/>
      <c r="B4" s="234" t="n"/>
      <c r="C4" s="234" t="n"/>
      <c r="D4" s="234" t="n"/>
    </row>
    <row r="5" ht="15.75" customHeight="1" s="232">
      <c r="A5" s="306" t="inlineStr">
        <is>
          <t xml:space="preserve">Наименование разрабатываемого показателя УНЦ - </t>
        </is>
      </c>
      <c r="D5" s="306">
        <f>'Прил.5 Расчет СМР и ОБ'!D6:J6</f>
        <v/>
      </c>
    </row>
    <row r="6" ht="15.75" customHeight="1" s="232">
      <c r="A6" s="234" t="inlineStr">
        <is>
          <t>Единица измерения  — 1 кл</t>
        </is>
      </c>
      <c r="B6" s="234" t="n"/>
      <c r="C6" s="234" t="n"/>
      <c r="D6" s="234" t="n"/>
    </row>
    <row r="7" ht="15.75" customHeight="1" s="232">
      <c r="A7" s="234" t="n"/>
      <c r="B7" s="234" t="n"/>
      <c r="C7" s="234" t="n"/>
      <c r="D7" s="234" t="n"/>
    </row>
    <row r="8">
      <c r="A8" s="272" t="inlineStr">
        <is>
          <t>Код показателя</t>
        </is>
      </c>
      <c r="B8" s="272" t="inlineStr">
        <is>
          <t>Наименование показателя</t>
        </is>
      </c>
      <c r="C8" s="272" t="inlineStr">
        <is>
          <t>Наименование РМ, входящих в состав показателя</t>
        </is>
      </c>
      <c r="D8" s="272" t="inlineStr">
        <is>
          <t>Норматив цены на 01.01.2023, тыс.руб.</t>
        </is>
      </c>
    </row>
    <row r="9">
      <c r="A9" s="363" t="n"/>
      <c r="B9" s="363" t="n"/>
      <c r="C9" s="363" t="n"/>
      <c r="D9" s="363" t="n"/>
    </row>
    <row r="10" ht="15.75" customHeight="1" s="232">
      <c r="A10" s="272" t="n">
        <v>1</v>
      </c>
      <c r="B10" s="272" t="n">
        <v>2</v>
      </c>
      <c r="C10" s="272" t="n">
        <v>3</v>
      </c>
      <c r="D10" s="272" t="n">
        <v>4</v>
      </c>
    </row>
    <row r="11" ht="47.25" customHeight="1" s="232">
      <c r="A11" s="272" t="inlineStr">
        <is>
          <t>М5-07-1</t>
        </is>
      </c>
      <c r="B11" s="272" t="inlineStr">
        <is>
          <t>УНЦ на демонтажные работы  КЛ</t>
        </is>
      </c>
      <c r="C11" s="226">
        <f>D5</f>
        <v/>
      </c>
      <c r="D11" s="240">
        <f>'Прил.4 РМ'!C41/1000</f>
        <v/>
      </c>
    </row>
    <row r="13">
      <c r="A13" s="228" t="inlineStr">
        <is>
          <t>Составил ______________________     Д.А. Самуйленко</t>
        </is>
      </c>
      <c r="B13" s="229" t="n"/>
      <c r="C13" s="229" t="n"/>
      <c r="D13" s="230" t="n"/>
    </row>
    <row r="14">
      <c r="A14" s="231" t="inlineStr">
        <is>
          <t xml:space="preserve">                         (подпись, инициалы, фамилия)</t>
        </is>
      </c>
      <c r="B14" s="229" t="n"/>
      <c r="C14" s="229" t="n"/>
      <c r="D14" s="230" t="n"/>
    </row>
    <row r="15">
      <c r="A15" s="228" t="n"/>
      <c r="B15" s="229" t="n"/>
      <c r="C15" s="229" t="n"/>
      <c r="D15" s="230" t="n"/>
    </row>
    <row r="16">
      <c r="A16" s="228" t="inlineStr">
        <is>
          <t>Проверил ______________________        А.В. Костянецкая</t>
        </is>
      </c>
      <c r="B16" s="229" t="n"/>
      <c r="C16" s="229" t="n"/>
      <c r="D16" s="230" t="n"/>
    </row>
    <row r="17">
      <c r="A17" s="231" t="inlineStr">
        <is>
          <t xml:space="preserve">                        (подпись, инициалы, фамилия)</t>
        </is>
      </c>
      <c r="B17" s="229" t="n"/>
      <c r="C17" s="229" t="n"/>
      <c r="D17" s="230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5" fitToHeight="0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4:E30"/>
  <sheetViews>
    <sheetView tabSelected="1" view="pageBreakPreview" topLeftCell="A10" zoomScale="60" zoomScaleNormal="85" workbookViewId="0">
      <selection activeCell="B26" sqref="B26"/>
    </sheetView>
  </sheetViews>
  <sheetFormatPr baseColWidth="8" defaultColWidth="9.140625" defaultRowHeight="15"/>
  <cols>
    <col width="40.7109375" customWidth="1" style="232" min="2" max="2"/>
    <col width="37" customWidth="1" style="232" min="3" max="3"/>
    <col width="32" customWidth="1" style="232" min="4" max="4"/>
  </cols>
  <sheetData>
    <row r="4" ht="15.75" customHeight="1" s="232">
      <c r="B4" s="266" t="inlineStr">
        <is>
          <t>Приложение № 10</t>
        </is>
      </c>
    </row>
    <row r="5" ht="18.75" customHeight="1" s="232">
      <c r="B5" s="118" t="n"/>
    </row>
    <row r="6" ht="15.75" customHeight="1" s="232">
      <c r="B6" s="267" t="inlineStr">
        <is>
          <t>Используемые индексы изменений сметной стоимости и нормы сопутствующих затрат</t>
        </is>
      </c>
    </row>
    <row r="7">
      <c r="B7" s="307" t="n"/>
    </row>
    <row r="8">
      <c r="B8" s="307" t="n"/>
      <c r="C8" s="307" t="n"/>
      <c r="D8" s="307" t="n"/>
      <c r="E8" s="307" t="n"/>
    </row>
    <row r="9" ht="47.25" customHeight="1" s="232">
      <c r="B9" s="272" t="inlineStr">
        <is>
          <t>Наименование индекса / норм сопутствующих затрат</t>
        </is>
      </c>
      <c r="C9" s="272" t="inlineStr">
        <is>
          <t>Дата применения и обоснование индекса / норм сопутствующих затрат</t>
        </is>
      </c>
      <c r="D9" s="272" t="inlineStr">
        <is>
          <t>Размер индекса / норма сопутствующих затрат</t>
        </is>
      </c>
    </row>
    <row r="10" ht="15.75" customHeight="1" s="232">
      <c r="B10" s="272" t="n">
        <v>1</v>
      </c>
      <c r="C10" s="272" t="n">
        <v>2</v>
      </c>
      <c r="D10" s="272" t="n">
        <v>3</v>
      </c>
    </row>
    <row r="11" ht="45" customHeight="1" s="232">
      <c r="B11" s="272" t="inlineStr">
        <is>
          <t xml:space="preserve">Индекс изменения сметной стоимости на 1 квартал 2023 года. ОЗП </t>
        </is>
      </c>
      <c r="C11" s="272" t="inlineStr">
        <is>
          <t>Письмо Минстроя России от 30.03.2023г. №17106-ИФ/09  прил.1</t>
        </is>
      </c>
      <c r="D11" s="272" t="n">
        <v>44.29</v>
      </c>
    </row>
    <row r="12" ht="29.25" customHeight="1" s="232">
      <c r="B12" s="272" t="inlineStr">
        <is>
          <t>Индекс изменения сметной стоимости на 1 квартал 2023 года. ЭМ</t>
        </is>
      </c>
      <c r="C12" s="272" t="inlineStr">
        <is>
          <t>Письмо Минстроя России от 30.03.2023г. №17106-ИФ/09  прил.1</t>
        </is>
      </c>
      <c r="D12" s="272" t="n">
        <v>10.84</v>
      </c>
    </row>
    <row r="13" ht="29.25" customHeight="1" s="232">
      <c r="B13" s="272" t="inlineStr">
        <is>
          <t>Индекс изменения сметной стоимости на 1 квартал 2023 года. МАТ</t>
        </is>
      </c>
      <c r="C13" s="272" t="inlineStr">
        <is>
          <t>Письмо Минстроя России от 30.03.2023г. №17106-ИФ/09  прил.1</t>
        </is>
      </c>
      <c r="D13" s="272" t="n">
        <v>5.34</v>
      </c>
    </row>
    <row r="14" ht="30.75" customHeight="1" s="232">
      <c r="B14" s="272" t="inlineStr">
        <is>
          <t>Индекс изменения сметной стоимости на 1 квартал 2023 года. ОБ</t>
        </is>
      </c>
      <c r="C14" s="114" t="inlineStr">
        <is>
          <t>Письмо Минстроя России от 23.02.2023г. №9791-ИФ/09 прил.6</t>
        </is>
      </c>
      <c r="D14" s="272" t="n">
        <v>6.26</v>
      </c>
    </row>
    <row r="15" ht="89.25" customHeight="1" s="232">
      <c r="B15" s="272" t="inlineStr">
        <is>
          <t>Временные здания и сооружения</t>
        </is>
      </c>
      <c r="C15" s="272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0" t="n">
        <v>0.039</v>
      </c>
    </row>
    <row r="16" ht="78.75" customHeight="1" s="232">
      <c r="B16" s="272" t="inlineStr">
        <is>
          <t>Дополнительные затраты при производстве строительно-монтажных работ в зимнее время</t>
        </is>
      </c>
      <c r="C16" s="272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0" t="n">
        <v>0.021</v>
      </c>
    </row>
    <row r="17" ht="31.5" customHeight="1" s="232">
      <c r="B17" s="272" t="inlineStr">
        <is>
          <t>Строительный контроль</t>
        </is>
      </c>
      <c r="C17" s="272" t="inlineStr">
        <is>
          <t>Постановление Правительства РФ от 21.06.10 г. № 468</t>
        </is>
      </c>
      <c r="D17" s="120" t="n">
        <v>0.0214</v>
      </c>
    </row>
    <row r="18" ht="31.5" customHeight="1" s="232">
      <c r="B18" s="272" t="inlineStr">
        <is>
          <t>Авторский надзор - 0,2%</t>
        </is>
      </c>
      <c r="C18" s="272" t="inlineStr">
        <is>
          <t>Приказ от 4.08.2020 № 421/пр п.173</t>
        </is>
      </c>
      <c r="D18" s="120" t="n">
        <v>0.002</v>
      </c>
    </row>
    <row r="19" ht="24" customHeight="1" s="232">
      <c r="B19" s="272" t="inlineStr">
        <is>
          <t>Непредвиденные расходы</t>
        </is>
      </c>
      <c r="C19" s="272" t="inlineStr">
        <is>
          <t>Приказ от 4.08.2020 № 421/пр п.179</t>
        </is>
      </c>
      <c r="D19" s="120" t="n">
        <v>0.03</v>
      </c>
    </row>
    <row r="20" ht="18.75" customHeight="1" s="232">
      <c r="B20" s="119" t="n"/>
    </row>
    <row r="21" ht="18.75" customHeight="1" s="232">
      <c r="B21" s="119" t="n"/>
    </row>
    <row r="22" ht="18.75" customHeight="1" s="232">
      <c r="B22" s="119" t="n"/>
    </row>
    <row r="23" ht="18.75" customHeight="1" s="232">
      <c r="B23" s="119" t="n"/>
    </row>
    <row r="26">
      <c r="B26" s="228" t="inlineStr">
        <is>
          <t>Составил ______________________        Д.А. Самуйленко</t>
        </is>
      </c>
      <c r="C26" s="229" t="n"/>
    </row>
    <row r="27">
      <c r="B27" s="231" t="inlineStr">
        <is>
          <t xml:space="preserve">                         (подпись, инициалы, фамилия)</t>
        </is>
      </c>
      <c r="C27" s="229" t="n"/>
    </row>
    <row r="28">
      <c r="B28" s="228" t="n"/>
      <c r="C28" s="229" t="n"/>
    </row>
    <row r="29">
      <c r="B29" s="228" t="inlineStr">
        <is>
          <t>Проверил ______________________        А.В. Костянецкая</t>
        </is>
      </c>
      <c r="C29" s="229" t="n"/>
    </row>
    <row r="30">
      <c r="B30" s="231" t="inlineStr">
        <is>
          <t xml:space="preserve">                        (подпись, инициалы, фамилия)</t>
        </is>
      </c>
      <c r="C30" s="229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scale="7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G13"/>
  <sheetViews>
    <sheetView view="pageBreakPreview" zoomScale="60" zoomScaleNormal="100" workbookViewId="0">
      <selection activeCell="A13" sqref="A13:F13"/>
    </sheetView>
  </sheetViews>
  <sheetFormatPr baseColWidth="8" defaultColWidth="9.140625" defaultRowHeight="15"/>
  <cols>
    <col width="44.85546875" customWidth="1" style="232" min="2" max="2"/>
    <col width="13" customWidth="1" style="232" min="3" max="3"/>
    <col width="22.85546875" customWidth="1" style="232" min="4" max="4"/>
    <col width="21.5703125" customWidth="1" style="232" min="5" max="5"/>
    <col width="43.85546875" customWidth="1" style="232" min="6" max="6"/>
  </cols>
  <sheetData>
    <row r="1" s="232"/>
    <row r="2" ht="17.25" customHeight="1" s="232">
      <c r="A2" s="267" t="inlineStr">
        <is>
          <t>Расчет размера средств на оплату труда рабочих-строителей в текущем уровне цен (ФОТр.тек.)</t>
        </is>
      </c>
    </row>
    <row r="3" s="232"/>
    <row r="4" ht="18" customHeight="1" s="232">
      <c r="A4" s="233" t="inlineStr">
        <is>
          <t>Составлен в уровне цен на 01.01.2023 г.</t>
        </is>
      </c>
      <c r="B4" s="234" t="n"/>
      <c r="C4" s="234" t="n"/>
      <c r="D4" s="234" t="n"/>
      <c r="E4" s="234" t="n"/>
      <c r="F4" s="234" t="n"/>
      <c r="G4" s="234" t="n"/>
    </row>
    <row r="5" ht="15.75" customHeight="1" s="232">
      <c r="A5" s="249" t="inlineStr">
        <is>
          <t>№ пп.</t>
        </is>
      </c>
      <c r="B5" s="249" t="inlineStr">
        <is>
          <t>Наименование элемента</t>
        </is>
      </c>
      <c r="C5" s="249" t="inlineStr">
        <is>
          <t>Обозначение</t>
        </is>
      </c>
      <c r="D5" s="249" t="inlineStr">
        <is>
          <t>Формула</t>
        </is>
      </c>
      <c r="E5" s="249" t="inlineStr">
        <is>
          <t>Величина элемента</t>
        </is>
      </c>
      <c r="F5" s="249" t="inlineStr">
        <is>
          <t>Наименования обосновывающих документов</t>
        </is>
      </c>
      <c r="G5" s="234" t="n"/>
    </row>
    <row r="6" ht="15.75" customHeight="1" s="232">
      <c r="A6" s="249" t="n">
        <v>1</v>
      </c>
      <c r="B6" s="249" t="n">
        <v>2</v>
      </c>
      <c r="C6" s="249" t="n">
        <v>3</v>
      </c>
      <c r="D6" s="249" t="n">
        <v>4</v>
      </c>
      <c r="E6" s="249" t="n">
        <v>5</v>
      </c>
      <c r="F6" s="249" t="n">
        <v>6</v>
      </c>
      <c r="G6" s="234" t="n"/>
    </row>
    <row r="7" ht="110.25" customHeight="1" s="232">
      <c r="A7" s="236" t="inlineStr">
        <is>
          <t>1.1</t>
        </is>
      </c>
      <c r="B7" s="241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72" t="inlineStr">
        <is>
          <t>С1ср</t>
        </is>
      </c>
      <c r="D7" s="272" t="inlineStr">
        <is>
          <t>-</t>
        </is>
      </c>
      <c r="E7" s="239" t="n">
        <v>47872.94</v>
      </c>
      <c r="F7" s="241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34" t="n"/>
    </row>
    <row r="8" ht="31.5" customHeight="1" s="232">
      <c r="A8" s="236" t="inlineStr">
        <is>
          <t>1.2</t>
        </is>
      </c>
      <c r="B8" s="241" t="inlineStr">
        <is>
          <t>Среднегодовое нормативное число часов работы одного рабочего в месяц, часы (ч.)</t>
        </is>
      </c>
      <c r="C8" s="272" t="inlineStr">
        <is>
          <t>tср</t>
        </is>
      </c>
      <c r="D8" s="272" t="inlineStr">
        <is>
          <t>1973ч/12мес.</t>
        </is>
      </c>
      <c r="E8" s="240">
        <f>1973/12</f>
        <v/>
      </c>
      <c r="F8" s="241" t="inlineStr">
        <is>
          <t>Производственный календарь 2023 год
(40-часов.неделя)</t>
        </is>
      </c>
      <c r="G8" s="243" t="n"/>
    </row>
    <row r="9" ht="15.75" customHeight="1" s="232">
      <c r="A9" s="236" t="inlineStr">
        <is>
          <t>1.3</t>
        </is>
      </c>
      <c r="B9" s="241" t="inlineStr">
        <is>
          <t>Коэффициент увеличения</t>
        </is>
      </c>
      <c r="C9" s="272" t="inlineStr">
        <is>
          <t>Кув</t>
        </is>
      </c>
      <c r="D9" s="272" t="inlineStr">
        <is>
          <t>-</t>
        </is>
      </c>
      <c r="E9" s="240" t="n">
        <v>1</v>
      </c>
      <c r="F9" s="241" t="n"/>
      <c r="G9" s="243" t="n"/>
    </row>
    <row r="10" ht="15.75" customHeight="1" s="232">
      <c r="A10" s="236" t="inlineStr">
        <is>
          <t>1.4</t>
        </is>
      </c>
      <c r="B10" s="241" t="inlineStr">
        <is>
          <t>Средний разряд работ</t>
        </is>
      </c>
      <c r="C10" s="272" t="n"/>
      <c r="D10" s="272" t="n"/>
      <c r="E10" s="369" t="n">
        <v>4</v>
      </c>
      <c r="F10" s="241" t="inlineStr">
        <is>
          <t>РТМ</t>
        </is>
      </c>
      <c r="G10" s="243" t="n"/>
    </row>
    <row r="11" ht="78.75" customHeight="1" s="232">
      <c r="A11" s="236" t="inlineStr">
        <is>
          <t>1.5</t>
        </is>
      </c>
      <c r="B11" s="241" t="inlineStr">
        <is>
          <t>Тарифный коэффициент среднего разряда работ</t>
        </is>
      </c>
      <c r="C11" s="272" t="inlineStr">
        <is>
          <t>КТ</t>
        </is>
      </c>
      <c r="D11" s="272" t="inlineStr">
        <is>
          <t>-</t>
        </is>
      </c>
      <c r="E11" s="370" t="n">
        <v>1.34</v>
      </c>
      <c r="F11" s="241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34" t="n"/>
    </row>
    <row r="12" ht="78.75" customHeight="1" s="232">
      <c r="A12" s="246" t="inlineStr">
        <is>
          <t>1.6</t>
        </is>
      </c>
      <c r="B12" s="352" t="inlineStr">
        <is>
          <t>Коэффициент инфляции, определяемый поквартально</t>
        </is>
      </c>
      <c r="C12" s="250" t="inlineStr">
        <is>
          <t>Кинф</t>
        </is>
      </c>
      <c r="D12" s="250" t="inlineStr">
        <is>
          <t>-</t>
        </is>
      </c>
      <c r="E12" s="371" t="n">
        <v>1.139</v>
      </c>
      <c r="F12" s="354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43" t="n"/>
    </row>
    <row r="13" ht="63" customHeight="1" s="232">
      <c r="A13" s="355" t="inlineStr">
        <is>
          <t>1.7</t>
        </is>
      </c>
      <c r="B13" s="356" t="inlineStr">
        <is>
          <t>Размер средств на оплату труда рабочих-строителей в текущем уровне цен (ФОТр.тек.), руб/чел.-ч</t>
        </is>
      </c>
      <c r="C13" s="357" t="inlineStr">
        <is>
          <t>ФОТр.тек.</t>
        </is>
      </c>
      <c r="D13" s="357" t="inlineStr">
        <is>
          <t>(С1ср/tср*КТ*Т*Кув)*Кинф</t>
        </is>
      </c>
      <c r="E13" s="358">
        <f>((E7*E9/E8)*E11)*E12</f>
        <v/>
      </c>
      <c r="F13" s="359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34" t="n"/>
    </row>
  </sheetData>
  <mergeCells count="1">
    <mergeCell ref="A2:F2"/>
  </mergeCells>
  <pageMargins left="0.7" right="0.7" top="0.75" bottom="0.75" header="0.3" footer="0.3"/>
  <pageSetup orientation="portrait" scale="58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2025-01-24T12:11:28Z</dcterms:modified>
  <cp:lastModifiedBy>Nikolay Ivanov</cp:lastModifiedBy>
  <cp:lastPrinted>2023-11-29T08:05:43Z</cp:lastPrinted>
</cp:coreProperties>
</file>