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3'!$A$1:$H$118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0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4" min="1" max="2"/>
    <col width="51.7109375" customWidth="1" style="244" min="3" max="3"/>
    <col width="47" customWidth="1" style="244" min="4" max="4"/>
    <col width="37.42578125" customWidth="1" style="244" min="5" max="5"/>
    <col width="9.140625" customWidth="1" style="244" min="6" max="6"/>
  </cols>
  <sheetData>
    <row r="3">
      <c r="B3" s="268" t="inlineStr">
        <is>
          <t>Приложение № 1</t>
        </is>
      </c>
    </row>
    <row r="4">
      <c r="B4" s="269" t="inlineStr">
        <is>
          <t>Сравнительная таблица отбора объекта-представителя</t>
        </is>
      </c>
    </row>
    <row r="5" ht="84" customHeight="1" s="242">
      <c r="B5" s="2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2">
      <c r="B6" s="159" t="n"/>
      <c r="C6" s="159" t="n"/>
      <c r="D6" s="159" t="n"/>
    </row>
    <row r="7" ht="64.5" customHeight="1" s="242">
      <c r="B7" s="270" t="inlineStr">
        <is>
          <t>Наименование разрабатываемого показателя УНЦ - Демонтаж ячейки выключателя НУ 35кВ</t>
        </is>
      </c>
    </row>
    <row r="8" ht="31.5" customHeight="1" s="242">
      <c r="B8" s="271" t="inlineStr">
        <is>
          <t>Сопоставимый уровень цен: 2 квартал 2011</t>
        </is>
      </c>
    </row>
    <row r="9" ht="15.75" customHeight="1" s="242">
      <c r="B9" s="271" t="inlineStr">
        <is>
          <t>Единица измерения  — 1 ячейка</t>
        </is>
      </c>
    </row>
    <row r="10">
      <c r="B10" s="271" t="n"/>
    </row>
    <row r="11">
      <c r="B11" s="274" t="inlineStr">
        <is>
          <t>№ п/п</t>
        </is>
      </c>
      <c r="C11" s="274" t="inlineStr">
        <is>
          <t>Параметр</t>
        </is>
      </c>
      <c r="D11" s="274" t="inlineStr">
        <is>
          <t xml:space="preserve">Объект-представитель </t>
        </is>
      </c>
      <c r="E11" s="145" t="n"/>
    </row>
    <row r="12" ht="96.75" customHeight="1" s="242">
      <c r="B12" s="274" t="n">
        <v>1</v>
      </c>
      <c r="C12" s="282" t="inlineStr">
        <is>
          <t>Наименование объекта-представителя</t>
        </is>
      </c>
      <c r="D12" s="240" t="inlineStr">
        <is>
          <t>ПС 35 кВ Ужовка-2 (МРСК Центра и Приволжья)</t>
        </is>
      </c>
    </row>
    <row r="13">
      <c r="B13" s="274" t="n">
        <v>2</v>
      </c>
      <c r="C13" s="282" t="inlineStr">
        <is>
          <t>Наименование субъекта Российской Федерации</t>
        </is>
      </c>
      <c r="D13" s="240" t="inlineStr">
        <is>
          <t>Нижегородская обл.</t>
        </is>
      </c>
    </row>
    <row r="14">
      <c r="B14" s="274" t="n">
        <v>3</v>
      </c>
      <c r="C14" s="282" t="inlineStr">
        <is>
          <t>Климатический район и подрайон</t>
        </is>
      </c>
      <c r="D14" s="241" t="inlineStr">
        <is>
          <t>IIB</t>
        </is>
      </c>
    </row>
    <row r="15">
      <c r="B15" s="274" t="n">
        <v>4</v>
      </c>
      <c r="C15" s="282" t="inlineStr">
        <is>
          <t>Мощность объекта</t>
        </is>
      </c>
      <c r="D15" s="240" t="n">
        <v>1</v>
      </c>
    </row>
    <row r="16" ht="116.25" customHeight="1" s="242">
      <c r="B16" s="274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4" t="inlineStr">
        <is>
          <t>Выключателя НУ 35(20)кВ, ном.ток 2500А, ном.ток отключения 25кА</t>
        </is>
      </c>
    </row>
    <row r="17" ht="79.5" customHeight="1" s="242">
      <c r="B17" s="274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>
        <f>D18+D19</f>
        <v/>
      </c>
      <c r="E17" s="158" t="n"/>
    </row>
    <row r="18">
      <c r="B18" s="144" t="inlineStr">
        <is>
          <t>6.1</t>
        </is>
      </c>
      <c r="C18" s="282" t="inlineStr">
        <is>
          <t>строительно-монтажные работы</t>
        </is>
      </c>
      <c r="D18" s="218">
        <f>'Прил.2 Расч стоим'!F12</f>
        <v/>
      </c>
    </row>
    <row r="19" ht="15.75" customHeight="1" s="242">
      <c r="B19" s="144" t="inlineStr">
        <is>
          <t>6.2</t>
        </is>
      </c>
      <c r="C19" s="282" t="inlineStr">
        <is>
          <t>оборудование и инвентарь</t>
        </is>
      </c>
      <c r="D19" s="218" t="n">
        <v>0</v>
      </c>
    </row>
    <row r="20" ht="16.5" customHeight="1" s="242">
      <c r="B20" s="144" t="inlineStr">
        <is>
          <t>6.3</t>
        </is>
      </c>
      <c r="C20" s="282" t="inlineStr">
        <is>
          <t>пусконаладочные работы</t>
        </is>
      </c>
      <c r="D20" s="218" t="n"/>
    </row>
    <row r="21" ht="35.25" customHeight="1" s="242">
      <c r="B21" s="144" t="inlineStr">
        <is>
          <t>6.4</t>
        </is>
      </c>
      <c r="C21" s="143" t="inlineStr">
        <is>
          <t>прочие и лимитированные затраты</t>
        </is>
      </c>
      <c r="D21" s="218" t="n"/>
    </row>
    <row r="22">
      <c r="B22" s="274" t="n">
        <v>7</v>
      </c>
      <c r="C22" s="143" t="inlineStr">
        <is>
          <t>Сопоставимый уровень цен</t>
        </is>
      </c>
      <c r="D22" s="260" t="inlineStr">
        <is>
          <t>2 квартал 2011</t>
        </is>
      </c>
      <c r="E22" s="141" t="n"/>
    </row>
    <row r="23" ht="123" customHeight="1" s="242">
      <c r="B23" s="274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>
        <f>D17</f>
        <v/>
      </c>
      <c r="E23" s="158" t="n"/>
    </row>
    <row r="24" ht="60.75" customHeight="1" s="242">
      <c r="B24" s="274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18">
        <f>D17/D15</f>
        <v/>
      </c>
      <c r="E24" s="141" t="n"/>
    </row>
    <row r="25" ht="48" customHeight="1" s="242">
      <c r="B25" s="274" t="n">
        <v>10</v>
      </c>
      <c r="C25" s="282" t="inlineStr">
        <is>
          <t>Примечание</t>
        </is>
      </c>
      <c r="D25" s="274" t="n"/>
    </row>
    <row r="26">
      <c r="B26" s="140" t="n"/>
      <c r="C26" s="139" t="n"/>
      <c r="D26" s="139" t="n"/>
    </row>
    <row r="27" ht="37.5" customHeight="1" s="242">
      <c r="B27" s="138" t="n"/>
    </row>
    <row r="28">
      <c r="B28" s="244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4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4" min="1" max="1"/>
    <col width="9.140625" customWidth="1" style="244" min="2" max="2"/>
    <col width="35.28515625" customWidth="1" style="244" min="3" max="3"/>
    <col width="13.85546875" customWidth="1" style="244" min="4" max="4"/>
    <col width="24.85546875" customWidth="1" style="244" min="5" max="5"/>
    <col width="15.5703125" customWidth="1" style="244" min="6" max="6"/>
    <col width="14.85546875" customWidth="1" style="244" min="7" max="7"/>
    <col width="16.7109375" customWidth="1" style="244" min="8" max="8"/>
    <col width="13" customWidth="1" style="244" min="9" max="10"/>
    <col width="18" customWidth="1" style="244" min="11" max="11"/>
    <col width="9.140625" customWidth="1" style="244" min="12" max="12"/>
  </cols>
  <sheetData>
    <row r="3">
      <c r="B3" s="268" t="inlineStr">
        <is>
          <t>Приложение № 2</t>
        </is>
      </c>
      <c r="K3" s="138" t="n"/>
    </row>
    <row r="4">
      <c r="B4" s="269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2">
      <c r="B6" s="271">
        <f>'Прил.1 Сравнит табл'!B7:D7</f>
        <v/>
      </c>
    </row>
    <row r="7">
      <c r="B7" s="271">
        <f>'Прил.1 Сравнит табл'!B9:D9</f>
        <v/>
      </c>
    </row>
    <row r="8" ht="18.75" customHeight="1" s="242">
      <c r="B8" s="119" t="n"/>
    </row>
    <row r="9" ht="15.75" customHeight="1" s="242">
      <c r="B9" s="274" t="inlineStr">
        <is>
          <t>№ п/п</t>
        </is>
      </c>
      <c r="C9" s="2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4" t="inlineStr">
        <is>
          <t>Объект-представитель 1</t>
        </is>
      </c>
      <c r="E9" s="365" t="n"/>
      <c r="F9" s="365" t="n"/>
      <c r="G9" s="365" t="n"/>
      <c r="H9" s="365" t="n"/>
      <c r="I9" s="365" t="n"/>
      <c r="J9" s="366" t="n"/>
    </row>
    <row r="10" ht="15.75" customHeight="1" s="242">
      <c r="B10" s="367" t="n"/>
      <c r="C10" s="367" t="n"/>
      <c r="D10" s="274" t="inlineStr">
        <is>
          <t>Номер сметы</t>
        </is>
      </c>
      <c r="E10" s="274" t="inlineStr">
        <is>
          <t>Наименование сметы</t>
        </is>
      </c>
      <c r="F10" s="274" t="inlineStr">
        <is>
          <t>Сметная стоимость в уровне цен 2 кв. 2011г., тыс. руб.</t>
        </is>
      </c>
      <c r="G10" s="365" t="n"/>
      <c r="H10" s="365" t="n"/>
      <c r="I10" s="365" t="n"/>
      <c r="J10" s="366" t="n"/>
    </row>
    <row r="11" ht="31.5" customHeight="1" s="242">
      <c r="B11" s="368" t="n"/>
      <c r="C11" s="368" t="n"/>
      <c r="D11" s="368" t="n"/>
      <c r="E11" s="368" t="n"/>
      <c r="F11" s="274" t="inlineStr">
        <is>
          <t>Строительные работы</t>
        </is>
      </c>
      <c r="G11" s="274" t="inlineStr">
        <is>
          <t>Монтажные работы</t>
        </is>
      </c>
      <c r="H11" s="274" t="inlineStr">
        <is>
          <t>Оборудование</t>
        </is>
      </c>
      <c r="I11" s="274" t="inlineStr">
        <is>
          <t>Прочее</t>
        </is>
      </c>
      <c r="J11" s="274" t="inlineStr">
        <is>
          <t>Всего</t>
        </is>
      </c>
    </row>
    <row r="12" ht="31.5" customHeight="1" s="242">
      <c r="B12" s="274" t="n"/>
      <c r="C12" s="274" t="inlineStr">
        <is>
          <t>Демонтаж ячейки выключателя НУ 35кВ</t>
        </is>
      </c>
      <c r="D12" s="274" t="n"/>
      <c r="E12" s="274" t="n"/>
      <c r="F12" s="274" t="n">
        <v>345.554717</v>
      </c>
      <c r="G12" s="366" t="n"/>
      <c r="H12" s="274" t="n">
        <v>0</v>
      </c>
      <c r="I12" s="274" t="n"/>
      <c r="J12" s="274" t="n">
        <v>345.554717</v>
      </c>
    </row>
    <row r="13" ht="15.75" customHeight="1" s="242">
      <c r="B13" s="273" t="inlineStr">
        <is>
          <t>Всего по объекту:</t>
        </is>
      </c>
      <c r="C13" s="365" t="n"/>
      <c r="D13" s="365" t="n"/>
      <c r="E13" s="366" t="n"/>
      <c r="F13" s="160" t="n"/>
      <c r="G13" s="160" t="n"/>
      <c r="H13" s="160" t="n"/>
      <c r="I13" s="160" t="n"/>
      <c r="J13" s="160" t="n"/>
    </row>
    <row r="14">
      <c r="B14" s="273" t="inlineStr">
        <is>
          <t>Всего по объекту в сопоставимом уровне цен 2кв. 2011г:</t>
        </is>
      </c>
      <c r="C14" s="365" t="n"/>
      <c r="D14" s="365" t="n"/>
      <c r="E14" s="366" t="n"/>
      <c r="F14" s="369">
        <f>F12</f>
        <v/>
      </c>
      <c r="G14" s="366" t="n"/>
      <c r="H14" s="160">
        <f>H12</f>
        <v/>
      </c>
      <c r="I14" s="160" t="n"/>
      <c r="J14" s="160">
        <f>J12</f>
        <v/>
      </c>
    </row>
    <row r="15" ht="15" customHeight="1" s="242"/>
    <row r="16" ht="15" customHeight="1" s="242"/>
    <row r="17" ht="15" customHeight="1" s="242"/>
    <row r="18" ht="15" customHeight="1" s="242">
      <c r="C18" s="232" t="inlineStr">
        <is>
          <t>Составил ______________________     Е. М. Добровольская</t>
        </is>
      </c>
      <c r="D18" s="238" t="n"/>
      <c r="E18" s="238" t="n"/>
    </row>
    <row r="19" ht="15" customHeight="1" s="242">
      <c r="C19" s="239" t="inlineStr">
        <is>
          <t xml:space="preserve">                         (подпись, инициалы, фамилия)</t>
        </is>
      </c>
      <c r="D19" s="238" t="n"/>
      <c r="E19" s="238" t="n"/>
    </row>
    <row r="20" ht="15" customHeight="1" s="242">
      <c r="C20" s="232" t="n"/>
      <c r="D20" s="238" t="n"/>
      <c r="E20" s="238" t="n"/>
    </row>
    <row r="21" ht="15" customHeight="1" s="242">
      <c r="C21" s="232" t="inlineStr">
        <is>
          <t>Проверил ______________________        А.В. Костянецкая</t>
        </is>
      </c>
      <c r="D21" s="238" t="n"/>
      <c r="E21" s="238" t="n"/>
    </row>
    <row r="22" ht="15" customHeight="1" s="242">
      <c r="C22" s="239" t="inlineStr">
        <is>
          <t xml:space="preserve">                        (подпись, инициалы, фамилия)</t>
        </is>
      </c>
      <c r="D22" s="238" t="n"/>
      <c r="E22" s="238" t="n"/>
    </row>
    <row r="23" ht="15" customHeight="1" s="242"/>
    <row r="24" ht="15" customHeight="1" s="242"/>
    <row r="25" ht="15" customHeight="1" s="242"/>
    <row r="26" ht="15" customHeight="1" s="242"/>
    <row r="27" ht="15" customHeight="1" s="242"/>
    <row r="28" ht="15" customHeight="1" s="24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105"/>
  <sheetViews>
    <sheetView view="pageBreakPreview" topLeftCell="A82" zoomScale="70" workbookViewId="0">
      <selection activeCell="C101" sqref="C101"/>
    </sheetView>
  </sheetViews>
  <sheetFormatPr baseColWidth="8" defaultColWidth="9.140625" defaultRowHeight="15.75"/>
  <cols>
    <col width="9.140625" customWidth="1" style="244" min="1" max="1"/>
    <col width="12.5703125" customWidth="1" style="244" min="2" max="2"/>
    <col width="22.42578125" customWidth="1" style="244" min="3" max="3"/>
    <col width="49.7109375" customWidth="1" style="244" min="4" max="4"/>
    <col width="10.140625" customWidth="1" style="244" min="5" max="5"/>
    <col width="20.7109375" customWidth="1" style="244" min="6" max="6"/>
    <col width="20" customWidth="1" style="244" min="7" max="7"/>
    <col width="16.7109375" customWidth="1" style="244" min="8" max="8"/>
    <col width="7.5703125" customWidth="1" style="244" min="9" max="9"/>
    <col width="11.85546875" customWidth="1" style="244" min="10" max="10"/>
    <col width="15" customWidth="1" style="244" min="11" max="11"/>
    <col width="9.140625" customWidth="1" style="244" min="12" max="12"/>
  </cols>
  <sheetData>
    <row r="2">
      <c r="A2" s="268" t="inlineStr">
        <is>
          <t xml:space="preserve">Приложение № 3 </t>
        </is>
      </c>
    </row>
    <row r="3">
      <c r="A3" s="269" t="inlineStr">
        <is>
          <t>Объектная ресурсная ведомость</t>
        </is>
      </c>
    </row>
    <row r="4">
      <c r="A4" s="287" t="n"/>
    </row>
    <row r="5">
      <c r="A5" s="271" t="n"/>
    </row>
    <row r="6">
      <c r="A6" s="286" t="inlineStr">
        <is>
          <t>Наименование разрабатываемого показателя УНЦ -  Демонтаж ячейки выключателя НУ 35кВ</t>
        </is>
      </c>
    </row>
    <row r="7" s="242">
      <c r="A7" s="286" t="n"/>
      <c r="B7" s="286" t="n"/>
      <c r="C7" s="286" t="n"/>
      <c r="D7" s="286" t="n"/>
      <c r="E7" s="286" t="n"/>
      <c r="F7" s="286" t="n"/>
      <c r="G7" s="286" t="n"/>
      <c r="H7" s="286" t="n"/>
      <c r="I7" s="244" t="n"/>
      <c r="J7" s="244" t="n"/>
      <c r="K7" s="244" t="n"/>
      <c r="L7" s="244" t="n"/>
    </row>
    <row r="8">
      <c r="A8" s="286" t="n"/>
      <c r="B8" s="286" t="n"/>
      <c r="C8" s="286" t="n"/>
      <c r="D8" s="286" t="n"/>
      <c r="E8" s="286" t="n"/>
      <c r="F8" s="286" t="n"/>
      <c r="G8" s="286" t="n"/>
      <c r="H8" s="286" t="n"/>
    </row>
    <row r="9">
      <c r="A9" s="274" t="inlineStr">
        <is>
          <t>п/п</t>
        </is>
      </c>
      <c r="B9" s="274" t="inlineStr">
        <is>
          <t>№ЛСР</t>
        </is>
      </c>
      <c r="C9" s="274" t="inlineStr">
        <is>
          <t>Код ресурса</t>
        </is>
      </c>
      <c r="D9" s="274" t="inlineStr">
        <is>
          <t>Наименование ресурса</t>
        </is>
      </c>
      <c r="E9" s="274" t="inlineStr">
        <is>
          <t>Ед. изм.</t>
        </is>
      </c>
      <c r="F9" s="274" t="inlineStr">
        <is>
          <t>Кол-во единиц по данным объекта-представителя</t>
        </is>
      </c>
      <c r="G9" s="274" t="inlineStr">
        <is>
          <t>Сметная стоимость в ценах на 01.01.2000 (руб.)</t>
        </is>
      </c>
      <c r="H9" s="366" t="n"/>
    </row>
    <row r="10">
      <c r="A10" s="368" t="n"/>
      <c r="B10" s="368" t="n"/>
      <c r="C10" s="368" t="n"/>
      <c r="D10" s="368" t="n"/>
      <c r="E10" s="368" t="n"/>
      <c r="F10" s="368" t="n"/>
      <c r="G10" s="274" t="inlineStr">
        <is>
          <t>на ед.изм.</t>
        </is>
      </c>
      <c r="H10" s="274" t="inlineStr">
        <is>
          <t>общая</t>
        </is>
      </c>
    </row>
    <row r="11">
      <c r="A11" s="257" t="n">
        <v>1</v>
      </c>
      <c r="B11" s="257" t="n"/>
      <c r="C11" s="257" t="n">
        <v>2</v>
      </c>
      <c r="D11" s="257" t="inlineStr">
        <is>
          <t>З</t>
        </is>
      </c>
      <c r="E11" s="257" t="n">
        <v>4</v>
      </c>
      <c r="F11" s="257" t="n">
        <v>5</v>
      </c>
      <c r="G11" s="257" t="n">
        <v>6</v>
      </c>
      <c r="H11" s="257" t="n">
        <v>7</v>
      </c>
    </row>
    <row r="12" customFormat="1" s="148">
      <c r="A12" s="283" t="inlineStr">
        <is>
          <t>Затраты труда рабочих</t>
        </is>
      </c>
      <c r="B12" s="365" t="n"/>
      <c r="C12" s="365" t="n"/>
      <c r="D12" s="365" t="n"/>
      <c r="E12" s="366" t="n"/>
      <c r="F12" s="370" t="n">
        <v>2098.48</v>
      </c>
      <c r="G12" s="10" t="n"/>
      <c r="H12" s="370">
        <f>SUM(H13:H15)</f>
        <v/>
      </c>
    </row>
    <row r="13">
      <c r="A13" s="171" t="n">
        <v>1</v>
      </c>
      <c r="B13" s="207" t="n"/>
      <c r="C13" s="210" t="inlineStr">
        <is>
          <t>1-4-0</t>
        </is>
      </c>
      <c r="D13" s="290" t="inlineStr">
        <is>
          <t>Затраты труда рабочих (средний разряд работы 4,0)</t>
        </is>
      </c>
      <c r="E13" s="291" t="inlineStr">
        <is>
          <t>чел.-ч</t>
        </is>
      </c>
      <c r="F13" s="210" t="n">
        <v>1846.495</v>
      </c>
      <c r="G13" s="215" t="n">
        <v>9.619999999999999</v>
      </c>
      <c r="H13" s="192">
        <f>ROUND(F13*G13,2)</f>
        <v/>
      </c>
      <c r="J13" s="217" t="n"/>
      <c r="L13" s="217" t="n"/>
    </row>
    <row r="14">
      <c r="A14" s="171" t="n">
        <v>2</v>
      </c>
      <c r="B14" s="207" t="n"/>
      <c r="C14" s="210" t="inlineStr">
        <is>
          <t>1-3-8</t>
        </is>
      </c>
      <c r="D14" s="290" t="inlineStr">
        <is>
          <t>Затраты труда рабочих (средний разряд работы 3,8)</t>
        </is>
      </c>
      <c r="E14" s="291" t="inlineStr">
        <is>
          <t>чел.-ч</t>
        </is>
      </c>
      <c r="F14" s="210" t="n">
        <v>191.555</v>
      </c>
      <c r="G14" s="215" t="n">
        <v>9.4</v>
      </c>
      <c r="H14" s="192">
        <f>ROUND(F14*G14,2)</f>
        <v/>
      </c>
      <c r="J14" s="217" t="n"/>
      <c r="L14" s="217" t="n"/>
    </row>
    <row r="15">
      <c r="A15" s="171" t="n">
        <v>3</v>
      </c>
      <c r="B15" s="207" t="n"/>
      <c r="C15" s="210" t="inlineStr">
        <is>
          <t>1-4-2</t>
        </is>
      </c>
      <c r="D15" s="290" t="inlineStr">
        <is>
          <t>Затраты труда рабочих (средний разряд работы 4,2)</t>
        </is>
      </c>
      <c r="E15" s="291" t="inlineStr">
        <is>
          <t>чел.-ч</t>
        </is>
      </c>
      <c r="F15" s="210" t="n">
        <v>60.43</v>
      </c>
      <c r="G15" s="215" t="n">
        <v>9.92</v>
      </c>
      <c r="H15" s="192">
        <f>ROUND(F15*G15,2)</f>
        <v/>
      </c>
      <c r="J15" s="217" t="n"/>
      <c r="L15" s="217" t="n"/>
    </row>
    <row r="16">
      <c r="A16" s="279" t="inlineStr">
        <is>
          <t>Затраты труда машинистов</t>
        </is>
      </c>
      <c r="B16" s="365" t="n"/>
      <c r="C16" s="365" t="n"/>
      <c r="D16" s="365" t="n"/>
      <c r="E16" s="366" t="n"/>
      <c r="F16" s="283" t="n"/>
      <c r="G16" s="149" t="n"/>
      <c r="H16" s="370">
        <f>H17</f>
        <v/>
      </c>
    </row>
    <row r="17">
      <c r="A17" s="291" t="n">
        <v>4</v>
      </c>
      <c r="B17" s="281" t="n"/>
      <c r="C17" s="210" t="n">
        <v>2</v>
      </c>
      <c r="D17" s="290" t="inlineStr">
        <is>
          <t>Затраты труда машинистов</t>
        </is>
      </c>
      <c r="E17" s="291" t="inlineStr">
        <is>
          <t>чел.-ч</t>
        </is>
      </c>
      <c r="F17" s="311" t="n">
        <v>428.76</v>
      </c>
      <c r="G17" s="222" t="n"/>
      <c r="H17" s="371" t="n">
        <v>10278.71</v>
      </c>
      <c r="J17" s="217" t="n"/>
      <c r="L17" s="217" t="n"/>
    </row>
    <row r="18" customFormat="1" s="148">
      <c r="A18" s="283" t="inlineStr">
        <is>
          <t>Машины и механизмы</t>
        </is>
      </c>
      <c r="B18" s="365" t="n"/>
      <c r="C18" s="365" t="n"/>
      <c r="D18" s="365" t="n"/>
      <c r="E18" s="366" t="n"/>
      <c r="F18" s="283" t="n"/>
      <c r="G18" s="149" t="n"/>
      <c r="H18" s="370">
        <f>SUM(H19:H31)</f>
        <v/>
      </c>
    </row>
    <row r="19" ht="25.5" customHeight="1" s="242">
      <c r="A19" s="291" t="n">
        <v>5</v>
      </c>
      <c r="B19" s="281" t="n"/>
      <c r="C19" s="210" t="inlineStr">
        <is>
          <t>91.05.05-014</t>
        </is>
      </c>
      <c r="D19" s="221" t="inlineStr">
        <is>
          <t>Краны на автомобильном ходу, грузоподъемность 10 т</t>
        </is>
      </c>
      <c r="E19" s="311" t="inlineStr">
        <is>
          <t>маш.-ч</t>
        </is>
      </c>
      <c r="F19" s="311" t="n">
        <v>193.51</v>
      </c>
      <c r="G19" s="224" t="n">
        <v>111.99</v>
      </c>
      <c r="H19" s="192">
        <f>ROUND(F19*G19,2)</f>
        <v/>
      </c>
      <c r="I19" s="152" t="n"/>
      <c r="J19" s="162" t="n"/>
      <c r="L19" s="217" t="n"/>
    </row>
    <row r="20" customFormat="1" s="148">
      <c r="A20" s="291" t="n">
        <v>6</v>
      </c>
      <c r="B20" s="281" t="n"/>
      <c r="C20" s="210" t="inlineStr">
        <is>
          <t>91.10.01-002</t>
        </is>
      </c>
      <c r="D20" s="221" t="inlineStr">
        <is>
          <t>Агрегаты наполнительно-опрессовочные до 300 м3/ч</t>
        </is>
      </c>
      <c r="E20" s="311" t="inlineStr">
        <is>
          <t>маш.-ч</t>
        </is>
      </c>
      <c r="F20" s="311" t="n">
        <v>23.59</v>
      </c>
      <c r="G20" s="224" t="n">
        <v>287.99</v>
      </c>
      <c r="H20" s="192">
        <f>ROUND(F20*G20,2)</f>
        <v/>
      </c>
      <c r="I20" s="152" t="n"/>
      <c r="L20" s="217" t="n"/>
    </row>
    <row r="21">
      <c r="A21" s="291" t="n">
        <v>7</v>
      </c>
      <c r="B21" s="281" t="n"/>
      <c r="C21" s="210" t="inlineStr">
        <is>
          <t>91.06.06-042</t>
        </is>
      </c>
      <c r="D21" s="221" t="inlineStr">
        <is>
          <t>Подъемники гидравлические, высота подъема 10 м</t>
        </is>
      </c>
      <c r="E21" s="311" t="inlineStr">
        <is>
          <t>маш.-ч</t>
        </is>
      </c>
      <c r="F21" s="311" t="n">
        <v>147.585</v>
      </c>
      <c r="G21" s="224" t="n">
        <v>29.6</v>
      </c>
      <c r="H21" s="192">
        <f>ROUND(F21*G21,2)</f>
        <v/>
      </c>
      <c r="I21" s="152" t="n"/>
      <c r="L21" s="217" t="n"/>
    </row>
    <row r="22" ht="25.5" customHeight="1" s="242">
      <c r="A22" s="291" t="n">
        <v>8</v>
      </c>
      <c r="B22" s="281" t="n"/>
      <c r="C22" s="210" t="inlineStr">
        <is>
          <t>91.06.03-058</t>
        </is>
      </c>
      <c r="D22" s="221" t="inlineStr">
        <is>
          <t>Лебедки электрические тяговым усилием 156,96 кН (16 т)</t>
        </is>
      </c>
      <c r="E22" s="311" t="inlineStr">
        <is>
          <t>маш.-ч</t>
        </is>
      </c>
      <c r="F22" s="311" t="n">
        <v>23.59</v>
      </c>
      <c r="G22" s="224" t="n">
        <v>131.44</v>
      </c>
      <c r="H22" s="192">
        <f>ROUND(F22*G22,2)</f>
        <v/>
      </c>
      <c r="I22" s="152" t="n"/>
      <c r="L22" s="217" t="n"/>
    </row>
    <row r="23" ht="25.5" customHeight="1" s="242">
      <c r="A23" s="291" t="n">
        <v>9</v>
      </c>
      <c r="B23" s="281" t="n"/>
      <c r="C23" s="210" t="n">
        <v>21102</v>
      </c>
      <c r="D23" s="221" t="inlineStr">
        <is>
          <t>Краны на автомобильном ходу при работе на монтаже технологического оборудования 10 т</t>
        </is>
      </c>
      <c r="E23" s="311" t="inlineStr">
        <is>
          <t>маш.час</t>
        </is>
      </c>
      <c r="F23" s="311" t="n">
        <v>13.34</v>
      </c>
      <c r="G23" s="224" t="n">
        <v>134.65</v>
      </c>
      <c r="H23" s="192">
        <f>ROUND(F23*G23,2)</f>
        <v/>
      </c>
      <c r="I23" s="152" t="n"/>
      <c r="L23" s="217" t="n"/>
    </row>
    <row r="24">
      <c r="A24" s="291" t="n">
        <v>10</v>
      </c>
      <c r="B24" s="281" t="n"/>
      <c r="C24" s="210" t="inlineStr">
        <is>
          <t>91.14.02-001</t>
        </is>
      </c>
      <c r="D24" s="221" t="inlineStr">
        <is>
          <t>Автомобили бортовые, грузоподъемность: до 5 т</t>
        </is>
      </c>
      <c r="E24" s="311" t="inlineStr">
        <is>
          <t>маш.час</t>
        </is>
      </c>
      <c r="F24" s="311" t="n">
        <v>27.145</v>
      </c>
      <c r="G24" s="224" t="n">
        <v>65.70999999999999</v>
      </c>
      <c r="H24" s="192">
        <f>ROUND(F24*G24,2)</f>
        <v/>
      </c>
      <c r="I24" s="152" t="n"/>
      <c r="L24" s="217" t="n"/>
    </row>
    <row r="25">
      <c r="A25" s="291" t="n">
        <v>11</v>
      </c>
      <c r="B25" s="281" t="n"/>
      <c r="C25" s="210" t="n">
        <v>400001</v>
      </c>
      <c r="D25" s="221" t="inlineStr">
        <is>
          <t>Автомобили бортовые, грузоподъемность до 5 т</t>
        </is>
      </c>
      <c r="E25" s="311" t="inlineStr">
        <is>
          <t>маш.час</t>
        </is>
      </c>
      <c r="F25" s="311" t="n">
        <v>8.34</v>
      </c>
      <c r="G25" s="224" t="n">
        <v>87.17</v>
      </c>
      <c r="H25" s="192">
        <f>ROUND(F25*G25,2)</f>
        <v/>
      </c>
      <c r="I25" s="152" t="n"/>
      <c r="L25" s="217" t="n"/>
    </row>
    <row r="26" ht="25.5" customHeight="1" s="242">
      <c r="A26" s="291" t="n">
        <v>12</v>
      </c>
      <c r="B26" s="281" t="n"/>
      <c r="C26" s="210" t="n">
        <v>40502</v>
      </c>
      <c r="D26" s="221" t="inlineStr">
        <is>
          <t>Установки для сварки ручной дуговой (постоянного тока)</t>
        </is>
      </c>
      <c r="E26" s="311" t="inlineStr">
        <is>
          <t>маш.час</t>
        </is>
      </c>
      <c r="F26" s="311" t="n">
        <v>70.19</v>
      </c>
      <c r="G26" s="224" t="n">
        <v>8.1</v>
      </c>
      <c r="H26" s="192">
        <f>ROUND(F26*G26,2)</f>
        <v/>
      </c>
      <c r="I26" s="152" t="n"/>
      <c r="L26" s="217" t="n"/>
    </row>
    <row r="27" ht="25.5" customHeight="1" s="242">
      <c r="A27" s="291" t="n">
        <v>13</v>
      </c>
      <c r="B27" s="281" t="n"/>
      <c r="C27" s="210" t="inlineStr">
        <is>
          <t>91.17.04-233</t>
        </is>
      </c>
      <c r="D27" s="221" t="inlineStr">
        <is>
          <t>Установки для сварки: ручной дуговой (постоянного тока)</t>
        </is>
      </c>
      <c r="E27" s="311" t="inlineStr">
        <is>
          <t>маш.час</t>
        </is>
      </c>
      <c r="F27" s="311" t="n">
        <v>40.28</v>
      </c>
      <c r="G27" s="224" t="n">
        <v>8.1</v>
      </c>
      <c r="H27" s="192">
        <f>ROUND(F27*G27,2)</f>
        <v/>
      </c>
      <c r="I27" s="152" t="n"/>
      <c r="L27" s="217" t="n"/>
    </row>
    <row r="28" ht="25.5" customHeight="1" s="242">
      <c r="A28" s="291" t="n">
        <v>14</v>
      </c>
      <c r="B28" s="281" t="n"/>
      <c r="C28" s="210" t="n">
        <v>30203</v>
      </c>
      <c r="D28" s="221" t="inlineStr">
        <is>
          <t>Домкраты гидравлические грузоподъемностью 63-100 т</t>
        </is>
      </c>
      <c r="E28" s="311" t="inlineStr">
        <is>
          <t>маш.час</t>
        </is>
      </c>
      <c r="F28" s="311" t="n">
        <v>60.13</v>
      </c>
      <c r="G28" s="224" t="n">
        <v>0.9</v>
      </c>
      <c r="H28" s="192">
        <f>ROUND(F28*G28,2)</f>
        <v/>
      </c>
      <c r="I28" s="152" t="n"/>
      <c r="L28" s="217" t="n"/>
    </row>
    <row r="29" ht="25.5" customHeight="1" s="242">
      <c r="A29" s="291" t="n">
        <v>15</v>
      </c>
      <c r="B29" s="281" t="n"/>
      <c r="C29" s="210" t="inlineStr">
        <is>
          <t>91.06.01-003</t>
        </is>
      </c>
      <c r="D29" s="221" t="inlineStr">
        <is>
          <t>Домкраты гидравлические, грузоподъемность 63-100 т</t>
        </is>
      </c>
      <c r="E29" s="311" t="inlineStr">
        <is>
          <t>маш.час</t>
        </is>
      </c>
      <c r="F29" s="311" t="n">
        <v>47.11</v>
      </c>
      <c r="G29" s="224" t="n">
        <v>0.9</v>
      </c>
      <c r="H29" s="192">
        <f>ROUND(F29*G29,2)</f>
        <v/>
      </c>
      <c r="I29" s="152" t="n"/>
      <c r="L29" s="217" t="n"/>
    </row>
    <row r="30">
      <c r="A30" s="291" t="n">
        <v>16</v>
      </c>
      <c r="B30" s="281" t="n"/>
      <c r="C30" s="210" t="n">
        <v>331451</v>
      </c>
      <c r="D30" s="221" t="inlineStr">
        <is>
          <t>Перфораторы электрические</t>
        </is>
      </c>
      <c r="E30" s="311" t="inlineStr">
        <is>
          <t>маш.час</t>
        </is>
      </c>
      <c r="F30" s="311" t="n">
        <v>7.455</v>
      </c>
      <c r="G30" s="224" t="n">
        <v>2.08</v>
      </c>
      <c r="H30" s="192">
        <f>ROUND(F30*G30,2)</f>
        <v/>
      </c>
      <c r="I30" s="152" t="n"/>
      <c r="L30" s="217" t="n"/>
    </row>
    <row r="31" ht="25.5" customHeight="1" s="242">
      <c r="A31" s="291" t="n">
        <v>17</v>
      </c>
      <c r="B31" s="281" t="n"/>
      <c r="C31" s="210" t="n">
        <v>30402</v>
      </c>
      <c r="D31" s="221" t="inlineStr">
        <is>
          <t>Лебедки электрические тяговым усилием до 12,26 кН (1,25 т)</t>
        </is>
      </c>
      <c r="E31" s="311" t="inlineStr">
        <is>
          <t>маш.час</t>
        </is>
      </c>
      <c r="F31" s="311" t="n">
        <v>0.595</v>
      </c>
      <c r="G31" s="224" t="n">
        <v>3.28</v>
      </c>
      <c r="H31" s="192">
        <f>ROUND(F31*G31,2)</f>
        <v/>
      </c>
      <c r="I31" s="152" t="n"/>
      <c r="L31" s="217" t="n"/>
    </row>
    <row r="32">
      <c r="A32" s="279" t="inlineStr">
        <is>
          <t>Оборудование</t>
        </is>
      </c>
      <c r="B32" s="365" t="n"/>
      <c r="C32" s="365" t="n"/>
      <c r="D32" s="365" t="n"/>
      <c r="E32" s="366" t="n"/>
      <c r="F32" s="10" t="n"/>
      <c r="G32" s="10" t="n"/>
      <c r="H32" s="10" t="n">
        <v>0</v>
      </c>
    </row>
    <row r="33" ht="25.5" customHeight="1" s="242">
      <c r="A33" s="171" t="n">
        <v>18</v>
      </c>
      <c r="B33" s="279" t="n"/>
      <c r="C33" s="210" t="inlineStr">
        <is>
          <t>Прайс из СД ОП</t>
        </is>
      </c>
      <c r="D33" s="290" t="inlineStr">
        <is>
          <t>Выключателя НУ 35(20)кВ, ном.ток 2500А, ном.ток отключения 25кА</t>
        </is>
      </c>
      <c r="E33" s="291" t="inlineStr">
        <is>
          <t>шт.</t>
        </is>
      </c>
      <c r="F33" s="210" t="n">
        <v>1</v>
      </c>
      <c r="G33" s="293" t="n">
        <v>0</v>
      </c>
      <c r="H33" s="192">
        <f>ROUND(F33*G33,2)</f>
        <v/>
      </c>
      <c r="I33" s="163" t="n"/>
      <c r="J33" s="372" t="n"/>
    </row>
    <row r="34" ht="25.5" customHeight="1" s="242">
      <c r="A34" s="171" t="n">
        <v>19</v>
      </c>
      <c r="B34" s="279" t="n"/>
      <c r="C34" s="210" t="inlineStr">
        <is>
          <t>Прайс из СД ОП</t>
        </is>
      </c>
      <c r="D34" s="290" t="inlineStr">
        <is>
          <t>Разъединитель трехполюсный с двумя комплектами заз. ножей</t>
        </is>
      </c>
      <c r="E34" s="291" t="inlineStr">
        <is>
          <t>шт.</t>
        </is>
      </c>
      <c r="F34" s="210" t="n">
        <v>2</v>
      </c>
      <c r="G34" s="293" t="n">
        <v>0</v>
      </c>
      <c r="H34" s="192">
        <f>ROUND(F34*G34,2)</f>
        <v/>
      </c>
      <c r="I34" s="163" t="n"/>
      <c r="J34" s="372" t="n"/>
    </row>
    <row r="35">
      <c r="A35" s="171" t="n">
        <v>20</v>
      </c>
      <c r="B35" s="279" t="n"/>
      <c r="C35" s="210" t="inlineStr">
        <is>
          <t>Прайс из СД ОП</t>
        </is>
      </c>
      <c r="D35" s="290" t="inlineStr">
        <is>
          <t xml:space="preserve">Трансформатор напряжения 35кВ    </t>
        </is>
      </c>
      <c r="E35" s="291" t="inlineStr">
        <is>
          <t>шт.</t>
        </is>
      </c>
      <c r="F35" s="210" t="n">
        <v>3</v>
      </c>
      <c r="G35" s="293" t="n">
        <v>0</v>
      </c>
      <c r="H35" s="192">
        <f>ROUND(F35*G35,2)</f>
        <v/>
      </c>
      <c r="I35" s="163" t="n"/>
      <c r="J35" s="372" t="n"/>
    </row>
    <row r="36" ht="25.5" customHeight="1" s="242">
      <c r="A36" s="171" t="n">
        <v>21</v>
      </c>
      <c r="B36" s="279" t="n"/>
      <c r="C36" s="210" t="inlineStr">
        <is>
          <t>Прайс из СД ОП</t>
        </is>
      </c>
      <c r="D36" s="290" t="inlineStr">
        <is>
          <t xml:space="preserve">Разъединитель трехполюсный с одним комплектом заз. ножей </t>
        </is>
      </c>
      <c r="E36" s="291" t="inlineStr">
        <is>
          <t>шт.</t>
        </is>
      </c>
      <c r="F36" s="210" t="n">
        <v>1</v>
      </c>
      <c r="G36" s="293" t="n">
        <v>0</v>
      </c>
      <c r="H36" s="192">
        <f>ROUND(F36*G36,2)</f>
        <v/>
      </c>
      <c r="I36" s="163" t="n"/>
      <c r="J36" s="372" t="n"/>
    </row>
    <row r="37">
      <c r="A37" s="171" t="n">
        <v>22</v>
      </c>
      <c r="B37" s="279" t="n"/>
      <c r="C37" s="210" t="inlineStr">
        <is>
          <t>Прайс из СД ОП</t>
        </is>
      </c>
      <c r="D37" s="290" t="inlineStr">
        <is>
          <t xml:space="preserve">Ограничитель напряжения ОПН-35 </t>
        </is>
      </c>
      <c r="E37" s="291" t="inlineStr">
        <is>
          <t>шт.</t>
        </is>
      </c>
      <c r="F37" s="210" t="n">
        <v>3</v>
      </c>
      <c r="G37" s="293" t="n">
        <v>0</v>
      </c>
      <c r="H37" s="192">
        <f>ROUND(F37*G37,2)</f>
        <v/>
      </c>
      <c r="I37" s="163" t="n"/>
      <c r="J37" s="372" t="n"/>
    </row>
    <row r="38">
      <c r="A38" s="280" t="inlineStr">
        <is>
          <t>Материалы</t>
        </is>
      </c>
      <c r="B38" s="365" t="n"/>
      <c r="C38" s="365" t="n"/>
      <c r="D38" s="365" t="n"/>
      <c r="E38" s="366" t="n"/>
      <c r="F38" s="280" t="n"/>
      <c r="G38" s="206" t="n"/>
      <c r="H38" s="370">
        <f>SUM(H39:H98)</f>
        <v/>
      </c>
    </row>
    <row r="39" ht="25.5" customHeight="1" s="242">
      <c r="A39" s="171" t="n">
        <v>23</v>
      </c>
      <c r="B39" s="281" t="n"/>
      <c r="C39" s="220" t="inlineStr">
        <is>
          <t>21.2.01.02-0090</t>
        </is>
      </c>
      <c r="D39" s="221" t="inlineStr">
        <is>
          <t>Провод неизолированный для воздушных линий электропередачи АС 150/19</t>
        </is>
      </c>
      <c r="E39" s="311" t="inlineStr">
        <is>
          <t>т</t>
        </is>
      </c>
      <c r="F39" s="311" t="inlineStr">
        <is>
          <t>5,219493</t>
        </is>
      </c>
      <c r="G39" s="222" t="n">
        <v>32762.18</v>
      </c>
      <c r="H39" s="192">
        <f>ROUND(F39*G39,2)</f>
        <v/>
      </c>
      <c r="I39" s="163" t="n"/>
      <c r="K39" s="152" t="n"/>
    </row>
    <row r="40" ht="38.25" customHeight="1" s="242">
      <c r="A40" s="171" t="n">
        <v>24</v>
      </c>
      <c r="B40" s="281" t="n"/>
      <c r="C40" s="210" t="inlineStr">
        <is>
          <t>20.5.04.04-0061</t>
        </is>
      </c>
      <c r="D40" s="221" t="inlineStr">
        <is>
          <t>Зажимы натяжные болтовые НБН алюминиевые для крепления многопроволочных проводов сечением 95-120 мм2</t>
        </is>
      </c>
      <c r="E40" s="311" t="inlineStr">
        <is>
          <t>шт</t>
        </is>
      </c>
      <c r="F40" s="311" t="inlineStr">
        <is>
          <t>192</t>
        </is>
      </c>
      <c r="G40" s="222" t="n">
        <v>389.85</v>
      </c>
      <c r="H40" s="192">
        <f>ROUND(F40*G40,2)</f>
        <v/>
      </c>
      <c r="I40" s="163" t="n"/>
      <c r="K40" s="152" t="n"/>
    </row>
    <row r="41">
      <c r="A41" s="171" t="n">
        <v>25</v>
      </c>
      <c r="B41" s="281" t="n"/>
      <c r="C41" s="210" t="inlineStr">
        <is>
          <t>08.1.02.20-0001</t>
        </is>
      </c>
      <c r="D41" s="221" t="inlineStr">
        <is>
          <t>Звено соединительное, диаметр 28 мм</t>
        </is>
      </c>
      <c r="E41" s="311" t="inlineStr">
        <is>
          <t>шт</t>
        </is>
      </c>
      <c r="F41" s="311" t="inlineStr">
        <is>
          <t>192</t>
        </is>
      </c>
      <c r="G41" s="222" t="n">
        <v>248.78</v>
      </c>
      <c r="H41" s="192">
        <f>ROUND(F41*G41,2)</f>
        <v/>
      </c>
      <c r="I41" s="163" t="n"/>
      <c r="K41" s="152" t="n"/>
    </row>
    <row r="42">
      <c r="A42" s="171" t="n">
        <v>26</v>
      </c>
      <c r="B42" s="281" t="n"/>
      <c r="C42" s="210" t="inlineStr">
        <is>
          <t>25.2.01.06-0101</t>
        </is>
      </c>
      <c r="D42" s="221" t="inlineStr">
        <is>
          <t>Зажим фиксирующий (КС-049-5) (КС-329)</t>
        </is>
      </c>
      <c r="E42" s="311" t="inlineStr">
        <is>
          <t>шт</t>
        </is>
      </c>
      <c r="F42" s="311" t="inlineStr">
        <is>
          <t>476</t>
        </is>
      </c>
      <c r="G42" s="222" t="n">
        <v>66.68000000000001</v>
      </c>
      <c r="H42" s="192">
        <f>ROUND(F42*G42,2)</f>
        <v/>
      </c>
      <c r="I42" s="163" t="n"/>
    </row>
    <row r="43">
      <c r="A43" s="171" t="n">
        <v>27</v>
      </c>
      <c r="B43" s="281" t="n"/>
      <c r="C43" s="210" t="inlineStr">
        <is>
          <t>20.1.02.22-0003</t>
        </is>
      </c>
      <c r="D43" s="221" t="inlineStr">
        <is>
          <t>Ушко двухлапчатое У2-12-16</t>
        </is>
      </c>
      <c r="E43" s="311" t="inlineStr">
        <is>
          <t>шт</t>
        </is>
      </c>
      <c r="F43" s="311" t="inlineStr">
        <is>
          <t>87</t>
        </is>
      </c>
      <c r="G43" s="222" t="n">
        <v>194.37</v>
      </c>
      <c r="H43" s="192">
        <f>ROUND(F43*G43,2)</f>
        <v/>
      </c>
      <c r="I43" s="163" t="n"/>
    </row>
    <row r="44">
      <c r="A44" s="171" t="n">
        <v>28</v>
      </c>
      <c r="B44" s="281" t="n"/>
      <c r="C44" s="210" t="inlineStr">
        <is>
          <t>20.2.08.05-0017</t>
        </is>
      </c>
      <c r="D44" s="221" t="inlineStr">
        <is>
          <t>Профиль монтажный</t>
        </is>
      </c>
      <c r="E44" s="311" t="inlineStr">
        <is>
          <t>шт</t>
        </is>
      </c>
      <c r="F44" s="311" t="inlineStr">
        <is>
          <t>221</t>
        </is>
      </c>
      <c r="G44" s="222" t="n">
        <v>66.81999999999999</v>
      </c>
      <c r="H44" s="192">
        <f>ROUND(F44*G44,2)</f>
        <v/>
      </c>
      <c r="I44" s="163" t="n"/>
    </row>
    <row r="45">
      <c r="A45" s="171" t="n">
        <v>29</v>
      </c>
      <c r="B45" s="281" t="n"/>
      <c r="C45" s="210" t="inlineStr">
        <is>
          <t>20.2.11.04-0011</t>
        </is>
      </c>
      <c r="D45" s="221" t="inlineStr">
        <is>
          <t>Распорки 125-1</t>
        </is>
      </c>
      <c r="E45" s="311" t="inlineStr">
        <is>
          <t>шт</t>
        </is>
      </c>
      <c r="F45" s="311" t="inlineStr">
        <is>
          <t>320</t>
        </is>
      </c>
      <c r="G45" s="222" t="n">
        <v>36.61</v>
      </c>
      <c r="H45" s="192">
        <f>ROUND(F45*G45,2)</f>
        <v/>
      </c>
      <c r="I45" s="163" t="n"/>
    </row>
    <row r="46" ht="25.5" customHeight="1" s="242">
      <c r="A46" s="171" t="n">
        <v>30</v>
      </c>
      <c r="B46" s="281" t="n"/>
      <c r="C46" s="210" t="inlineStr">
        <is>
          <t>07.2.07.04-0007</t>
        </is>
      </c>
      <c r="D46" s="221" t="inlineStr">
        <is>
          <t>Конструкции стальные индивидуальные решетчатые сварные, масса до 0,1 т</t>
        </is>
      </c>
      <c r="E46" s="311" t="inlineStr">
        <is>
          <t>т</t>
        </is>
      </c>
      <c r="F46" s="311" t="inlineStr">
        <is>
          <t>0,937</t>
        </is>
      </c>
      <c r="G46" s="222" t="n">
        <v>11500</v>
      </c>
      <c r="H46" s="192">
        <f>ROUND(F46*G46,2)</f>
        <v/>
      </c>
      <c r="I46" s="163" t="n"/>
    </row>
    <row r="47">
      <c r="A47" s="171" t="n">
        <v>31</v>
      </c>
      <c r="B47" s="281" t="n"/>
      <c r="C47" s="210" t="inlineStr">
        <is>
          <t>101-3721</t>
        </is>
      </c>
      <c r="D47" s="221" t="inlineStr">
        <is>
          <t>Сталь полосовая 50х4 мм, марка Ст3сп</t>
        </is>
      </c>
      <c r="E47" s="311" t="inlineStr">
        <is>
          <t>т</t>
        </is>
      </c>
      <c r="F47" s="311" t="n">
        <v>1.37788</v>
      </c>
      <c r="G47" s="222" t="n">
        <v>7396.23</v>
      </c>
      <c r="H47" s="192">
        <f>ROUND(F47*G47,2)</f>
        <v/>
      </c>
      <c r="I47" s="163" t="n"/>
    </row>
    <row r="48">
      <c r="A48" s="171" t="n">
        <v>32</v>
      </c>
      <c r="B48" s="281" t="n"/>
      <c r="C48" s="210" t="inlineStr">
        <is>
          <t>20.1.02.21-0071</t>
        </is>
      </c>
      <c r="D48" s="221" t="inlineStr">
        <is>
          <t>Узел крепления фиксатора : окрашенный</t>
        </is>
      </c>
      <c r="E48" s="311" t="inlineStr">
        <is>
          <t>шт</t>
        </is>
      </c>
      <c r="F48" s="311" t="n">
        <v>127</v>
      </c>
      <c r="G48" s="222" t="n">
        <v>56.95</v>
      </c>
      <c r="H48" s="192">
        <f>ROUND(F48*G48,2)</f>
        <v/>
      </c>
      <c r="I48" s="163" t="n"/>
    </row>
    <row r="49" ht="25.5" customHeight="1" s="242">
      <c r="A49" s="171" t="n">
        <v>33</v>
      </c>
      <c r="B49" s="281" t="n"/>
      <c r="C49" s="210" t="inlineStr">
        <is>
          <t>25.2.01.10-0003</t>
        </is>
      </c>
      <c r="D49" s="221" t="inlineStr">
        <is>
          <t>Коромысло: для анкеровки усиливающих и питающих проводов (КС- 122)</t>
        </is>
      </c>
      <c r="E49" s="311" t="inlineStr">
        <is>
          <t>шт</t>
        </is>
      </c>
      <c r="F49" s="311" t="n">
        <v>87</v>
      </c>
      <c r="G49" s="222" t="n">
        <v>81</v>
      </c>
      <c r="H49" s="192">
        <f>ROUND(F49*G49,2)</f>
        <v/>
      </c>
      <c r="I49" s="163" t="n"/>
    </row>
    <row r="50">
      <c r="A50" s="171" t="n">
        <v>34</v>
      </c>
      <c r="B50" s="281" t="n"/>
      <c r="C50" s="210" t="inlineStr">
        <is>
          <t>08.1.02.13-0010</t>
        </is>
      </c>
      <c r="D50" s="221" t="inlineStr">
        <is>
          <t>Рукава металлические диаметром: 27 мм РЗ-Ц-Х</t>
        </is>
      </c>
      <c r="E50" s="311" t="inlineStr">
        <is>
          <t>м</t>
        </is>
      </c>
      <c r="F50" s="311" t="n">
        <v>420</v>
      </c>
      <c r="G50" s="222" t="n">
        <v>13.56</v>
      </c>
      <c r="H50" s="192">
        <f>ROUND(F50*G50,2)</f>
        <v/>
      </c>
      <c r="I50" s="163" t="n"/>
    </row>
    <row r="51">
      <c r="A51" s="171" t="n">
        <v>35</v>
      </c>
      <c r="B51" s="281" t="n"/>
      <c r="C51" s="210" t="inlineStr">
        <is>
          <t>01.7.17.11-0001</t>
        </is>
      </c>
      <c r="D51" s="221" t="inlineStr">
        <is>
          <t>Бумага шлифовальная</t>
        </is>
      </c>
      <c r="E51" s="311" t="inlineStr">
        <is>
          <t>кг</t>
        </is>
      </c>
      <c r="F51" s="311" t="n">
        <v>96</v>
      </c>
      <c r="G51" s="222" t="n">
        <v>50</v>
      </c>
      <c r="H51" s="192">
        <f>ROUND(F51*G51,2)</f>
        <v/>
      </c>
      <c r="I51" s="163" t="n"/>
    </row>
    <row r="52" ht="38.25" customFormat="1" customHeight="1" s="148">
      <c r="A52" s="171" t="n">
        <v>36</v>
      </c>
      <c r="B52" s="281" t="n"/>
      <c r="C52" s="210" t="inlineStr">
        <is>
          <t>21.2.03.05-0055</t>
        </is>
      </c>
      <c r="D52" s="221" t="inlineStr">
        <is>
          <t>Провода силовые для электрических установок на напряжение до 450 В с медной жилой марки: ПВ1, сечением 25 мм2</t>
        </is>
      </c>
      <c r="E52" s="311" t="inlineStr">
        <is>
          <t>1000 м</t>
        </is>
      </c>
      <c r="F52" s="311" t="n">
        <v>0.1836</v>
      </c>
      <c r="G52" s="222" t="n">
        <v>19363.45</v>
      </c>
      <c r="H52" s="192">
        <f>ROUND(F52*G52,2)</f>
        <v/>
      </c>
      <c r="I52" s="163" t="n"/>
    </row>
    <row r="53">
      <c r="A53" s="171" t="n">
        <v>37</v>
      </c>
      <c r="B53" s="281" t="n"/>
      <c r="C53" s="210" t="inlineStr">
        <is>
          <t>01.7.15.03-0042</t>
        </is>
      </c>
      <c r="D53" s="221" t="inlineStr">
        <is>
          <t>Болты с гайками и шайбами строительные</t>
        </is>
      </c>
      <c r="E53" s="311" t="inlineStr">
        <is>
          <t>кг</t>
        </is>
      </c>
      <c r="F53" s="311" t="n">
        <v>309.62</v>
      </c>
      <c r="G53" s="222" t="n">
        <v>9.039999999999999</v>
      </c>
      <c r="H53" s="192">
        <f>ROUND(F53*G53,2)</f>
        <v/>
      </c>
      <c r="I53" s="163" t="n"/>
    </row>
    <row r="54">
      <c r="A54" s="171" t="n">
        <v>38</v>
      </c>
      <c r="B54" s="281" t="n"/>
      <c r="C54" s="210" t="inlineStr">
        <is>
          <t>22.1.01.02-0003</t>
        </is>
      </c>
      <c r="D54" s="221" t="inlineStr">
        <is>
          <t>Бокс ЩРН-9 навесной (250х350х120)</t>
        </is>
      </c>
      <c r="E54" s="311" t="inlineStr">
        <is>
          <t>шт</t>
        </is>
      </c>
      <c r="F54" s="311" t="n">
        <v>30</v>
      </c>
      <c r="G54" s="222" t="n">
        <v>92.25</v>
      </c>
      <c r="H54" s="192">
        <f>ROUND(F54*G54,2)</f>
        <v/>
      </c>
      <c r="I54" s="163" t="n"/>
      <c r="K54" s="152" t="n"/>
    </row>
    <row r="55" ht="25.5" customHeight="1" s="242">
      <c r="A55" s="171" t="n">
        <v>39</v>
      </c>
      <c r="B55" s="281" t="n"/>
      <c r="C55" s="210" t="inlineStr">
        <is>
          <t>08.3.07.01-0076</t>
        </is>
      </c>
      <c r="D55" s="221" t="inlineStr">
        <is>
          <t>Сталь полосовая, марка стали: Ст3сп шириной 50-200 мм толщиной 4-5 мм</t>
        </is>
      </c>
      <c r="E55" s="311" t="inlineStr">
        <is>
          <t>т</t>
        </is>
      </c>
      <c r="F55" s="311" t="n">
        <v>0.458</v>
      </c>
      <c r="G55" s="222" t="n">
        <v>5000</v>
      </c>
      <c r="H55" s="192">
        <f>ROUND(F55*G55,2)</f>
        <v/>
      </c>
      <c r="I55" s="163" t="n"/>
      <c r="K55" s="152" t="n"/>
    </row>
    <row r="56">
      <c r="A56" s="171" t="n">
        <v>40</v>
      </c>
      <c r="B56" s="281" t="n"/>
      <c r="C56" s="210" t="inlineStr">
        <is>
          <t>14.4.02.09-0001</t>
        </is>
      </c>
      <c r="D56" s="221" t="inlineStr">
        <is>
          <t>Краска</t>
        </is>
      </c>
      <c r="E56" s="311" t="inlineStr">
        <is>
          <t>кг</t>
        </is>
      </c>
      <c r="F56" s="311" t="n">
        <v>71.48</v>
      </c>
      <c r="G56" s="222" t="n">
        <v>28.6</v>
      </c>
      <c r="H56" s="192">
        <f>ROUND(F56*G56,2)</f>
        <v/>
      </c>
      <c r="I56" s="163" t="n"/>
      <c r="K56" s="152" t="n"/>
    </row>
    <row r="57">
      <c r="A57" s="171" t="n">
        <v>41</v>
      </c>
      <c r="B57" s="281" t="n"/>
      <c r="C57" s="210" t="inlineStr">
        <is>
          <t>20.1.02.14-0002</t>
        </is>
      </c>
      <c r="D57" s="221" t="inlineStr">
        <is>
          <t>Серьга Ср-4,5 075</t>
        </is>
      </c>
      <c r="E57" s="311" t="inlineStr">
        <is>
          <t>шт.</t>
        </is>
      </c>
      <c r="F57" s="311" t="n">
        <v>127</v>
      </c>
      <c r="G57" s="222" t="n">
        <v>11.39</v>
      </c>
      <c r="H57" s="192">
        <f>ROUND(F57*G57,2)</f>
        <v/>
      </c>
      <c r="I57" s="163" t="n"/>
      <c r="K57" s="152" t="n"/>
    </row>
    <row r="58" ht="25.5" customHeight="1" s="242">
      <c r="A58" s="171" t="n">
        <v>42</v>
      </c>
      <c r="B58" s="281" t="n"/>
      <c r="C58" s="210" t="inlineStr">
        <is>
          <t>101-1755</t>
        </is>
      </c>
      <c r="D58" s="221" t="inlineStr">
        <is>
          <t>Сталь полосовая, марка стали Ст3сп шириной 50-200 мм толщиной 4-5 мм</t>
        </is>
      </c>
      <c r="E58" s="311" t="inlineStr">
        <is>
          <t>т</t>
        </is>
      </c>
      <c r="F58" s="311" t="n">
        <v>0.2603</v>
      </c>
      <c r="G58" s="222" t="n">
        <v>5000</v>
      </c>
      <c r="H58" s="192">
        <f>ROUND(F58*G58,2)</f>
        <v/>
      </c>
    </row>
    <row r="59">
      <c r="A59" s="171" t="n">
        <v>43</v>
      </c>
      <c r="B59" s="281" t="n"/>
      <c r="C59" s="210" t="inlineStr">
        <is>
          <t>01.7.11.07-0034</t>
        </is>
      </c>
      <c r="D59" s="221" t="inlineStr">
        <is>
          <t>Электроды диаметром: 4 мм Э42А</t>
        </is>
      </c>
      <c r="E59" s="311" t="inlineStr">
        <is>
          <t>кг</t>
        </is>
      </c>
      <c r="F59" s="311" t="n">
        <v>121.75</v>
      </c>
      <c r="G59" s="222" t="n">
        <v>10.57</v>
      </c>
      <c r="H59" s="192">
        <f>ROUND(F59*G59,2)</f>
        <v/>
      </c>
    </row>
    <row r="60">
      <c r="A60" s="171" t="n">
        <v>44</v>
      </c>
      <c r="B60" s="281" t="n"/>
      <c r="C60" s="210" t="inlineStr">
        <is>
          <t>301-0041</t>
        </is>
      </c>
      <c r="D60" s="221" t="inlineStr">
        <is>
          <t>Патрубки</t>
        </is>
      </c>
      <c r="E60" s="311" t="inlineStr">
        <is>
          <t>10 шт.</t>
        </is>
      </c>
      <c r="F60" s="311" t="n">
        <v>4.2</v>
      </c>
      <c r="G60" s="222" t="n">
        <v>277.5</v>
      </c>
      <c r="H60" s="192">
        <f>ROUND(F60*G60,2)</f>
        <v/>
      </c>
    </row>
    <row r="61">
      <c r="A61" s="171" t="n">
        <v>45</v>
      </c>
      <c r="B61" s="281" t="n"/>
      <c r="C61" s="210" t="inlineStr">
        <is>
          <t>22.1.01.02-0002</t>
        </is>
      </c>
      <c r="D61" s="221" t="inlineStr">
        <is>
          <t>Бокс ЩРН-9 навесной (250х300х120)</t>
        </is>
      </c>
      <c r="E61" s="311" t="inlineStr">
        <is>
          <t>шт</t>
        </is>
      </c>
      <c r="F61" s="311" t="n">
        <v>11</v>
      </c>
      <c r="G61" s="222" t="n">
        <v>85.45999999999999</v>
      </c>
      <c r="H61" s="192">
        <f>ROUND(F61*G61,2)</f>
        <v/>
      </c>
    </row>
    <row r="62" ht="25.5" customHeight="1" s="242">
      <c r="A62" s="171" t="n">
        <v>46</v>
      </c>
      <c r="B62" s="281" t="n"/>
      <c r="C62" s="210" t="inlineStr">
        <is>
          <t>08.3.07.01-0076</t>
        </is>
      </c>
      <c r="D62" s="221" t="inlineStr">
        <is>
          <t>Сталь полосовая, марка стали: Ст3сп шириной 50-200 мм толщиной 4-5 мм</t>
        </is>
      </c>
      <c r="E62" s="311" t="inlineStr">
        <is>
          <t>т</t>
        </is>
      </c>
      <c r="F62" s="311" t="n">
        <v>0.157</v>
      </c>
      <c r="G62" s="222" t="n">
        <v>5000</v>
      </c>
      <c r="H62" s="192">
        <f>ROUND(F62*G62,2)</f>
        <v/>
      </c>
    </row>
    <row r="63">
      <c r="A63" s="171" t="n">
        <v>47</v>
      </c>
      <c r="B63" s="281" t="n"/>
      <c r="C63" s="210" t="inlineStr">
        <is>
          <t>25.2.01.17-0005</t>
        </is>
      </c>
      <c r="D63" s="221" t="inlineStr">
        <is>
          <t>Ушко: однолапчатое 012</t>
        </is>
      </c>
      <c r="E63" s="311" t="inlineStr">
        <is>
          <t>шт</t>
        </is>
      </c>
      <c r="F63" s="311" t="n">
        <v>18</v>
      </c>
      <c r="G63" s="222" t="n">
        <v>38.79</v>
      </c>
      <c r="H63" s="192">
        <f>ROUND(F63*G63,2)</f>
        <v/>
      </c>
    </row>
    <row r="64">
      <c r="A64" s="171" t="n">
        <v>48</v>
      </c>
      <c r="B64" s="281" t="n"/>
      <c r="C64" s="210" t="inlineStr">
        <is>
          <t>01.3.01.07-0008</t>
        </is>
      </c>
      <c r="D64" s="221" t="inlineStr">
        <is>
          <t>Спирт этиловый ректификованный технический, сорт I</t>
        </is>
      </c>
      <c r="E64" s="311" t="inlineStr">
        <is>
          <t>т</t>
        </is>
      </c>
      <c r="F64" s="311" t="n">
        <v>0.0176</v>
      </c>
      <c r="G64" s="222" t="n">
        <v>38890</v>
      </c>
      <c r="H64" s="192">
        <f>ROUND(F64*G64,2)</f>
        <v/>
      </c>
    </row>
    <row r="65" ht="25.5" customHeight="1" s="242">
      <c r="A65" s="171" t="n">
        <v>49</v>
      </c>
      <c r="B65" s="281" t="n"/>
      <c r="C65" s="210" t="inlineStr">
        <is>
          <t>999-9950</t>
        </is>
      </c>
      <c r="D65" s="221" t="inlineStr">
        <is>
          <t>Вспомогательные ненормируемые ресурсы (2% от Оплаты труда рабочих)</t>
        </is>
      </c>
      <c r="E65" s="311" t="inlineStr">
        <is>
          <t>руб.</t>
        </is>
      </c>
      <c r="F65" s="311" t="n">
        <v>617.92</v>
      </c>
      <c r="G65" s="222" t="n">
        <v>1</v>
      </c>
      <c r="H65" s="192">
        <f>ROUND(F65*G65,2)</f>
        <v/>
      </c>
    </row>
    <row r="66" ht="25.5" customHeight="1" s="242">
      <c r="A66" s="171" t="n">
        <v>50</v>
      </c>
      <c r="B66" s="281" t="n"/>
      <c r="C66" s="210" t="inlineStr">
        <is>
          <t>01.3.01.06-0050</t>
        </is>
      </c>
      <c r="D66" s="221" t="inlineStr">
        <is>
          <t>Смазка универсальная тугоплавкая УТ (консталин жировой)</t>
        </is>
      </c>
      <c r="E66" s="311" t="inlineStr">
        <is>
          <t>т</t>
        </is>
      </c>
      <c r="F66" s="311" t="n">
        <v>0.0343</v>
      </c>
      <c r="G66" s="222" t="n">
        <v>17500</v>
      </c>
      <c r="H66" s="192">
        <f>ROUND(F66*G66,2)</f>
        <v/>
      </c>
    </row>
    <row r="67">
      <c r="A67" s="171" t="n">
        <v>51</v>
      </c>
      <c r="B67" s="281" t="n"/>
      <c r="C67" s="210" t="inlineStr">
        <is>
          <t>101-1924</t>
        </is>
      </c>
      <c r="D67" s="221" t="inlineStr">
        <is>
          <t>Электроды диаметром 4 мм Э42А</t>
        </is>
      </c>
      <c r="E67" s="311" t="inlineStr">
        <is>
          <t>кг</t>
        </is>
      </c>
      <c r="F67" s="311" t="n">
        <v>55.7664</v>
      </c>
      <c r="G67" s="222" t="n">
        <v>10.57</v>
      </c>
      <c r="H67" s="192">
        <f>ROUND(F67*G67,2)</f>
        <v/>
      </c>
    </row>
    <row r="68">
      <c r="A68" s="171" t="n">
        <v>52</v>
      </c>
      <c r="B68" s="281" t="n"/>
      <c r="C68" s="210" t="inlineStr">
        <is>
          <t>01.7.20.08-0031</t>
        </is>
      </c>
      <c r="D68" s="221" t="inlineStr">
        <is>
          <t>Бязь суровая арт. 6804</t>
        </is>
      </c>
      <c r="E68" s="311" t="inlineStr">
        <is>
          <t>10 м2</t>
        </is>
      </c>
      <c r="F68" s="311" t="n">
        <v>7.403</v>
      </c>
      <c r="G68" s="222" t="n">
        <v>79.09999999999999</v>
      </c>
      <c r="H68" s="192">
        <f>ROUND(F68*G68,2)</f>
        <v/>
      </c>
      <c r="I68" s="163" t="n"/>
    </row>
    <row r="69">
      <c r="A69" s="171" t="n">
        <v>53</v>
      </c>
      <c r="B69" s="281" t="n"/>
      <c r="C69" s="210" t="inlineStr">
        <is>
          <t>01.7.15.10-0041</t>
        </is>
      </c>
      <c r="D69" s="221" t="inlineStr">
        <is>
          <t>Скобы</t>
        </is>
      </c>
      <c r="E69" s="311" t="inlineStr">
        <is>
          <t>10 шт</t>
        </is>
      </c>
      <c r="F69" s="311" t="n">
        <v>8.4</v>
      </c>
      <c r="G69" s="222" t="n">
        <v>64.8</v>
      </c>
      <c r="H69" s="192">
        <f>ROUND(F69*G69,2)</f>
        <v/>
      </c>
      <c r="I69" s="163" t="n"/>
    </row>
    <row r="70">
      <c r="A70" s="171" t="n">
        <v>54</v>
      </c>
      <c r="B70" s="281" t="n"/>
      <c r="C70" s="210" t="inlineStr">
        <is>
          <t>101-2143</t>
        </is>
      </c>
      <c r="D70" s="221" t="inlineStr">
        <is>
          <t>Краска</t>
        </is>
      </c>
      <c r="E70" s="311" t="inlineStr">
        <is>
          <t>кг</t>
        </is>
      </c>
      <c r="F70" s="311" t="n">
        <v>15.95</v>
      </c>
      <c r="G70" s="222" t="n">
        <v>28.6</v>
      </c>
      <c r="H70" s="192">
        <f>ROUND(F70*G70,2)</f>
        <v/>
      </c>
      <c r="I70" s="163" t="n"/>
    </row>
    <row r="71">
      <c r="A71" s="171" t="n">
        <v>55</v>
      </c>
      <c r="B71" s="281" t="n"/>
      <c r="C71" s="210" t="inlineStr">
        <is>
          <t>101-1977</t>
        </is>
      </c>
      <c r="D71" s="221" t="inlineStr">
        <is>
          <t>Болты с гайками и шайбами строительные</t>
        </is>
      </c>
      <c r="E71" s="311" t="inlineStr">
        <is>
          <t>кг</t>
        </is>
      </c>
      <c r="F71" s="311" t="n">
        <v>44.999</v>
      </c>
      <c r="G71" s="222" t="n">
        <v>9.039999999999999</v>
      </c>
      <c r="H71" s="192">
        <f>ROUND(F71*G71,2)</f>
        <v/>
      </c>
      <c r="I71" s="163" t="n"/>
    </row>
    <row r="72">
      <c r="A72" s="171" t="n">
        <v>56</v>
      </c>
      <c r="B72" s="281" t="n"/>
      <c r="C72" s="210" t="inlineStr">
        <is>
          <t>20.2.09.13-0011</t>
        </is>
      </c>
      <c r="D72" s="221" t="inlineStr">
        <is>
          <t>Муфта</t>
        </is>
      </c>
      <c r="E72" s="311" t="inlineStr">
        <is>
          <t>шт</t>
        </is>
      </c>
      <c r="F72" s="311" t="n">
        <v>58</v>
      </c>
      <c r="G72" s="222" t="n">
        <v>5</v>
      </c>
      <c r="H72" s="192">
        <f>ROUND(F72*G72,2)</f>
        <v/>
      </c>
      <c r="I72" s="163" t="n"/>
    </row>
    <row r="73" ht="25.5" customHeight="1" s="242">
      <c r="A73" s="171" t="n">
        <v>57</v>
      </c>
      <c r="B73" s="281" t="n"/>
      <c r="C73" s="210" t="inlineStr">
        <is>
          <t>10.2.02.07-0109</t>
        </is>
      </c>
      <c r="D73" s="221" t="inlineStr">
        <is>
          <t>Проволока латунная марки Л68 круглая, твердая, нормальной точности, диаметром: 0,50 мм</t>
        </is>
      </c>
      <c r="E73" s="311" t="inlineStr">
        <is>
          <t>т</t>
        </is>
      </c>
      <c r="F73" s="311" t="n">
        <v>0.0033</v>
      </c>
      <c r="G73" s="222" t="n">
        <v>62000</v>
      </c>
      <c r="H73" s="192">
        <f>ROUND(F73*G73,2)</f>
        <v/>
      </c>
      <c r="I73" s="163" t="n"/>
    </row>
    <row r="74" ht="25.5" customHeight="1" s="242">
      <c r="A74" s="171" t="n">
        <v>58</v>
      </c>
      <c r="B74" s="281" t="n"/>
      <c r="C74" s="210" t="inlineStr">
        <is>
          <t>999-9950</t>
        </is>
      </c>
      <c r="D74" s="221" t="inlineStr">
        <is>
          <t>Вспомогательные ненормируемые материальные ресурсы (2% от оплаты труда рабочих)</t>
        </is>
      </c>
      <c r="E74" s="311" t="inlineStr">
        <is>
          <t>руб.</t>
        </is>
      </c>
      <c r="F74" s="311" t="n">
        <v>188.7056</v>
      </c>
      <c r="G74" s="222" t="n">
        <v>1</v>
      </c>
      <c r="H74" s="192">
        <f>ROUND(F74*G74,2)</f>
        <v/>
      </c>
      <c r="I74" s="163" t="n"/>
    </row>
    <row r="75" ht="25.5" customHeight="1" s="242">
      <c r="A75" s="171" t="n">
        <v>59</v>
      </c>
      <c r="B75" s="281" t="n"/>
      <c r="C75" s="210" t="inlineStr">
        <is>
          <t>101-1627</t>
        </is>
      </c>
      <c r="D75" s="221" t="inlineStr">
        <is>
          <t>Сталь листовая углеродистая обыкновенного качества марки ВСт3пс5 толщиной 4-6 мм</t>
        </is>
      </c>
      <c r="E75" s="311" t="inlineStr">
        <is>
          <t>т</t>
        </is>
      </c>
      <c r="F75" s="311" t="n">
        <v>0.0281</v>
      </c>
      <c r="G75" s="222" t="n">
        <v>5763</v>
      </c>
      <c r="H75" s="192">
        <f>ROUND(F75*G75,2)</f>
        <v/>
      </c>
      <c r="I75" s="163" t="n"/>
    </row>
    <row r="76" ht="25.5" customHeight="1" s="242">
      <c r="A76" s="171" t="n">
        <v>60</v>
      </c>
      <c r="B76" s="281" t="n"/>
      <c r="C76" s="210" t="inlineStr">
        <is>
          <t>11.1.03.06-0021</t>
        </is>
      </c>
      <c r="D76" s="221" t="inlineStr">
        <is>
          <t>Доски обрезные (береза, липа) длиной: 4-6,5 м, все ширины, толщиной 19-22 мм, II сорта</t>
        </is>
      </c>
      <c r="E76" s="311" t="inlineStr">
        <is>
          <t>м3</t>
        </is>
      </c>
      <c r="F76" s="311" t="n">
        <v>0.08799999999999999</v>
      </c>
      <c r="G76" s="222" t="n">
        <v>1784</v>
      </c>
      <c r="H76" s="192">
        <f>ROUND(F76*G76,2)</f>
        <v/>
      </c>
      <c r="I76" s="163" t="n"/>
    </row>
    <row r="77">
      <c r="A77" s="171" t="n">
        <v>61</v>
      </c>
      <c r="B77" s="281" t="n"/>
      <c r="C77" s="210" t="inlineStr">
        <is>
          <t>101-3914</t>
        </is>
      </c>
      <c r="D77" s="221" t="inlineStr">
        <is>
          <t>Дюбели распорные полипропиленовые</t>
        </is>
      </c>
      <c r="E77" s="311" t="inlineStr">
        <is>
          <t>100 шт.</t>
        </is>
      </c>
      <c r="F77" s="311" t="n">
        <v>1.768</v>
      </c>
      <c r="G77" s="222" t="n">
        <v>86</v>
      </c>
      <c r="H77" s="192">
        <f>ROUND(F77*G77,2)</f>
        <v/>
      </c>
      <c r="I77" s="163" t="n"/>
    </row>
    <row r="78">
      <c r="A78" s="171" t="n">
        <v>62</v>
      </c>
      <c r="B78" s="281" t="n"/>
      <c r="C78" s="210" t="inlineStr">
        <is>
          <t>101-0115</t>
        </is>
      </c>
      <c r="D78" s="221" t="inlineStr">
        <is>
          <t>Винты с полукруглой головкой длиной 50 мм</t>
        </is>
      </c>
      <c r="E78" s="311" t="inlineStr">
        <is>
          <t>т</t>
        </is>
      </c>
      <c r="F78" s="311" t="n">
        <v>0.0092</v>
      </c>
      <c r="G78" s="222" t="n">
        <v>12430</v>
      </c>
      <c r="H78" s="192">
        <f>ROUND(F78*G78,2)</f>
        <v/>
      </c>
      <c r="I78" s="163" t="n"/>
    </row>
    <row r="79" ht="25.5" customHeight="1" s="242">
      <c r="A79" s="171" t="n">
        <v>63</v>
      </c>
      <c r="B79" s="281" t="n"/>
      <c r="C79" s="210" t="inlineStr">
        <is>
          <t>101-2343</t>
        </is>
      </c>
      <c r="D79" s="221" t="inlineStr">
        <is>
          <t>Смазка универсальная тугоплавкая УТ (консталин жировой)</t>
        </is>
      </c>
      <c r="E79" s="311" t="inlineStr">
        <is>
          <t>т</t>
        </is>
      </c>
      <c r="F79" s="311" t="n">
        <v>0.0065</v>
      </c>
      <c r="G79" s="222" t="n">
        <v>17500</v>
      </c>
      <c r="H79" s="192">
        <f>ROUND(F79*G79,2)</f>
        <v/>
      </c>
      <c r="I79" s="163" t="n"/>
    </row>
    <row r="80">
      <c r="A80" s="171" t="n">
        <v>64</v>
      </c>
      <c r="B80" s="281" t="n"/>
      <c r="C80" s="210" t="inlineStr">
        <is>
          <t>509-0090</t>
        </is>
      </c>
      <c r="D80" s="221" t="inlineStr">
        <is>
          <t>Перемычки гибкие, тип ПГС-50</t>
        </is>
      </c>
      <c r="E80" s="311" t="inlineStr">
        <is>
          <t>шт.</t>
        </is>
      </c>
      <c r="F80" s="311" t="n">
        <v>21</v>
      </c>
      <c r="G80" s="222" t="n">
        <v>3.9</v>
      </c>
      <c r="H80" s="192">
        <f>ROUND(F80*G80,2)</f>
        <v/>
      </c>
      <c r="I80" s="163" t="n"/>
    </row>
    <row r="81">
      <c r="A81" s="171" t="n">
        <v>65</v>
      </c>
      <c r="B81" s="281" t="n"/>
      <c r="C81" s="210" t="inlineStr">
        <is>
          <t>01.3.02.09-0022</t>
        </is>
      </c>
      <c r="D81" s="221" t="inlineStr">
        <is>
          <t>Пропан-бутан, смесь техническая</t>
        </is>
      </c>
      <c r="E81" s="311" t="inlineStr">
        <is>
          <t>кг</t>
        </is>
      </c>
      <c r="F81" s="311" t="n">
        <v>11</v>
      </c>
      <c r="G81" s="222" t="n">
        <v>6.09</v>
      </c>
      <c r="H81" s="192">
        <f>ROUND(F81*G81,2)</f>
        <v/>
      </c>
      <c r="I81" s="163" t="n"/>
    </row>
    <row r="82" customFormat="1" s="148">
      <c r="A82" s="171" t="n">
        <v>66</v>
      </c>
      <c r="B82" s="281" t="n"/>
      <c r="C82" s="210" t="inlineStr">
        <is>
          <t>20.5.04.11-0021</t>
        </is>
      </c>
      <c r="D82" s="221" t="inlineStr">
        <is>
          <t>Зажимы</t>
        </is>
      </c>
      <c r="E82" s="311" t="inlineStr">
        <is>
          <t>100 шт</t>
        </is>
      </c>
      <c r="F82" s="311" t="n">
        <v>0.03</v>
      </c>
      <c r="G82" s="222" t="n">
        <v>1776</v>
      </c>
      <c r="H82" s="192">
        <f>ROUND(F82*G82,2)</f>
        <v/>
      </c>
      <c r="I82" s="163" t="n"/>
    </row>
    <row r="83">
      <c r="A83" s="171" t="n">
        <v>67</v>
      </c>
      <c r="B83" s="281" t="n"/>
      <c r="C83" s="210" t="inlineStr">
        <is>
          <t>01.7.15.06-0121</t>
        </is>
      </c>
      <c r="D83" s="221" t="inlineStr">
        <is>
          <t>Гвозди строительные с плоской головкой: 1,6x50 мм</t>
        </is>
      </c>
      <c r="E83" s="311" t="inlineStr">
        <is>
          <t>т</t>
        </is>
      </c>
      <c r="F83" s="311" t="n">
        <v>0.0044</v>
      </c>
      <c r="G83" s="222" t="n">
        <v>8475</v>
      </c>
      <c r="H83" s="192">
        <f>ROUND(F83*G83,2)</f>
        <v/>
      </c>
      <c r="I83" s="163" t="n"/>
    </row>
    <row r="84">
      <c r="A84" s="171" t="n">
        <v>68</v>
      </c>
      <c r="B84" s="281" t="n"/>
      <c r="C84" s="210" t="inlineStr">
        <is>
          <t>509-0031</t>
        </is>
      </c>
      <c r="D84" s="221" t="inlineStr">
        <is>
          <t>Муфты соединительные</t>
        </is>
      </c>
      <c r="E84" s="311" t="inlineStr">
        <is>
          <t>шт.</t>
        </is>
      </c>
      <c r="F84" s="311" t="n">
        <v>42</v>
      </c>
      <c r="G84" s="222" t="n">
        <v>0.71</v>
      </c>
      <c r="H84" s="192">
        <f>ROUND(F84*G84,2)</f>
        <v/>
      </c>
      <c r="I84" s="163" t="n"/>
      <c r="K84" s="152" t="n"/>
    </row>
    <row r="85">
      <c r="A85" s="171" t="n">
        <v>69</v>
      </c>
      <c r="B85" s="281" t="n"/>
      <c r="C85" s="210" t="inlineStr">
        <is>
          <t>101-0113</t>
        </is>
      </c>
      <c r="D85" s="221" t="inlineStr">
        <is>
          <t>Бязь суровая арт. 6804</t>
        </is>
      </c>
      <c r="E85" s="311" t="inlineStr">
        <is>
          <t>10 м2</t>
        </is>
      </c>
      <c r="F85" s="311" t="n">
        <v>0.252</v>
      </c>
      <c r="G85" s="222" t="n">
        <v>79.09999999999999</v>
      </c>
      <c r="H85" s="192">
        <f>ROUND(F85*G85,2)</f>
        <v/>
      </c>
      <c r="I85" s="163" t="n"/>
      <c r="K85" s="152" t="n"/>
    </row>
    <row r="86">
      <c r="A86" s="171" t="n">
        <v>70</v>
      </c>
      <c r="B86" s="281" t="n"/>
      <c r="C86" s="210" t="inlineStr">
        <is>
          <t>101-1728</t>
        </is>
      </c>
      <c r="D86" s="221" t="inlineStr">
        <is>
          <t>Дюбели распорные с гайкой</t>
        </is>
      </c>
      <c r="E86" s="311" t="inlineStr">
        <is>
          <t>100 шт.</t>
        </is>
      </c>
      <c r="F86" s="311" t="n">
        <v>0.1256</v>
      </c>
      <c r="G86" s="222" t="n">
        <v>110</v>
      </c>
      <c r="H86" s="192">
        <f>ROUND(F86*G86,2)</f>
        <v/>
      </c>
      <c r="I86" s="163" t="n"/>
      <c r="K86" s="152" t="n"/>
    </row>
    <row r="87">
      <c r="A87" s="171" t="n">
        <v>71</v>
      </c>
      <c r="B87" s="281" t="n"/>
      <c r="C87" s="210" t="inlineStr">
        <is>
          <t>01.3.02.08-0001</t>
        </is>
      </c>
      <c r="D87" s="221" t="inlineStr">
        <is>
          <t>Кислород технический: газообразный</t>
        </is>
      </c>
      <c r="E87" s="311" t="inlineStr">
        <is>
          <t>м3</t>
        </is>
      </c>
      <c r="F87" s="311" t="n">
        <v>2.2</v>
      </c>
      <c r="G87" s="222" t="n">
        <v>6.22</v>
      </c>
      <c r="H87" s="192">
        <f>ROUND(F87*G87,2)</f>
        <v/>
      </c>
      <c r="I87" s="163" t="n"/>
      <c r="K87" s="152" t="n"/>
    </row>
    <row r="88" ht="25.5" customHeight="1" s="242">
      <c r="A88" s="171" t="n">
        <v>72</v>
      </c>
      <c r="B88" s="281" t="n"/>
      <c r="C88" s="210" t="inlineStr">
        <is>
          <t>101-1306</t>
        </is>
      </c>
      <c r="D88" s="221" t="inlineStr">
        <is>
          <t>Портландцемент общестроительного назначения бездобавочный, марки 500</t>
        </is>
      </c>
      <c r="E88" s="311" t="inlineStr">
        <is>
          <t>т</t>
        </is>
      </c>
      <c r="F88" s="311" t="n">
        <v>0.0283</v>
      </c>
      <c r="G88" s="222" t="n">
        <v>480</v>
      </c>
      <c r="H88" s="192">
        <f>ROUND(F88*G88,2)</f>
        <v/>
      </c>
    </row>
    <row r="89">
      <c r="A89" s="171" t="n">
        <v>73</v>
      </c>
      <c r="B89" s="281" t="n"/>
      <c r="C89" s="210" t="inlineStr">
        <is>
          <t>509-0783</t>
        </is>
      </c>
      <c r="D89" s="221" t="inlineStr">
        <is>
          <t>Втулки изолирующие</t>
        </is>
      </c>
      <c r="E89" s="311" t="inlineStr">
        <is>
          <t>шт.</t>
        </is>
      </c>
      <c r="F89" s="311" t="n">
        <v>42</v>
      </c>
      <c r="G89" s="222" t="n">
        <v>0.27</v>
      </c>
      <c r="H89" s="192">
        <f>ROUND(F89*G89,2)</f>
        <v/>
      </c>
    </row>
    <row r="90" ht="25.5" customHeight="1" s="242">
      <c r="A90" s="171" t="n">
        <v>74</v>
      </c>
      <c r="B90" s="281" t="n"/>
      <c r="C90" s="210" t="inlineStr">
        <is>
          <t>506-1362</t>
        </is>
      </c>
      <c r="D90" s="221" t="inlineStr">
        <is>
          <t>Припои оловянно-свинцовые бессурьмянистые марки ПОС30</t>
        </is>
      </c>
      <c r="E90" s="311" t="inlineStr">
        <is>
          <t>кг</t>
        </is>
      </c>
      <c r="F90" s="311" t="n">
        <v>0.1404</v>
      </c>
      <c r="G90" s="222" t="n">
        <v>68.05</v>
      </c>
      <c r="H90" s="192">
        <f>ROUND(F90*G90,2)</f>
        <v/>
      </c>
    </row>
    <row r="91">
      <c r="A91" s="171" t="n">
        <v>75</v>
      </c>
      <c r="B91" s="281" t="n"/>
      <c r="C91" s="210" t="inlineStr">
        <is>
          <t>01.7.07.12-0021</t>
        </is>
      </c>
      <c r="D91" s="221" t="inlineStr">
        <is>
          <t>Пленка полиэтиленовая толщиной: 0,2-0,5 мм</t>
        </is>
      </c>
      <c r="E91" s="311" t="inlineStr">
        <is>
          <t>т</t>
        </is>
      </c>
      <c r="F91" s="311" t="n">
        <v>0.0002</v>
      </c>
      <c r="G91" s="222" t="n">
        <v>23500</v>
      </c>
      <c r="H91" s="192">
        <f>ROUND(F91*G91,2)</f>
        <v/>
      </c>
    </row>
    <row r="92">
      <c r="A92" s="171" t="n">
        <v>76</v>
      </c>
      <c r="B92" s="281" t="n"/>
      <c r="C92" s="210" t="inlineStr">
        <is>
          <t>101-4621</t>
        </is>
      </c>
      <c r="D92" s="221" t="inlineStr">
        <is>
          <t>Шуруп самонарезающий (LN) 3,5/11 мм</t>
        </is>
      </c>
      <c r="E92" s="311" t="inlineStr">
        <is>
          <t>шт.</t>
        </is>
      </c>
      <c r="F92" s="311" t="n">
        <v>176.8</v>
      </c>
      <c r="G92" s="222" t="n">
        <v>0.02</v>
      </c>
      <c r="H92" s="192">
        <f>ROUND(F92*G92,2)</f>
        <v/>
      </c>
    </row>
    <row r="93">
      <c r="A93" s="171" t="n">
        <v>77</v>
      </c>
      <c r="B93" s="281" t="n"/>
      <c r="C93" s="210" t="inlineStr">
        <is>
          <t>113-1786</t>
        </is>
      </c>
      <c r="D93" s="221" t="inlineStr">
        <is>
          <t>Лак битумный БТ-123</t>
        </is>
      </c>
      <c r="E93" s="311" t="inlineStr">
        <is>
          <t>т</t>
        </is>
      </c>
      <c r="F93" s="311" t="n">
        <v>0.0004</v>
      </c>
      <c r="G93" s="222" t="n">
        <v>7826.9</v>
      </c>
      <c r="H93" s="192">
        <f>ROUND(F93*G93,2)</f>
        <v/>
      </c>
    </row>
    <row r="94">
      <c r="A94" s="171" t="n">
        <v>78</v>
      </c>
      <c r="B94" s="281" t="n"/>
      <c r="C94" s="210" t="inlineStr">
        <is>
          <t>101-2478</t>
        </is>
      </c>
      <c r="D94" s="221" t="inlineStr">
        <is>
          <t>Лента К226</t>
        </is>
      </c>
      <c r="E94" s="311" t="inlineStr">
        <is>
          <t>100 м</t>
        </is>
      </c>
      <c r="F94" s="311" t="n">
        <v>0.0132</v>
      </c>
      <c r="G94" s="222" t="n">
        <v>120</v>
      </c>
      <c r="H94" s="192">
        <f>ROUND(F94*G94,2)</f>
        <v/>
      </c>
    </row>
    <row r="95">
      <c r="A95" s="171" t="n">
        <v>79</v>
      </c>
      <c r="B95" s="281" t="n"/>
      <c r="C95" s="210" t="inlineStr">
        <is>
          <t>101-2357</t>
        </is>
      </c>
      <c r="D95" s="221" t="inlineStr">
        <is>
          <t>Бумага шлифовальная</t>
        </is>
      </c>
      <c r="E95" s="311" t="inlineStr">
        <is>
          <t>лист</t>
        </is>
      </c>
      <c r="F95" s="311" t="n">
        <v>0.4</v>
      </c>
      <c r="G95" s="222" t="n">
        <v>3.75</v>
      </c>
      <c r="H95" s="192">
        <f>ROUND(F95*G95,2)</f>
        <v/>
      </c>
    </row>
    <row r="96" ht="25.5" customHeight="1" s="242">
      <c r="A96" s="171" t="n">
        <v>80</v>
      </c>
      <c r="B96" s="281" t="n"/>
      <c r="C96" s="210" t="inlineStr">
        <is>
          <t>408-0141</t>
        </is>
      </c>
      <c r="D96" s="221" t="inlineStr">
        <is>
          <t>Песок природный для строительных растворов средний</t>
        </is>
      </c>
      <c r="E96" s="311" t="inlineStr">
        <is>
          <t>м3</t>
        </is>
      </c>
      <c r="F96" s="311" t="n">
        <v>0.0236</v>
      </c>
      <c r="G96" s="222" t="n">
        <v>59.99</v>
      </c>
      <c r="H96" s="192">
        <f>ROUND(F96*G96,2)</f>
        <v/>
      </c>
    </row>
    <row r="97">
      <c r="A97" s="171" t="n">
        <v>81</v>
      </c>
      <c r="B97" s="281" t="n"/>
      <c r="C97" s="210" t="inlineStr">
        <is>
          <t>01.7.02.09-0002</t>
        </is>
      </c>
      <c r="D97" s="221" t="inlineStr">
        <is>
          <t>Шпагат бумажный</t>
        </is>
      </c>
      <c r="E97" s="311" t="inlineStr">
        <is>
          <t>кг</t>
        </is>
      </c>
      <c r="F97" s="311" t="n">
        <v>0.11</v>
      </c>
      <c r="G97" s="222" t="n">
        <v>11.5</v>
      </c>
      <c r="H97" s="192">
        <f>ROUND(F97*G97,2)</f>
        <v/>
      </c>
    </row>
    <row r="98">
      <c r="A98" s="171" t="n">
        <v>82</v>
      </c>
      <c r="B98" s="281" t="n"/>
      <c r="C98" s="210" t="inlineStr">
        <is>
          <t>101-1481</t>
        </is>
      </c>
      <c r="D98" s="221" t="inlineStr">
        <is>
          <t>Шурупы с полукруглой головкой 4x40 мм</t>
        </is>
      </c>
      <c r="E98" s="311" t="inlineStr">
        <is>
          <t>т</t>
        </is>
      </c>
      <c r="F98" s="311" t="n">
        <v>0.0001</v>
      </c>
      <c r="G98" s="222" t="n">
        <v>12430</v>
      </c>
      <c r="H98" s="192">
        <f>ROUND(F98*G98,2)</f>
        <v/>
      </c>
      <c r="I98" s="163" t="n"/>
    </row>
    <row r="101">
      <c r="B101" s="244" t="inlineStr">
        <is>
          <t>Составил ______________________    Е. М. Добровольская</t>
        </is>
      </c>
    </row>
    <row r="102">
      <c r="B102" s="138" t="inlineStr">
        <is>
          <t xml:space="preserve">                         (подпись, инициалы, фамилия)</t>
        </is>
      </c>
    </row>
    <row r="104">
      <c r="B104" s="244" t="inlineStr">
        <is>
          <t>Проверил ______________________        А.В. Костянецкая</t>
        </is>
      </c>
    </row>
    <row r="105">
      <c r="B105" s="13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E9:E10"/>
    <mergeCell ref="A4:H4"/>
    <mergeCell ref="F9:F10"/>
    <mergeCell ref="A16:E16"/>
    <mergeCell ref="A9:A10"/>
    <mergeCell ref="A38:E38"/>
    <mergeCell ref="A12:E12"/>
    <mergeCell ref="A2:H2"/>
    <mergeCell ref="A32:E32"/>
    <mergeCell ref="G9:H9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83" min="0" max="7" man="1"/>
  </rowBreaks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242" min="1" max="1"/>
    <col width="36.28515625" customWidth="1" style="242" min="2" max="2"/>
    <col width="18.85546875" customWidth="1" style="242" min="3" max="3"/>
    <col width="18.28515625" customWidth="1" style="242" min="4" max="4"/>
    <col width="18.85546875" customWidth="1" style="242" min="5" max="5"/>
    <col width="13.42578125" customWidth="1" style="242" min="7" max="7"/>
    <col width="13.5703125" customWidth="1" style="242" min="12" max="12"/>
  </cols>
  <sheetData>
    <row r="1">
      <c r="B1" s="232" t="n"/>
      <c r="C1" s="232" t="n"/>
      <c r="D1" s="232" t="n"/>
      <c r="E1" s="232" t="n"/>
    </row>
    <row r="2">
      <c r="B2" s="232" t="n"/>
      <c r="C2" s="232" t="n"/>
      <c r="D2" s="232" t="n"/>
      <c r="E2" s="306" t="inlineStr">
        <is>
          <t>Приложение № 4</t>
        </is>
      </c>
    </row>
    <row r="3">
      <c r="B3" s="232" t="n"/>
      <c r="C3" s="232" t="n"/>
      <c r="D3" s="232" t="n"/>
      <c r="E3" s="232" t="n"/>
    </row>
    <row r="4">
      <c r="B4" s="232" t="n"/>
      <c r="C4" s="232" t="n"/>
      <c r="D4" s="232" t="n"/>
      <c r="E4" s="232" t="n"/>
    </row>
    <row r="5">
      <c r="B5" s="261" t="inlineStr">
        <is>
          <t>Ресурсная модель</t>
        </is>
      </c>
    </row>
    <row r="6">
      <c r="B6" s="157" t="n"/>
      <c r="C6" s="232" t="n"/>
      <c r="D6" s="232" t="n"/>
      <c r="E6" s="232" t="n"/>
    </row>
    <row r="7" ht="25.5" customHeight="1" s="242">
      <c r="B7" s="288" t="inlineStr">
        <is>
          <t>Наименование разрабатываемого показателя УНЦ — Демонтаж ячейки выключателя НУ 35кВ</t>
        </is>
      </c>
    </row>
    <row r="8">
      <c r="B8" s="289" t="inlineStr">
        <is>
          <t>Единица измерения  — 1 ячейка</t>
        </is>
      </c>
    </row>
    <row r="9">
      <c r="B9" s="157" t="n"/>
      <c r="C9" s="232" t="n"/>
      <c r="D9" s="232" t="n"/>
      <c r="E9" s="232" t="n"/>
    </row>
    <row r="10" ht="51" customHeight="1" s="242">
      <c r="B10" s="291" t="inlineStr">
        <is>
          <t>Наименование</t>
        </is>
      </c>
      <c r="C10" s="291" t="inlineStr">
        <is>
          <t>Сметная стоимость в ценах на 01.01.2023
 (руб.)</t>
        </is>
      </c>
      <c r="D10" s="291" t="inlineStr">
        <is>
          <t>Удельный вес, 
(в СМР)</t>
        </is>
      </c>
      <c r="E10" s="29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4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4">
        <f>'Прил.5 Расчет СМР и ОБ'!J37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4">
        <f>'Прил.5 Расчет СМР и ОБ'!J39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4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4">
        <f>'Прил.5 Расчет СМР и ОБ'!J49</f>
        <v/>
      </c>
      <c r="D17" s="26">
        <f>C17/$C$24</f>
        <v/>
      </c>
      <c r="E17" s="26">
        <f>C17/$C$40</f>
        <v/>
      </c>
      <c r="G17" s="372" t="n"/>
    </row>
    <row r="18">
      <c r="B18" s="24" t="inlineStr">
        <is>
          <t>МАТЕРИАЛЫ, ВСЕГО:</t>
        </is>
      </c>
      <c r="C18" s="23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3">
        <f>'Прил.5 Расчет СМР и ОБ'!D55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3">
        <f>'Прил.5 Расчет СМР и ОБ'!D53</f>
        <v/>
      </c>
      <c r="D23" s="26" t="n"/>
      <c r="E23" s="24" t="n"/>
    </row>
    <row r="24">
      <c r="B24" s="24" t="inlineStr">
        <is>
          <t>ВСЕГО СМР с НР и СП</t>
        </is>
      </c>
      <c r="C24" s="234">
        <f>C19+C20+C22</f>
        <v/>
      </c>
      <c r="D24" s="26">
        <f>C24/$C$24</f>
        <v/>
      </c>
      <c r="E24" s="26">
        <f>C24/$C$40</f>
        <v/>
      </c>
    </row>
    <row r="25" ht="25.5" customHeight="1" s="242">
      <c r="B25" s="24" t="inlineStr">
        <is>
          <t>ВСЕГО стоимость оборудования, в том числе</t>
        </is>
      </c>
      <c r="C25" s="234">
        <f>'Прил.5 Расчет СМР и ОБ'!J44</f>
        <v/>
      </c>
      <c r="D25" s="26" t="n"/>
      <c r="E25" s="26">
        <f>C25/$C$40</f>
        <v/>
      </c>
    </row>
    <row r="26" ht="25.5" customHeight="1" s="242">
      <c r="B26" s="24" t="inlineStr">
        <is>
          <t>стоимость оборудования технологического</t>
        </is>
      </c>
      <c r="C26" s="234">
        <f>'Прил.5 Расчет СМР и ОБ'!J45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7">
        <f>'Прил.5 Расчет СМР и ОБ'!J58</f>
        <v/>
      </c>
      <c r="D27" s="26" t="n"/>
      <c r="E27" s="26">
        <f>C27/$C$40</f>
        <v/>
      </c>
      <c r="G27" s="155" t="n"/>
    </row>
    <row r="28" ht="33" customHeight="1" s="24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2">
      <c r="B29" s="24" t="inlineStr">
        <is>
          <t>Временные здания и сооружения - 3,9%</t>
        </is>
      </c>
      <c r="C29" s="187">
        <f>ROUND(C24*3.9%,2)</f>
        <v/>
      </c>
      <c r="D29" s="24" t="n"/>
      <c r="E29" s="26" t="n">
        <v>0.039</v>
      </c>
    </row>
    <row r="30" ht="38.25" customHeight="1" s="24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7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42">
      <c r="B32" s="24" t="inlineStr">
        <is>
          <t>Затраты по перевозке работников к месту работы и обратно</t>
        </is>
      </c>
      <c r="C32" s="187" t="n">
        <v>0</v>
      </c>
      <c r="D32" s="24" t="n"/>
      <c r="E32" s="26">
        <f>C32/$C$40</f>
        <v/>
      </c>
    </row>
    <row r="33" ht="25.5" customHeight="1" s="242">
      <c r="B33" s="24" t="inlineStr">
        <is>
          <t>Затраты, связанные с осуществлением работ вахтовым методом</t>
        </is>
      </c>
      <c r="C33" s="187">
        <f>ROUND(C27*0%,2)</f>
        <v/>
      </c>
      <c r="D33" s="24" t="n"/>
      <c r="E33" s="26">
        <f>C33/$C$40</f>
        <v/>
      </c>
    </row>
    <row r="34" ht="51" customHeight="1" s="24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7" t="n">
        <v>0</v>
      </c>
      <c r="D34" s="24" t="n"/>
      <c r="E34" s="26">
        <f>C34/$C$40</f>
        <v/>
      </c>
    </row>
    <row r="35" ht="76.5" customHeight="1" s="24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7">
        <f>ROUND(C27*0%,2)</f>
        <v/>
      </c>
      <c r="D35" s="24" t="n"/>
      <c r="E35" s="26">
        <f>C35/$C$40</f>
        <v/>
      </c>
    </row>
    <row r="36" ht="25.5" customHeight="1" s="242">
      <c r="B36" s="24" t="inlineStr">
        <is>
          <t>Строительный контроль и содержание службы заказчика - 2,14%</t>
        </is>
      </c>
      <c r="C36" s="187">
        <f>ROUND((C27+C32+C33+C34+C35+C29+C31+C30)*2.14%,2)</f>
        <v/>
      </c>
      <c r="D36" s="24" t="n"/>
      <c r="E36" s="26">
        <f>C36/$C$40</f>
        <v/>
      </c>
      <c r="G36" s="208" t="n"/>
      <c r="L36" s="155" t="n"/>
    </row>
    <row r="37">
      <c r="B37" s="24" t="inlineStr">
        <is>
          <t>Авторский надзор - 0,2%</t>
        </is>
      </c>
      <c r="C37" s="187">
        <f>ROUND((C27+C32+C33+C34+C35+C29+C31+C30)*0.2%,2)</f>
        <v/>
      </c>
      <c r="D37" s="24" t="n"/>
      <c r="E37" s="26">
        <f>C37/$C$40</f>
        <v/>
      </c>
      <c r="G37" s="209" t="n"/>
      <c r="L37" s="155" t="n"/>
    </row>
    <row r="38" ht="38.25" customHeight="1" s="242">
      <c r="B38" s="24" t="inlineStr">
        <is>
          <t>ИТОГО (СМР+ОБОРУДОВАНИЕ+ПРОЧ. ЗАТР., УЧТЕННЫЕ ПОКАЗАТЕЛЕМ)</t>
        </is>
      </c>
      <c r="C38" s="234">
        <f>C27+C32+C33+C34+C35+C29+C31+C30+C36+C37</f>
        <v/>
      </c>
      <c r="D38" s="24" t="n"/>
      <c r="E38" s="26">
        <f>C38/$C$40</f>
        <v/>
      </c>
    </row>
    <row r="39" ht="13.5" customHeight="1" s="242">
      <c r="B39" s="24" t="inlineStr">
        <is>
          <t>Непредвиденные расходы</t>
        </is>
      </c>
      <c r="C39" s="23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4">
        <f>C40/'Прил.5 Расчет СМР и ОБ'!E59</f>
        <v/>
      </c>
      <c r="D41" s="24" t="n"/>
      <c r="E41" s="24" t="n"/>
    </row>
    <row r="42">
      <c r="B42" s="153" t="n"/>
      <c r="C42" s="232" t="n"/>
      <c r="D42" s="232" t="n"/>
      <c r="E42" s="232" t="n"/>
    </row>
    <row r="43">
      <c r="B43" s="153" t="inlineStr">
        <is>
          <t>Составил ____________________________  Е. М. Добровольская</t>
        </is>
      </c>
      <c r="C43" s="232" t="n"/>
      <c r="D43" s="232" t="n"/>
      <c r="E43" s="232" t="n"/>
    </row>
    <row r="44">
      <c r="B44" s="153" t="inlineStr">
        <is>
          <t xml:space="preserve">(должность, подпись, инициалы, фамилия) </t>
        </is>
      </c>
      <c r="C44" s="232" t="n"/>
      <c r="D44" s="232" t="n"/>
      <c r="E44" s="232" t="n"/>
    </row>
    <row r="45">
      <c r="B45" s="153" t="n"/>
      <c r="C45" s="232" t="n"/>
      <c r="D45" s="232" t="n"/>
      <c r="E45" s="232" t="n"/>
    </row>
    <row r="46">
      <c r="B46" s="153" t="inlineStr">
        <is>
          <t>Проверил ____________________________ А.В. Костянецкая</t>
        </is>
      </c>
      <c r="C46" s="232" t="n"/>
      <c r="D46" s="232" t="n"/>
      <c r="E46" s="232" t="n"/>
    </row>
    <row r="47">
      <c r="B47" s="289" t="inlineStr">
        <is>
          <t>(должность, подпись, инициалы, фамилия)</t>
        </is>
      </c>
      <c r="D47" s="232" t="n"/>
      <c r="E47" s="232" t="n"/>
    </row>
    <row r="49">
      <c r="B49" s="232" t="n"/>
      <c r="C49" s="232" t="n"/>
      <c r="D49" s="232" t="n"/>
      <c r="E49" s="232" t="n"/>
    </row>
    <row r="50">
      <c r="B50" s="232" t="n"/>
      <c r="C50" s="232" t="n"/>
      <c r="D50" s="232" t="n"/>
      <c r="E50" s="2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5"/>
  <sheetViews>
    <sheetView view="pageBreakPreview" topLeftCell="A45" zoomScale="70" workbookViewId="0">
      <selection activeCell="B61" sqref="B61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42">
      <c r="H2" s="301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32">
      <c r="A4" s="261" t="inlineStr">
        <is>
          <t>Расчет стоимости СМР и оборудования</t>
        </is>
      </c>
    </row>
    <row r="5" ht="12.75" customFormat="1" customHeight="1" s="232">
      <c r="A5" s="261" t="n"/>
      <c r="B5" s="261" t="n"/>
      <c r="C5" s="313" t="n"/>
      <c r="D5" s="261" t="n"/>
      <c r="E5" s="261" t="n"/>
      <c r="F5" s="261" t="n"/>
      <c r="G5" s="261" t="n"/>
      <c r="H5" s="261" t="n"/>
      <c r="I5" s="261" t="n"/>
      <c r="J5" s="261" t="n"/>
    </row>
    <row r="6" ht="12.75" customFormat="1" customHeight="1" s="232">
      <c r="A6" s="136" t="inlineStr">
        <is>
          <t>Наименование разрабатываемого показателя УНЦ</t>
        </is>
      </c>
      <c r="B6" s="135" t="n"/>
      <c r="C6" s="135" t="n"/>
      <c r="D6" s="264" t="inlineStr">
        <is>
          <t>Демонтаж ячейки выключателя НУ 35кВ</t>
        </is>
      </c>
    </row>
    <row r="7" ht="12.75" customFormat="1" customHeight="1" s="232">
      <c r="A7" s="264" t="inlineStr">
        <is>
          <t>Единица измерения  — 1 ячейка</t>
        </is>
      </c>
      <c r="I7" s="288" t="n"/>
      <c r="J7" s="288" t="n"/>
    </row>
    <row r="8" ht="13.5" customFormat="1" customHeight="1" s="232">
      <c r="A8" s="264" t="n"/>
    </row>
    <row r="9" ht="27" customHeight="1" s="242">
      <c r="A9" s="291" t="inlineStr">
        <is>
          <t>№ пп.</t>
        </is>
      </c>
      <c r="B9" s="291" t="inlineStr">
        <is>
          <t>Код ресурса</t>
        </is>
      </c>
      <c r="C9" s="291" t="inlineStr">
        <is>
          <t>Наименование</t>
        </is>
      </c>
      <c r="D9" s="291" t="inlineStr">
        <is>
          <t>Ед. изм.</t>
        </is>
      </c>
      <c r="E9" s="291" t="inlineStr">
        <is>
          <t>Кол-во единиц по проектным данным</t>
        </is>
      </c>
      <c r="F9" s="291" t="inlineStr">
        <is>
          <t>Сметная стоимость в ценах на 01.01.2000 (руб.)</t>
        </is>
      </c>
      <c r="G9" s="366" t="n"/>
      <c r="H9" s="291" t="inlineStr">
        <is>
          <t>Удельный вес, %</t>
        </is>
      </c>
      <c r="I9" s="291" t="inlineStr">
        <is>
          <t>Сметная стоимость в ценах на 01.01.2023 (руб.)</t>
        </is>
      </c>
      <c r="J9" s="366" t="n"/>
      <c r="M9" s="238" t="n"/>
      <c r="N9" s="238" t="n"/>
    </row>
    <row r="10" ht="28.5" customHeight="1" s="242">
      <c r="A10" s="368" t="n"/>
      <c r="B10" s="368" t="n"/>
      <c r="C10" s="368" t="n"/>
      <c r="D10" s="368" t="n"/>
      <c r="E10" s="368" t="n"/>
      <c r="F10" s="291" t="inlineStr">
        <is>
          <t>на ед. изм.</t>
        </is>
      </c>
      <c r="G10" s="291" t="inlineStr">
        <is>
          <t>общая</t>
        </is>
      </c>
      <c r="H10" s="368" t="n"/>
      <c r="I10" s="291" t="inlineStr">
        <is>
          <t>на ед. изм.</t>
        </is>
      </c>
      <c r="J10" s="291" t="inlineStr">
        <is>
          <t>общая</t>
        </is>
      </c>
      <c r="M10" s="238" t="n"/>
      <c r="N10" s="238" t="n"/>
    </row>
    <row r="11">
      <c r="A11" s="291" t="n">
        <v>1</v>
      </c>
      <c r="B11" s="291" t="n">
        <v>2</v>
      </c>
      <c r="C11" s="291" t="n">
        <v>3</v>
      </c>
      <c r="D11" s="291" t="n">
        <v>4</v>
      </c>
      <c r="E11" s="291" t="n">
        <v>5</v>
      </c>
      <c r="F11" s="291" t="n">
        <v>6</v>
      </c>
      <c r="G11" s="291" t="n">
        <v>7</v>
      </c>
      <c r="H11" s="291" t="n">
        <v>8</v>
      </c>
      <c r="I11" s="304" t="n">
        <v>9</v>
      </c>
      <c r="J11" s="304" t="n">
        <v>10</v>
      </c>
      <c r="M11" s="238" t="n"/>
      <c r="N11" s="238" t="n"/>
    </row>
    <row r="12">
      <c r="A12" s="291" t="n"/>
      <c r="B12" s="279" t="inlineStr">
        <is>
          <t>Затраты труда рабочих-строителей</t>
        </is>
      </c>
      <c r="C12" s="365" t="n"/>
      <c r="D12" s="365" t="n"/>
      <c r="E12" s="365" t="n"/>
      <c r="F12" s="365" t="n"/>
      <c r="G12" s="365" t="n"/>
      <c r="H12" s="366" t="n"/>
      <c r="I12" s="179" t="n"/>
      <c r="J12" s="179" t="n"/>
    </row>
    <row r="13" ht="25.5" customHeight="1" s="242">
      <c r="A13" s="291" t="n">
        <v>1</v>
      </c>
      <c r="B13" s="210" t="inlineStr">
        <is>
          <t>1-4-0</t>
        </is>
      </c>
      <c r="C13" s="221" t="inlineStr">
        <is>
          <t>Затраты труда рабочих (средний разряд работы 4,0)</t>
        </is>
      </c>
      <c r="D13" s="291" t="inlineStr">
        <is>
          <t>чел.-ч.</t>
        </is>
      </c>
      <c r="E13" s="373" t="n">
        <v>2095.9833679834</v>
      </c>
      <c r="F13" s="192" t="n">
        <v>9.619999999999999</v>
      </c>
      <c r="G13" s="192">
        <f>'Прил. 3'!H12</f>
        <v/>
      </c>
      <c r="H13" s="294">
        <f>G13/G14</f>
        <v/>
      </c>
      <c r="I13" s="192">
        <f>'ФОТр.тек.'!E13</f>
        <v/>
      </c>
      <c r="J13" s="192">
        <f>ROUND(I13*E13,2)</f>
        <v/>
      </c>
    </row>
    <row r="14" ht="25.5" customFormat="1" customHeight="1" s="238">
      <c r="A14" s="291" t="n"/>
      <c r="B14" s="291" t="n"/>
      <c r="C14" s="279" t="inlineStr">
        <is>
          <t>Итого по разделу "Затраты труда рабочих-строителей"</t>
        </is>
      </c>
      <c r="D14" s="291" t="inlineStr">
        <is>
          <t>чел.-ч.</t>
        </is>
      </c>
      <c r="E14" s="373">
        <f>SUM(E13:E13)</f>
        <v/>
      </c>
      <c r="F14" s="192" t="n"/>
      <c r="G14" s="192">
        <f>SUM(G13:G13)</f>
        <v/>
      </c>
      <c r="H14" s="295" t="n">
        <v>1</v>
      </c>
      <c r="I14" s="179" t="n"/>
      <c r="J14" s="192">
        <f>SUM(J13:J13)</f>
        <v/>
      </c>
    </row>
    <row r="15" ht="38.25" customFormat="1" customHeight="1" s="238">
      <c r="A15" s="291" t="n"/>
      <c r="B15" s="291" t="n"/>
      <c r="C15" s="279" t="inlineStr">
        <is>
          <t>Итого по разделу "Затраты труда рабочих-строителей" 
(с коэффициентом на демонтаж 0,7)</t>
        </is>
      </c>
      <c r="D15" s="291" t="inlineStr">
        <is>
          <t>чел.-ч.</t>
        </is>
      </c>
      <c r="E15" s="292" t="n"/>
      <c r="F15" s="293" t="n"/>
      <c r="G15" s="192">
        <f>SUM(G14)*0.7</f>
        <v/>
      </c>
      <c r="H15" s="295" t="n">
        <v>1</v>
      </c>
      <c r="I15" s="179" t="n"/>
      <c r="J15" s="192">
        <f>SUM(J13)*0.7</f>
        <v/>
      </c>
    </row>
    <row r="16" ht="14.25" customFormat="1" customHeight="1" s="238">
      <c r="A16" s="291" t="n"/>
      <c r="B16" s="290" t="inlineStr">
        <is>
          <t>Затраты труда машинистов</t>
        </is>
      </c>
      <c r="C16" s="365" t="n"/>
      <c r="D16" s="365" t="n"/>
      <c r="E16" s="365" t="n"/>
      <c r="F16" s="365" t="n"/>
      <c r="G16" s="365" t="n"/>
      <c r="H16" s="366" t="n"/>
      <c r="I16" s="179" t="n"/>
      <c r="J16" s="179" t="n"/>
    </row>
    <row r="17" ht="14.25" customFormat="1" customHeight="1" s="238">
      <c r="A17" s="291" t="n">
        <v>2</v>
      </c>
      <c r="B17" s="291" t="n">
        <v>2</v>
      </c>
      <c r="C17" s="290" t="inlineStr">
        <is>
          <t>Затраты труда машинистов</t>
        </is>
      </c>
      <c r="D17" s="291" t="inlineStr">
        <is>
          <t>чел.-ч.</t>
        </is>
      </c>
      <c r="E17" s="373" t="n">
        <v>428.76</v>
      </c>
      <c r="F17" s="192">
        <f>G17/E17</f>
        <v/>
      </c>
      <c r="G17" s="192">
        <f>'Прил. 3'!H16</f>
        <v/>
      </c>
      <c r="H17" s="295" t="n">
        <v>1</v>
      </c>
      <c r="I17" s="192">
        <f>ROUND(F17*'Прил. 10'!D11,2)</f>
        <v/>
      </c>
      <c r="J17" s="192">
        <f>ROUND(I17*E17,2)</f>
        <v/>
      </c>
    </row>
    <row r="18" ht="25.5" customFormat="1" customHeight="1" s="238">
      <c r="A18" s="291" t="n"/>
      <c r="B18" s="291" t="n"/>
      <c r="C18" s="188" t="inlineStr">
        <is>
          <t>Затраты труда машинистов 
(с коэффициентом на демонтаж 0,7)</t>
        </is>
      </c>
      <c r="D18" s="182" t="n"/>
      <c r="E18" s="182" t="n"/>
      <c r="F18" s="182" t="n"/>
      <c r="G18" s="187">
        <f>G17*0.7</f>
        <v/>
      </c>
      <c r="H18" s="183">
        <f>H17</f>
        <v/>
      </c>
      <c r="I18" s="184" t="n"/>
      <c r="J18" s="187">
        <f>J17*0.7</f>
        <v/>
      </c>
    </row>
    <row r="19" ht="14.25" customFormat="1" customHeight="1" s="238">
      <c r="A19" s="291" t="n"/>
      <c r="B19" s="279" t="inlineStr">
        <is>
          <t>Машины и механизмы</t>
        </is>
      </c>
      <c r="C19" s="365" t="n"/>
      <c r="D19" s="365" t="n"/>
      <c r="E19" s="365" t="n"/>
      <c r="F19" s="365" t="n"/>
      <c r="G19" s="365" t="n"/>
      <c r="H19" s="366" t="n"/>
      <c r="I19" s="179" t="n"/>
      <c r="J19" s="179" t="n"/>
    </row>
    <row r="20" ht="14.25" customFormat="1" customHeight="1" s="238">
      <c r="A20" s="291" t="n"/>
      <c r="B20" s="290" t="inlineStr">
        <is>
          <t>Основные машины и механизмы</t>
        </is>
      </c>
      <c r="C20" s="365" t="n"/>
      <c r="D20" s="365" t="n"/>
      <c r="E20" s="365" t="n"/>
      <c r="F20" s="365" t="n"/>
      <c r="G20" s="365" t="n"/>
      <c r="H20" s="366" t="n"/>
      <c r="I20" s="179" t="n"/>
      <c r="J20" s="179" t="n"/>
    </row>
    <row r="21" ht="25.5" customFormat="1" customHeight="1" s="238">
      <c r="A21" s="291" t="n">
        <v>3</v>
      </c>
      <c r="B21" s="210" t="inlineStr">
        <is>
          <t>91.05.05-014</t>
        </is>
      </c>
      <c r="C21" s="290" t="inlineStr">
        <is>
          <t>Краны на автомобильном ходу, грузоподъемность 10 т</t>
        </is>
      </c>
      <c r="D21" s="291" t="inlineStr">
        <is>
          <t>маш.час</t>
        </is>
      </c>
      <c r="E21" s="373" t="n">
        <v>193.51</v>
      </c>
      <c r="F21" s="293" t="n">
        <v>111.99</v>
      </c>
      <c r="G21" s="192">
        <f>ROUND(E21*F21,2)</f>
        <v/>
      </c>
      <c r="H21" s="294">
        <f>G21/$G$38</f>
        <v/>
      </c>
      <c r="I21" s="192">
        <f>ROUND(F21*'Прил. 10'!$D$12,2)</f>
        <v/>
      </c>
      <c r="J21" s="192">
        <f>ROUND(I21*E21,2)</f>
        <v/>
      </c>
    </row>
    <row r="22" ht="25.5" customFormat="1" customHeight="1" s="238">
      <c r="A22" s="291" t="n">
        <v>4</v>
      </c>
      <c r="B22" s="210" t="inlineStr">
        <is>
          <t>91.10.01-002</t>
        </is>
      </c>
      <c r="C22" s="290" t="inlineStr">
        <is>
          <t>Агрегаты наполнительно-опрессовочные до 300 м3/ч</t>
        </is>
      </c>
      <c r="D22" s="291" t="inlineStr">
        <is>
          <t>маш.час</t>
        </is>
      </c>
      <c r="E22" s="373" t="n">
        <v>23.59</v>
      </c>
      <c r="F22" s="293" t="n">
        <v>287.99</v>
      </c>
      <c r="G22" s="192">
        <f>ROUND(E22*F22,2)</f>
        <v/>
      </c>
      <c r="H22" s="294">
        <f>G22/$G$38</f>
        <v/>
      </c>
      <c r="I22" s="192">
        <f>ROUND(F22*'Прил. 10'!$D$12,2)</f>
        <v/>
      </c>
      <c r="J22" s="192">
        <f>ROUND(I22*E22,2)</f>
        <v/>
      </c>
    </row>
    <row r="23" ht="30" customFormat="1" customHeight="1" s="238">
      <c r="A23" s="291" t="n">
        <v>5</v>
      </c>
      <c r="B23" s="210" t="inlineStr">
        <is>
          <t>91.06.06-042</t>
        </is>
      </c>
      <c r="C23" s="290" t="inlineStr">
        <is>
          <t>Подъемники гидравлические, высота подъема 10 м</t>
        </is>
      </c>
      <c r="D23" s="291" t="inlineStr">
        <is>
          <t>маш.час</t>
        </is>
      </c>
      <c r="E23" s="373" t="n">
        <v>147.585</v>
      </c>
      <c r="F23" s="293" t="n">
        <v>29.6</v>
      </c>
      <c r="G23" s="192">
        <f>ROUND(E23*F23,2)</f>
        <v/>
      </c>
      <c r="H23" s="294">
        <f>G23/$G$38</f>
        <v/>
      </c>
      <c r="I23" s="192">
        <f>ROUND(F23*'Прил. 10'!$D$12,2)</f>
        <v/>
      </c>
      <c r="J23" s="192">
        <f>ROUND(I23*E23,2)</f>
        <v/>
      </c>
    </row>
    <row r="24" ht="51" customFormat="1" customHeight="1" s="238">
      <c r="A24" s="291" t="n">
        <v>6</v>
      </c>
      <c r="B24" s="210" t="inlineStr">
        <is>
          <t>91.06.03-058</t>
        </is>
      </c>
      <c r="C24" s="290" t="inlineStr">
        <is>
          <t>Лебедки электрические тяговым усилием 156,96 кН (16 т)</t>
        </is>
      </c>
      <c r="D24" s="291" t="inlineStr">
        <is>
          <t>маш.час</t>
        </is>
      </c>
      <c r="E24" s="373" t="n">
        <v>23.59</v>
      </c>
      <c r="F24" s="293" t="n">
        <v>131.44</v>
      </c>
      <c r="G24" s="192">
        <f>ROUND(E24*F24,2)</f>
        <v/>
      </c>
      <c r="H24" s="294">
        <f>G24/$G$38</f>
        <v/>
      </c>
      <c r="I24" s="192">
        <f>ROUND(F24*'Прил. 10'!$D$12,2)</f>
        <v/>
      </c>
      <c r="J24" s="192">
        <f>ROUND(I24*E24,2)</f>
        <v/>
      </c>
    </row>
    <row r="25" ht="14.25" customFormat="1" customHeight="1" s="238">
      <c r="A25" s="291" t="n">
        <v>11</v>
      </c>
      <c r="B25" s="291" t="n"/>
      <c r="C25" s="290" t="inlineStr">
        <is>
          <t>Итого основные машины и механизмы</t>
        </is>
      </c>
      <c r="D25" s="291" t="n"/>
      <c r="E25" s="373" t="n"/>
      <c r="F25" s="192" t="n"/>
      <c r="G25" s="192">
        <f>SUM(G21:G24)</f>
        <v/>
      </c>
      <c r="H25" s="295">
        <f>G25/G38</f>
        <v/>
      </c>
      <c r="I25" s="127" t="n"/>
      <c r="J25" s="192">
        <f>SUM(J21:J24)</f>
        <v/>
      </c>
    </row>
    <row r="26" ht="25.5" customFormat="1" customHeight="1" s="238">
      <c r="A26" s="291" t="n">
        <v>12</v>
      </c>
      <c r="B26" s="291" t="n"/>
      <c r="C26" s="188" t="inlineStr">
        <is>
          <t>Итого основные машины и механизмы 
(с коэффициентом на демонтаж 0,7)</t>
        </is>
      </c>
      <c r="D26" s="291" t="n"/>
      <c r="E26" s="374" t="n"/>
      <c r="F26" s="292" t="n"/>
      <c r="G26" s="192">
        <f>G25*0.7</f>
        <v/>
      </c>
      <c r="H26" s="294">
        <f>G26/G39</f>
        <v/>
      </c>
      <c r="I26" s="192" t="n"/>
      <c r="J26" s="192">
        <f>J25*0.7</f>
        <v/>
      </c>
    </row>
    <row r="27" hidden="1" outlineLevel="1" ht="38.25" customFormat="1" customHeight="1" s="238">
      <c r="A27" s="291" t="n">
        <v>13</v>
      </c>
      <c r="B27" s="210" t="n">
        <v>21102</v>
      </c>
      <c r="C27" s="290" t="inlineStr">
        <is>
          <t>Краны на автомобильном ходу при работе на монтаже технологического оборудования 10 т</t>
        </is>
      </c>
      <c r="D27" s="291" t="inlineStr">
        <is>
          <t>маш.час</t>
        </is>
      </c>
      <c r="E27" s="373" t="n">
        <v>13.34</v>
      </c>
      <c r="F27" s="293" t="n">
        <v>134.65</v>
      </c>
      <c r="G27" s="192">
        <f>ROUND(E27*F27,2)</f>
        <v/>
      </c>
      <c r="H27" s="294">
        <f>G27/$G$38</f>
        <v/>
      </c>
      <c r="I27" s="192">
        <f>ROUND(F27*'Прил. 10'!$D$12,2)</f>
        <v/>
      </c>
      <c r="J27" s="192">
        <f>ROUND(I27*E27,2)</f>
        <v/>
      </c>
    </row>
    <row r="28" hidden="1" outlineLevel="1" ht="25.5" customFormat="1" customHeight="1" s="238">
      <c r="A28" s="291" t="n">
        <v>14</v>
      </c>
      <c r="B28" s="210" t="inlineStr">
        <is>
          <t>91.14.02-001</t>
        </is>
      </c>
      <c r="C28" s="290" t="inlineStr">
        <is>
          <t>Автомобили бортовые, грузоподъемность: до 5 т</t>
        </is>
      </c>
      <c r="D28" s="291" t="inlineStr">
        <is>
          <t>маш.час</t>
        </is>
      </c>
      <c r="E28" s="373" t="n">
        <v>27.145</v>
      </c>
      <c r="F28" s="293" t="n">
        <v>65.70999999999999</v>
      </c>
      <c r="G28" s="192">
        <f>ROUND(E28*F28,2)</f>
        <v/>
      </c>
      <c r="H28" s="294">
        <f>G28/$G$38</f>
        <v/>
      </c>
      <c r="I28" s="192">
        <f>ROUND(F28*'Прил. 10'!$D$12,2)</f>
        <v/>
      </c>
      <c r="J28" s="192">
        <f>ROUND(I28*E28,2)</f>
        <v/>
      </c>
    </row>
    <row r="29" hidden="1" outlineLevel="1" ht="25.5" customFormat="1" customHeight="1" s="238">
      <c r="A29" s="291" t="n">
        <v>15</v>
      </c>
      <c r="B29" s="210" t="n">
        <v>400001</v>
      </c>
      <c r="C29" s="290" t="inlineStr">
        <is>
          <t>Автомобили бортовые, грузоподъемность до 5 т</t>
        </is>
      </c>
      <c r="D29" s="291" t="inlineStr">
        <is>
          <t>маш.час</t>
        </is>
      </c>
      <c r="E29" s="373" t="n">
        <v>8.34</v>
      </c>
      <c r="F29" s="293" t="n">
        <v>87.17</v>
      </c>
      <c r="G29" s="192">
        <f>ROUND(E29*F29,2)</f>
        <v/>
      </c>
      <c r="H29" s="294">
        <f>G29/$G$38</f>
        <v/>
      </c>
      <c r="I29" s="192">
        <f>ROUND(F29*'Прил. 10'!$D$12,2)</f>
        <v/>
      </c>
      <c r="J29" s="192">
        <f>ROUND(I29*E29,2)</f>
        <v/>
      </c>
    </row>
    <row r="30" hidden="1" outlineLevel="1" ht="25.5" customFormat="1" customHeight="1" s="238">
      <c r="A30" s="291" t="n">
        <v>16</v>
      </c>
      <c r="B30" s="210" t="n">
        <v>40502</v>
      </c>
      <c r="C30" s="290" t="inlineStr">
        <is>
          <t>Установки для сварки ручной дуговой (постоянного тока)</t>
        </is>
      </c>
      <c r="D30" s="291" t="inlineStr">
        <is>
          <t>маш.час</t>
        </is>
      </c>
      <c r="E30" s="373" t="n">
        <v>70.19</v>
      </c>
      <c r="F30" s="293" t="n">
        <v>8.1</v>
      </c>
      <c r="G30" s="192">
        <f>ROUND(E30*F30,2)</f>
        <v/>
      </c>
      <c r="H30" s="294">
        <f>G30/$G$38</f>
        <v/>
      </c>
      <c r="I30" s="192">
        <f>ROUND(F30*'Прил. 10'!$D$12,2)</f>
        <v/>
      </c>
      <c r="J30" s="192">
        <f>ROUND(I30*E30,2)</f>
        <v/>
      </c>
    </row>
    <row r="31" hidden="1" outlineLevel="1" ht="25.5" customFormat="1" customHeight="1" s="238">
      <c r="A31" s="291" t="n">
        <v>17</v>
      </c>
      <c r="B31" s="210" t="inlineStr">
        <is>
          <t>91.17.04-233</t>
        </is>
      </c>
      <c r="C31" s="290" t="inlineStr">
        <is>
          <t>Установки для сварки: ручной дуговой (постоянного тока)</t>
        </is>
      </c>
      <c r="D31" s="291" t="inlineStr">
        <is>
          <t>маш.час</t>
        </is>
      </c>
      <c r="E31" s="373" t="n">
        <v>40.28</v>
      </c>
      <c r="F31" s="293" t="n">
        <v>8.1</v>
      </c>
      <c r="G31" s="192">
        <f>ROUND(E31*F31,2)</f>
        <v/>
      </c>
      <c r="H31" s="294">
        <f>G31/$G$38</f>
        <v/>
      </c>
      <c r="I31" s="192">
        <f>ROUND(F31*'Прил. 10'!$D$12,2)</f>
        <v/>
      </c>
      <c r="J31" s="192">
        <f>ROUND(I31*E31,2)</f>
        <v/>
      </c>
    </row>
    <row r="32" hidden="1" outlineLevel="1" ht="25.5" customFormat="1" customHeight="1" s="238">
      <c r="A32" s="291" t="n">
        <v>18</v>
      </c>
      <c r="B32" s="210" t="n">
        <v>30203</v>
      </c>
      <c r="C32" s="290" t="inlineStr">
        <is>
          <t>Домкраты гидравлические грузоподъемностью 63-100 т</t>
        </is>
      </c>
      <c r="D32" s="291" t="inlineStr">
        <is>
          <t>маш.час</t>
        </is>
      </c>
      <c r="E32" s="373" t="n">
        <v>60.13</v>
      </c>
      <c r="F32" s="293" t="n">
        <v>0.9</v>
      </c>
      <c r="G32" s="192">
        <f>ROUND(E32*F32,2)</f>
        <v/>
      </c>
      <c r="H32" s="294">
        <f>G32/$G$38</f>
        <v/>
      </c>
      <c r="I32" s="192">
        <f>ROUND(F32*'Прил. 10'!$D$12,2)</f>
        <v/>
      </c>
      <c r="J32" s="192">
        <f>ROUND(I32*E32,2)</f>
        <v/>
      </c>
    </row>
    <row r="33" hidden="1" outlineLevel="1" ht="25.5" customFormat="1" customHeight="1" s="238">
      <c r="A33" s="291" t="n">
        <v>19</v>
      </c>
      <c r="B33" s="210" t="inlineStr">
        <is>
          <t>91.06.01-003</t>
        </is>
      </c>
      <c r="C33" s="290" t="inlineStr">
        <is>
          <t>Домкраты гидравлические, грузоподъемность 63-100 т</t>
        </is>
      </c>
      <c r="D33" s="291" t="inlineStr">
        <is>
          <t>маш.час</t>
        </is>
      </c>
      <c r="E33" s="373" t="n">
        <v>47.11</v>
      </c>
      <c r="F33" s="293" t="n">
        <v>0.9</v>
      </c>
      <c r="G33" s="192">
        <f>ROUND(E33*F33,2)</f>
        <v/>
      </c>
      <c r="H33" s="294">
        <f>G33/$G$38</f>
        <v/>
      </c>
      <c r="I33" s="192">
        <f>ROUND(F33*'Прил. 10'!$D$12,2)</f>
        <v/>
      </c>
      <c r="J33" s="192">
        <f>ROUND(I33*E33,2)</f>
        <v/>
      </c>
    </row>
    <row r="34" hidden="1" outlineLevel="1" ht="14.25" customFormat="1" customHeight="1" s="238">
      <c r="A34" s="291" t="n">
        <v>20</v>
      </c>
      <c r="B34" s="210" t="n">
        <v>331451</v>
      </c>
      <c r="C34" s="290" t="inlineStr">
        <is>
          <t>Перфораторы электрические</t>
        </is>
      </c>
      <c r="D34" s="291" t="inlineStr">
        <is>
          <t>маш.час</t>
        </is>
      </c>
      <c r="E34" s="373" t="n">
        <v>7.455</v>
      </c>
      <c r="F34" s="293" t="n">
        <v>2.08</v>
      </c>
      <c r="G34" s="192">
        <f>ROUND(E34*F34,2)</f>
        <v/>
      </c>
      <c r="H34" s="294">
        <f>G34/$G$38</f>
        <v/>
      </c>
      <c r="I34" s="192">
        <f>ROUND(F34*'Прил. 10'!$D$12,2)</f>
        <v/>
      </c>
      <c r="J34" s="192">
        <f>ROUND(I34*E34,2)</f>
        <v/>
      </c>
    </row>
    <row r="35" hidden="1" outlineLevel="1" ht="25.5" customFormat="1" customHeight="1" s="238">
      <c r="A35" s="291" t="n">
        <v>21</v>
      </c>
      <c r="B35" s="210" t="n">
        <v>30402</v>
      </c>
      <c r="C35" s="290" t="inlineStr">
        <is>
          <t>Лебедки электрические тяговым усилием до 12,26 кН (1,25 т)</t>
        </is>
      </c>
      <c r="D35" s="291" t="inlineStr">
        <is>
          <t>маш.час</t>
        </is>
      </c>
      <c r="E35" s="373" t="n">
        <v>0.595</v>
      </c>
      <c r="F35" s="293" t="n">
        <v>3.28</v>
      </c>
      <c r="G35" s="192">
        <f>ROUND(E35*F35,2)</f>
        <v/>
      </c>
      <c r="H35" s="294">
        <f>G35/$G$38</f>
        <v/>
      </c>
      <c r="I35" s="192">
        <f>ROUND(F35*'Прил. 10'!$D$12,2)</f>
        <v/>
      </c>
      <c r="J35" s="192">
        <f>ROUND(I35*E35,2)</f>
        <v/>
      </c>
    </row>
    <row r="36" collapsed="1" ht="14.25" customFormat="1" customHeight="1" s="238">
      <c r="A36" s="291" t="n"/>
      <c r="B36" s="291" t="n"/>
      <c r="C36" s="290" t="inlineStr">
        <is>
          <t>Итого прочие машины и механизмы</t>
        </is>
      </c>
      <c r="D36" s="291" t="n"/>
      <c r="E36" s="292" t="n"/>
      <c r="F36" s="192" t="n"/>
      <c r="G36" s="127">
        <f>SUM(G27:G35)</f>
        <v/>
      </c>
      <c r="H36" s="294">
        <f>G36/G38</f>
        <v/>
      </c>
      <c r="I36" s="192" t="n"/>
      <c r="J36" s="127">
        <f>SUM(J27:J35)</f>
        <v/>
      </c>
    </row>
    <row r="37" ht="25.5" customFormat="1" customHeight="1" s="238">
      <c r="A37" s="291" t="n"/>
      <c r="B37" s="291" t="n"/>
      <c r="C37" s="188" t="inlineStr">
        <is>
          <t>Итого прочие машины и механизмы 
(с коэффициентом на демонтаж 0,7)</t>
        </is>
      </c>
      <c r="D37" s="291" t="n"/>
      <c r="E37" s="292" t="n"/>
      <c r="F37" s="192" t="n"/>
      <c r="G37" s="192">
        <f>G36*0.7</f>
        <v/>
      </c>
      <c r="H37" s="294">
        <f>G37/G39</f>
        <v/>
      </c>
      <c r="I37" s="192" t="n"/>
      <c r="J37" s="192">
        <f>J36*0.7</f>
        <v/>
      </c>
    </row>
    <row r="38" ht="25.5" customFormat="1" customHeight="1" s="238">
      <c r="A38" s="291" t="n"/>
      <c r="B38" s="291" t="n"/>
      <c r="C38" s="279" t="inlineStr">
        <is>
          <t>Итого по разделу «Машины и механизмы»</t>
        </is>
      </c>
      <c r="D38" s="291" t="n"/>
      <c r="E38" s="292" t="n"/>
      <c r="F38" s="192" t="n"/>
      <c r="G38" s="192">
        <f>G36+G25</f>
        <v/>
      </c>
      <c r="H38" s="200" t="n">
        <v>1</v>
      </c>
      <c r="I38" s="201" t="n"/>
      <c r="J38" s="199">
        <f>J36+J25</f>
        <v/>
      </c>
    </row>
    <row r="39" ht="38.25" customFormat="1" customHeight="1" s="238">
      <c r="A39" s="291" t="n"/>
      <c r="B39" s="291" t="n"/>
      <c r="C39" s="196" t="inlineStr">
        <is>
          <t>Итого по разделу «Машины и механизмы»  
(с коэффициентом на демонтаж 0,7)</t>
        </is>
      </c>
      <c r="D39" s="305" t="n"/>
      <c r="E39" s="198" t="n"/>
      <c r="F39" s="199" t="n"/>
      <c r="G39" s="199">
        <f>G26+G37</f>
        <v/>
      </c>
      <c r="H39" s="200" t="n">
        <v>1</v>
      </c>
      <c r="I39" s="201" t="n"/>
      <c r="J39" s="199">
        <f>J26+J37</f>
        <v/>
      </c>
    </row>
    <row r="40" ht="14.25" customFormat="1" customHeight="1" s="238">
      <c r="A40" s="291" t="n"/>
      <c r="B40" s="279" t="inlineStr">
        <is>
          <t>Оборудование</t>
        </is>
      </c>
      <c r="C40" s="365" t="n"/>
      <c r="D40" s="365" t="n"/>
      <c r="E40" s="365" t="n"/>
      <c r="F40" s="365" t="n"/>
      <c r="G40" s="365" t="n"/>
      <c r="H40" s="366" t="n"/>
      <c r="I40" s="179" t="n"/>
      <c r="J40" s="179" t="n"/>
    </row>
    <row r="41">
      <c r="A41" s="291" t="n"/>
      <c r="B41" s="290" t="inlineStr">
        <is>
          <t>Основное оборудование</t>
        </is>
      </c>
      <c r="C41" s="365" t="n"/>
      <c r="D41" s="365" t="n"/>
      <c r="E41" s="365" t="n"/>
      <c r="F41" s="365" t="n"/>
      <c r="G41" s="365" t="n"/>
      <c r="H41" s="366" t="n"/>
      <c r="I41" s="179" t="n"/>
      <c r="J41" s="179" t="n"/>
    </row>
    <row r="42">
      <c r="A42" s="291" t="n"/>
      <c r="B42" s="169" t="n"/>
      <c r="C42" s="170" t="inlineStr">
        <is>
          <t>Итого основное оборудование</t>
        </is>
      </c>
      <c r="D42" s="291" t="n"/>
      <c r="E42" s="373" t="n"/>
      <c r="F42" s="293" t="n"/>
      <c r="G42" s="192" t="n">
        <v>0</v>
      </c>
      <c r="H42" s="295" t="n">
        <v>0</v>
      </c>
      <c r="I42" s="127" t="n"/>
      <c r="J42" s="192" t="n">
        <v>0</v>
      </c>
    </row>
    <row r="43">
      <c r="A43" s="291" t="n"/>
      <c r="B43" s="291" t="n"/>
      <c r="C43" s="290" t="inlineStr">
        <is>
          <t>Итого прочее оборудование</t>
        </is>
      </c>
      <c r="D43" s="291" t="n"/>
      <c r="E43" s="373" t="n"/>
      <c r="F43" s="293" t="n"/>
      <c r="G43" s="192" t="n">
        <v>0</v>
      </c>
      <c r="H43" s="294" t="n">
        <v>0</v>
      </c>
      <c r="I43" s="127" t="n"/>
      <c r="J43" s="192" t="n">
        <v>0</v>
      </c>
    </row>
    <row r="44">
      <c r="A44" s="291" t="n"/>
      <c r="B44" s="291" t="n"/>
      <c r="C44" s="279" t="inlineStr">
        <is>
          <t>Итого по разделу «Оборудование»</t>
        </is>
      </c>
      <c r="D44" s="291" t="n"/>
      <c r="E44" s="292" t="n"/>
      <c r="F44" s="293" t="n"/>
      <c r="G44" s="192">
        <f>G43+G42</f>
        <v/>
      </c>
      <c r="H44" s="295">
        <f>H43+H42</f>
        <v/>
      </c>
      <c r="I44" s="127" t="n"/>
      <c r="J44" s="192">
        <f>J43+J42</f>
        <v/>
      </c>
    </row>
    <row r="45" ht="25.5" customHeight="1" s="242">
      <c r="A45" s="291" t="n"/>
      <c r="B45" s="291" t="n"/>
      <c r="C45" s="290" t="inlineStr">
        <is>
          <t>в том числе технологическое оборудование</t>
        </is>
      </c>
      <c r="D45" s="291" t="n"/>
      <c r="E45" s="374" t="n"/>
      <c r="F45" s="293" t="n"/>
      <c r="G45" s="192" t="n">
        <v>0</v>
      </c>
      <c r="H45" s="295" t="n"/>
      <c r="I45" s="127" t="n"/>
      <c r="J45" s="192">
        <f>J44</f>
        <v/>
      </c>
    </row>
    <row r="46" ht="14.25" customFormat="1" customHeight="1" s="238">
      <c r="A46" s="291" t="n"/>
      <c r="B46" s="279" t="inlineStr">
        <is>
          <t>Материалы</t>
        </is>
      </c>
      <c r="C46" s="365" t="n"/>
      <c r="D46" s="365" t="n"/>
      <c r="E46" s="365" t="n"/>
      <c r="F46" s="365" t="n"/>
      <c r="G46" s="365" t="n"/>
      <c r="H46" s="366" t="n"/>
      <c r="I46" s="203" t="n"/>
      <c r="J46" s="203" t="n"/>
    </row>
    <row r="47" ht="14.25" customFormat="1" customHeight="1" s="238">
      <c r="A47" s="291" t="n"/>
      <c r="B47" s="290" t="inlineStr">
        <is>
          <t>Основные материалы</t>
        </is>
      </c>
      <c r="C47" s="365" t="n"/>
      <c r="D47" s="365" t="n"/>
      <c r="E47" s="365" t="n"/>
      <c r="F47" s="365" t="n"/>
      <c r="G47" s="365" t="n"/>
      <c r="H47" s="366" t="n"/>
      <c r="I47" s="203" t="n"/>
      <c r="J47" s="203" t="n"/>
    </row>
    <row r="48" ht="14.25" customFormat="1" customHeight="1" s="238">
      <c r="A48" s="291" t="n"/>
      <c r="B48" s="210" t="n"/>
      <c r="C48" s="290" t="inlineStr">
        <is>
          <t>Итого основные материалы</t>
        </is>
      </c>
      <c r="D48" s="291" t="n"/>
      <c r="E48" s="373" t="n"/>
      <c r="F48" s="192" t="n"/>
      <c r="G48" s="192" t="n">
        <v>0</v>
      </c>
      <c r="H48" s="294" t="n">
        <v>0</v>
      </c>
      <c r="I48" s="192" t="n"/>
      <c r="J48" s="192" t="n">
        <v>0</v>
      </c>
    </row>
    <row r="49" ht="14.25" customFormat="1" customHeight="1" s="238">
      <c r="A49" s="291" t="n"/>
      <c r="B49" s="291" t="n"/>
      <c r="C49" s="290" t="inlineStr">
        <is>
          <t>Итого прочие материалы</t>
        </is>
      </c>
      <c r="D49" s="291" t="n"/>
      <c r="E49" s="292" t="n"/>
      <c r="F49" s="293" t="n"/>
      <c r="G49" s="192" t="n">
        <v>0</v>
      </c>
      <c r="H49" s="294" t="n">
        <v>0</v>
      </c>
      <c r="I49" s="192" t="n"/>
      <c r="J49" s="192" t="n">
        <v>0</v>
      </c>
    </row>
    <row r="50" ht="14.25" customFormat="1" customHeight="1" s="238">
      <c r="A50" s="291" t="n"/>
      <c r="B50" s="291" t="n"/>
      <c r="C50" s="279" t="inlineStr">
        <is>
          <t>Итого по разделу «Материалы»</t>
        </is>
      </c>
      <c r="D50" s="291" t="n"/>
      <c r="E50" s="292" t="n"/>
      <c r="F50" s="293" t="n"/>
      <c r="G50" s="192">
        <f>G48+G49</f>
        <v/>
      </c>
      <c r="H50" s="294" t="n">
        <v>0</v>
      </c>
      <c r="I50" s="192" t="n"/>
      <c r="J50" s="192">
        <f>J48+J49</f>
        <v/>
      </c>
    </row>
    <row r="51" ht="14.25" customFormat="1" customHeight="1" s="238">
      <c r="A51" s="291" t="n"/>
      <c r="B51" s="291" t="n"/>
      <c r="C51" s="290" t="inlineStr">
        <is>
          <t>ИТОГО ПО РМ</t>
        </is>
      </c>
      <c r="D51" s="291" t="n"/>
      <c r="E51" s="292" t="n"/>
      <c r="F51" s="293" t="n"/>
      <c r="G51" s="192">
        <f>G14+G38</f>
        <v/>
      </c>
      <c r="H51" s="294" t="n"/>
      <c r="I51" s="192" t="n"/>
      <c r="J51" s="192">
        <f>J14+J38+J50</f>
        <v/>
      </c>
    </row>
    <row r="52" ht="25.5" customFormat="1" customHeight="1" s="238">
      <c r="A52" s="291" t="n"/>
      <c r="B52" s="291" t="n"/>
      <c r="C52" s="290" t="inlineStr">
        <is>
          <t>ИТОГО ПО РМ
(с коэффициентом на демонтаж 0,7)</t>
        </is>
      </c>
      <c r="D52" s="291" t="n"/>
      <c r="E52" s="292" t="n"/>
      <c r="F52" s="293" t="n"/>
      <c r="G52" s="192">
        <f>G15+G39</f>
        <v/>
      </c>
      <c r="H52" s="294" t="n"/>
      <c r="I52" s="192" t="n"/>
      <c r="J52" s="192">
        <f>J14*0.7+J38*0.7+J50</f>
        <v/>
      </c>
    </row>
    <row r="53" ht="14.25" customFormat="1" customHeight="1" s="238">
      <c r="A53" s="291" t="n"/>
      <c r="B53" s="291" t="n"/>
      <c r="C53" s="290" t="inlineStr">
        <is>
          <t>Накладные расходы</t>
        </is>
      </c>
      <c r="D53" s="133" t="n">
        <v>1</v>
      </c>
      <c r="E53" s="292" t="n"/>
      <c r="F53" s="293" t="n"/>
      <c r="G53" s="192" t="n">
        <v>50604</v>
      </c>
      <c r="H53" s="295" t="n"/>
      <c r="I53" s="192" t="n"/>
      <c r="J53" s="192">
        <f>ROUND(D53*(J14+J17),2)</f>
        <v/>
      </c>
    </row>
    <row r="54" ht="25.5" customFormat="1" customHeight="1" s="238">
      <c r="A54" s="291" t="n"/>
      <c r="B54" s="291" t="n"/>
      <c r="C54" s="290" t="inlineStr">
        <is>
          <t>Накладные расходы 
(с коэффициентом на демонтаж 0,7)</t>
        </is>
      </c>
      <c r="D54" s="202" t="n">
        <v>1</v>
      </c>
      <c r="E54" s="292" t="n"/>
      <c r="F54" s="293" t="n"/>
      <c r="G54" s="192">
        <f>G53*0.7</f>
        <v/>
      </c>
      <c r="H54" s="295" t="n"/>
      <c r="I54" s="192" t="n"/>
      <c r="J54" s="192">
        <f>ROUND(D54*(J15+J18),2)</f>
        <v/>
      </c>
    </row>
    <row r="55" ht="14.25" customFormat="1" customHeight="1" s="238">
      <c r="A55" s="291" t="n"/>
      <c r="B55" s="291" t="n"/>
      <c r="C55" s="290" t="inlineStr">
        <is>
          <t>Сметная прибыль</t>
        </is>
      </c>
      <c r="D55" s="133" t="n">
        <v>0.65</v>
      </c>
      <c r="E55" s="292" t="n"/>
      <c r="F55" s="293" t="n"/>
      <c r="G55" s="192" t="n">
        <v>32893</v>
      </c>
      <c r="H55" s="295" t="n"/>
      <c r="I55" s="192" t="n"/>
      <c r="J55" s="192">
        <f>ROUND(D55*(J14+J17),2)</f>
        <v/>
      </c>
    </row>
    <row r="56" ht="25.5" customFormat="1" customHeight="1" s="238">
      <c r="A56" s="291" t="n"/>
      <c r="B56" s="291" t="n"/>
      <c r="C56" s="290" t="inlineStr">
        <is>
          <t>Сметная прибыль 
(с коэффициентом на демонтаж 0,7)</t>
        </is>
      </c>
      <c r="D56" s="202" t="n">
        <v>0.65</v>
      </c>
      <c r="E56" s="292" t="n"/>
      <c r="F56" s="293" t="n"/>
      <c r="G56" s="192">
        <f>G55*0.7</f>
        <v/>
      </c>
      <c r="H56" s="295" t="n"/>
      <c r="I56" s="192" t="n"/>
      <c r="J56" s="192">
        <f>ROUND(D56*(J15+J18),2)</f>
        <v/>
      </c>
    </row>
    <row r="57" ht="25.5" customFormat="1" customHeight="1" s="238">
      <c r="A57" s="291" t="n"/>
      <c r="B57" s="291" t="n"/>
      <c r="C57" s="290" t="inlineStr">
        <is>
          <t>Итого СМР (с НР и СП) 
(с коэффициентом на демонтаж 0,7)</t>
        </is>
      </c>
      <c r="D57" s="291" t="n"/>
      <c r="E57" s="292" t="n"/>
      <c r="F57" s="293" t="n"/>
      <c r="G57" s="192">
        <f>G52+G54+G56</f>
        <v/>
      </c>
      <c r="H57" s="295" t="n"/>
      <c r="I57" s="192" t="n"/>
      <c r="J57" s="192">
        <f>ROUND((J52+J54+J56),2)</f>
        <v/>
      </c>
    </row>
    <row r="58" ht="25.5" customFormat="1" customHeight="1" s="238">
      <c r="A58" s="291" t="n"/>
      <c r="B58" s="291" t="n"/>
      <c r="C58" s="290" t="inlineStr">
        <is>
          <t>ВСЕГО СМР + ОБОРУДОВАНИЕ 
(с коэффициентом на демонтаж 0,7)</t>
        </is>
      </c>
      <c r="D58" s="291" t="n"/>
      <c r="E58" s="292" t="n"/>
      <c r="F58" s="293" t="n"/>
      <c r="G58" s="192">
        <f>G57</f>
        <v/>
      </c>
      <c r="H58" s="295" t="n"/>
      <c r="I58" s="192" t="n"/>
      <c r="J58" s="192">
        <f>J57</f>
        <v/>
      </c>
    </row>
    <row r="59" ht="34.5" customFormat="1" customHeight="1" s="238">
      <c r="A59" s="291" t="n"/>
      <c r="B59" s="291" t="n"/>
      <c r="C59" s="290" t="inlineStr">
        <is>
          <t>ИТОГО ПОКАЗАТЕЛЬ НА ЕД. ИЗМ.</t>
        </is>
      </c>
      <c r="D59" s="291" t="inlineStr">
        <is>
          <t>ед</t>
        </is>
      </c>
      <c r="E59" s="292" t="n">
        <v>1</v>
      </c>
      <c r="F59" s="293" t="n"/>
      <c r="G59" s="192">
        <f>G58/E59</f>
        <v/>
      </c>
      <c r="H59" s="295" t="n"/>
      <c r="I59" s="192" t="n"/>
      <c r="J59" s="199">
        <f>J58/E59</f>
        <v/>
      </c>
    </row>
    <row r="61" ht="14.25" customFormat="1" customHeight="1" s="238">
      <c r="A61" s="232" t="inlineStr">
        <is>
          <t>Составил ______________________     Е. М. Добровольская</t>
        </is>
      </c>
    </row>
    <row r="62" ht="14.25" customFormat="1" customHeight="1" s="238">
      <c r="A62" s="239" t="inlineStr">
        <is>
          <t xml:space="preserve">                         (подпись, инициалы, фамилия)</t>
        </is>
      </c>
    </row>
    <row r="63" ht="14.25" customFormat="1" customHeight="1" s="238">
      <c r="A63" s="232" t="n"/>
    </row>
    <row r="64" ht="14.25" customFormat="1" customHeight="1" s="238">
      <c r="A64" s="232" t="inlineStr">
        <is>
          <t>Проверил ______________________        А.В. Костянецкая</t>
        </is>
      </c>
    </row>
    <row r="65" ht="14.25" customFormat="1" customHeight="1" s="238">
      <c r="A65" s="239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46:H46"/>
    <mergeCell ref="B9:B10"/>
    <mergeCell ref="D9:D10"/>
    <mergeCell ref="B12:H12"/>
    <mergeCell ref="D6:J6"/>
    <mergeCell ref="A8:H8"/>
    <mergeCell ref="F9:G9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tabSelected="1" view="pageBreakPreview" workbookViewId="0">
      <selection activeCell="A15" sqref="A15"/>
    </sheetView>
  </sheetViews>
  <sheetFormatPr baseColWidth="8" defaultRowHeight="15"/>
  <cols>
    <col width="5.7109375" customWidth="1" style="242" min="1" max="1"/>
    <col width="17.5703125" customWidth="1" style="242" min="2" max="2"/>
    <col width="39.140625" customWidth="1" style="242" min="3" max="3"/>
    <col width="10.7109375" customWidth="1" style="312" min="4" max="4"/>
    <col width="13.85546875" customWidth="1" style="242" min="5" max="5"/>
    <col width="13.28515625" customWidth="1" style="242" min="6" max="6"/>
    <col width="14.140625" customWidth="1" style="242" min="7" max="7"/>
  </cols>
  <sheetData>
    <row r="1">
      <c r="A1" s="306" t="inlineStr">
        <is>
          <t>Приложение №6</t>
        </is>
      </c>
    </row>
    <row r="2" ht="21.75" customHeight="1" s="242">
      <c r="A2" s="306" t="n"/>
      <c r="B2" s="306" t="n"/>
      <c r="C2" s="306" t="n"/>
      <c r="D2" s="314" t="n"/>
      <c r="E2" s="306" t="n"/>
      <c r="F2" s="306" t="n"/>
      <c r="G2" s="306" t="n"/>
    </row>
    <row r="3">
      <c r="A3" s="261" t="inlineStr">
        <is>
          <t>Расчет стоимости оборудования</t>
        </is>
      </c>
    </row>
    <row r="4" ht="25.5" customHeight="1" s="242">
      <c r="A4" s="264" t="inlineStr">
        <is>
          <t>Наименование разрабатываемого показателя УНЦ — Демонтаж ячейки выключателя НУ 35кВ</t>
        </is>
      </c>
    </row>
    <row r="5">
      <c r="A5" s="232" t="n"/>
      <c r="B5" s="232" t="n"/>
      <c r="C5" s="232" t="n"/>
      <c r="D5" s="314" t="n"/>
      <c r="E5" s="232" t="n"/>
      <c r="F5" s="232" t="n"/>
      <c r="G5" s="232" t="n"/>
    </row>
    <row r="6" ht="30" customHeight="1" s="242">
      <c r="A6" s="311" t="inlineStr">
        <is>
          <t>№ пп.</t>
        </is>
      </c>
      <c r="B6" s="311" t="inlineStr">
        <is>
          <t>Код ресурса</t>
        </is>
      </c>
      <c r="C6" s="311" t="inlineStr">
        <is>
          <t>Наименование</t>
        </is>
      </c>
      <c r="D6" s="311" t="inlineStr">
        <is>
          <t>Ед. изм.</t>
        </is>
      </c>
      <c r="E6" s="291" t="inlineStr">
        <is>
          <t>Кол-во единиц по проектным данным</t>
        </is>
      </c>
      <c r="F6" s="311" t="inlineStr">
        <is>
          <t>Сметная стоимость в ценах на 01.01.2000 (руб.)</t>
        </is>
      </c>
      <c r="G6" s="366" t="n"/>
    </row>
    <row r="7">
      <c r="A7" s="368" t="n"/>
      <c r="B7" s="368" t="n"/>
      <c r="C7" s="368" t="n"/>
      <c r="D7" s="368" t="n"/>
      <c r="E7" s="368" t="n"/>
      <c r="F7" s="291" t="inlineStr">
        <is>
          <t>на ед. изм.</t>
        </is>
      </c>
      <c r="G7" s="291" t="inlineStr">
        <is>
          <t>общая</t>
        </is>
      </c>
    </row>
    <row r="8">
      <c r="A8" s="291" t="n">
        <v>1</v>
      </c>
      <c r="B8" s="291" t="n">
        <v>2</v>
      </c>
      <c r="C8" s="291" t="n">
        <v>3</v>
      </c>
      <c r="D8" s="291" t="n">
        <v>4</v>
      </c>
      <c r="E8" s="291" t="n">
        <v>5</v>
      </c>
      <c r="F8" s="291" t="n">
        <v>6</v>
      </c>
      <c r="G8" s="291" t="n">
        <v>7</v>
      </c>
    </row>
    <row r="9" ht="15" customHeight="1" s="242">
      <c r="A9" s="24" t="n"/>
      <c r="B9" s="290" t="inlineStr">
        <is>
          <t>ИНЖЕНЕРНОЕ ОБОРУДОВАНИЕ</t>
        </is>
      </c>
      <c r="C9" s="365" t="n"/>
      <c r="D9" s="365" t="n"/>
      <c r="E9" s="365" t="n"/>
      <c r="F9" s="365" t="n"/>
      <c r="G9" s="366" t="n"/>
    </row>
    <row r="10" ht="27" customHeight="1" s="242">
      <c r="A10" s="291" t="n"/>
      <c r="B10" s="279" t="n"/>
      <c r="C10" s="290" t="inlineStr">
        <is>
          <t>ИТОГО ИНЖЕНЕРНОЕ ОБОРУДОВАНИЕ</t>
        </is>
      </c>
      <c r="D10" s="296" t="n"/>
      <c r="E10" s="103" t="n"/>
      <c r="F10" s="293" t="n"/>
      <c r="G10" s="293" t="n">
        <v>0</v>
      </c>
    </row>
    <row r="11">
      <c r="A11" s="291" t="n"/>
      <c r="B11" s="290" t="inlineStr">
        <is>
          <t>ТЕХНОЛОГИЧЕСКОЕ ОБОРУДОВАНИЕ</t>
        </is>
      </c>
      <c r="C11" s="365" t="n"/>
      <c r="D11" s="365" t="n"/>
      <c r="E11" s="365" t="n"/>
      <c r="F11" s="365" t="n"/>
      <c r="G11" s="366" t="n"/>
    </row>
    <row r="12" ht="25.5" customHeight="1" s="242">
      <c r="A12" s="291" t="n"/>
      <c r="B12" s="290" t="n"/>
      <c r="C12" s="290" t="inlineStr">
        <is>
          <t>ИТОГО ТЕХНОЛОГИЧЕСКОЕ ОБОРУДОВАНИЕ</t>
        </is>
      </c>
      <c r="D12" s="291" t="n"/>
      <c r="E12" s="310" t="n"/>
      <c r="F12" s="293" t="n"/>
      <c r="G12" s="192" t="n">
        <v>0</v>
      </c>
    </row>
    <row r="13" ht="19.5" customHeight="1" s="242">
      <c r="A13" s="291" t="n"/>
      <c r="B13" s="290" t="n"/>
      <c r="C13" s="290" t="inlineStr">
        <is>
          <t>Всего по разделу «Оборудование»</t>
        </is>
      </c>
      <c r="D13" s="291" t="n"/>
      <c r="E13" s="310" t="n"/>
      <c r="F13" s="293" t="n"/>
      <c r="G13" s="192">
        <f>G10+G12</f>
        <v/>
      </c>
    </row>
    <row r="14">
      <c r="A14" s="236" t="n"/>
      <c r="B14" s="237" t="n"/>
      <c r="C14" s="236" t="n"/>
      <c r="D14" s="167" t="n"/>
      <c r="E14" s="236" t="n"/>
      <c r="F14" s="236" t="n"/>
      <c r="G14" s="236" t="n"/>
    </row>
    <row r="15">
      <c r="A15" s="232" t="inlineStr">
        <is>
          <t>Составил ______________________    Е. М. Добровольская</t>
        </is>
      </c>
      <c r="B15" s="238" t="n"/>
      <c r="C15" s="238" t="n"/>
      <c r="D15" s="167" t="n"/>
      <c r="E15" s="236" t="n"/>
      <c r="F15" s="236" t="n"/>
      <c r="G15" s="236" t="n"/>
    </row>
    <row r="16">
      <c r="A16" s="239" t="inlineStr">
        <is>
          <t xml:space="preserve">                         (подпись, инициалы, фамилия)</t>
        </is>
      </c>
      <c r="B16" s="238" t="n"/>
      <c r="C16" s="238" t="n"/>
      <c r="D16" s="167" t="n"/>
      <c r="E16" s="236" t="n"/>
      <c r="F16" s="236" t="n"/>
      <c r="G16" s="236" t="n"/>
    </row>
    <row r="17">
      <c r="A17" s="232" t="n"/>
      <c r="B17" s="238" t="n"/>
      <c r="C17" s="238" t="n"/>
      <c r="D17" s="167" t="n"/>
      <c r="E17" s="236" t="n"/>
      <c r="F17" s="236" t="n"/>
      <c r="G17" s="236" t="n"/>
    </row>
    <row r="18">
      <c r="A18" s="232" t="inlineStr">
        <is>
          <t>Проверил ______________________        А.В. Костянецкая</t>
        </is>
      </c>
      <c r="B18" s="238" t="n"/>
      <c r="C18" s="238" t="n"/>
      <c r="D18" s="167" t="n"/>
      <c r="E18" s="236" t="n"/>
      <c r="F18" s="236" t="n"/>
      <c r="G18" s="236" t="n"/>
    </row>
    <row r="19">
      <c r="A19" s="239" t="inlineStr">
        <is>
          <t xml:space="preserve">                        (подпись, инициалы, фамилия)</t>
        </is>
      </c>
      <c r="B19" s="238" t="n"/>
      <c r="C19" s="238" t="n"/>
      <c r="D19" s="167" t="n"/>
      <c r="E19" s="236" t="n"/>
      <c r="F19" s="236" t="n"/>
      <c r="G19" s="2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D15" sqref="D15"/>
    </sheetView>
  </sheetViews>
  <sheetFormatPr baseColWidth="8" defaultColWidth="8.85546875" defaultRowHeight="15"/>
  <cols>
    <col width="14.42578125" customWidth="1" style="242" min="1" max="1"/>
    <col width="29.7109375" customWidth="1" style="242" min="2" max="2"/>
    <col width="39.140625" customWidth="1" style="242" min="3" max="3"/>
    <col width="24.5703125" customWidth="1" style="242" min="4" max="4"/>
  </cols>
  <sheetData>
    <row r="1">
      <c r="B1" s="232" t="n"/>
      <c r="C1" s="232" t="n"/>
      <c r="D1" s="306" t="inlineStr">
        <is>
          <t>Приложение №7</t>
        </is>
      </c>
    </row>
    <row r="2">
      <c r="A2" s="306" t="n"/>
      <c r="B2" s="306" t="n"/>
      <c r="C2" s="306" t="n"/>
      <c r="D2" s="306" t="n"/>
    </row>
    <row r="3" ht="24.75" customHeight="1" s="242">
      <c r="A3" s="261" t="inlineStr">
        <is>
          <t>Расчет показателя УНЦ</t>
        </is>
      </c>
    </row>
    <row r="4" ht="24.75" customHeight="1" s="242">
      <c r="A4" s="261" t="n"/>
      <c r="B4" s="261" t="n"/>
      <c r="C4" s="261" t="n"/>
      <c r="D4" s="261" t="n"/>
    </row>
    <row r="5" ht="24.6" customHeight="1" s="242">
      <c r="A5" s="264" t="inlineStr">
        <is>
          <t xml:space="preserve">Наименование разрабатываемого показателя УНЦ - </t>
        </is>
      </c>
      <c r="D5" s="264">
        <f>'Прил.5 Расчет СМР и ОБ'!D6:J6</f>
        <v/>
      </c>
    </row>
    <row r="6" ht="19.9" customHeight="1" s="242">
      <c r="A6" s="264" t="inlineStr">
        <is>
          <t>Единица измерения  — 1 ячейка</t>
        </is>
      </c>
      <c r="D6" s="264" t="n"/>
    </row>
    <row r="7">
      <c r="A7" s="232" t="n"/>
      <c r="B7" s="232" t="n"/>
      <c r="C7" s="232" t="n"/>
      <c r="D7" s="232" t="n"/>
    </row>
    <row r="8" ht="14.45" customHeight="1" s="242">
      <c r="A8" s="274" t="inlineStr">
        <is>
          <t>Код показателя</t>
        </is>
      </c>
      <c r="B8" s="274" t="inlineStr">
        <is>
          <t>Наименование показателя</t>
        </is>
      </c>
      <c r="C8" s="274" t="inlineStr">
        <is>
          <t>Наименование РМ, входящих в состав показателя</t>
        </is>
      </c>
      <c r="D8" s="274" t="inlineStr">
        <is>
          <t>Норматив цены на 01.01.2023, тыс.руб.</t>
        </is>
      </c>
    </row>
    <row r="9" ht="15" customHeight="1" s="242">
      <c r="A9" s="368" t="n"/>
      <c r="B9" s="368" t="n"/>
      <c r="C9" s="368" t="n"/>
      <c r="D9" s="368" t="n"/>
    </row>
    <row r="10">
      <c r="A10" s="291" t="n">
        <v>1</v>
      </c>
      <c r="B10" s="291" t="n">
        <v>2</v>
      </c>
      <c r="C10" s="291" t="n">
        <v>3</v>
      </c>
      <c r="D10" s="291" t="n">
        <v>4</v>
      </c>
    </row>
    <row r="11" ht="41.45" customHeight="1" s="242">
      <c r="A11" s="291" t="inlineStr">
        <is>
          <t>М6-01-1</t>
        </is>
      </c>
      <c r="B11" s="291" t="inlineStr">
        <is>
          <t>УНЦ на демонтажные работы ПС</t>
        </is>
      </c>
      <c r="C11" s="234">
        <f>D5</f>
        <v/>
      </c>
      <c r="D11" s="235">
        <f>'Прил.4 РМ'!C41/1000</f>
        <v/>
      </c>
      <c r="E11" s="153" t="n"/>
    </row>
    <row r="12">
      <c r="A12" s="236" t="n"/>
      <c r="B12" s="237" t="n"/>
      <c r="C12" s="236" t="n"/>
      <c r="D12" s="236" t="n"/>
    </row>
    <row r="13">
      <c r="A13" s="232" t="inlineStr">
        <is>
          <t>Составил ______________________    Е. М. Добровольская</t>
        </is>
      </c>
      <c r="B13" s="238" t="n"/>
      <c r="C13" s="238" t="n"/>
      <c r="D13" s="236" t="n"/>
    </row>
    <row r="14">
      <c r="A14" s="239" t="inlineStr">
        <is>
          <t xml:space="preserve">                         (подпись, инициалы, фамилия)</t>
        </is>
      </c>
      <c r="B14" s="238" t="n"/>
      <c r="C14" s="238" t="n"/>
      <c r="D14" s="236" t="n"/>
    </row>
    <row r="15">
      <c r="A15" s="232" t="n"/>
      <c r="B15" s="238" t="n"/>
      <c r="C15" s="238" t="n"/>
      <c r="D15" s="236" t="n"/>
    </row>
    <row r="16">
      <c r="A16" s="232" t="inlineStr">
        <is>
          <t>Проверил ______________________        А.В. Костянецкая</t>
        </is>
      </c>
      <c r="B16" s="238" t="n"/>
      <c r="C16" s="238" t="n"/>
      <c r="D16" s="236" t="n"/>
    </row>
    <row r="17">
      <c r="A17" s="239" t="inlineStr">
        <is>
          <t xml:space="preserve">                        (подпись, инициалы, фамилия)</t>
        </is>
      </c>
      <c r="B17" s="238" t="n"/>
      <c r="C17" s="238" t="n"/>
      <c r="D17" s="23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40.7109375" customWidth="1" style="242" min="2" max="2"/>
    <col width="37" customWidth="1" style="242" min="3" max="3"/>
    <col width="32" customWidth="1" style="242" min="4" max="4"/>
  </cols>
  <sheetData>
    <row r="4" ht="15.75" customHeight="1" s="242">
      <c r="B4" s="268" t="inlineStr">
        <is>
          <t>Приложение № 10</t>
        </is>
      </c>
    </row>
    <row r="5" ht="18.75" customHeight="1" s="242">
      <c r="B5" s="118" t="n"/>
    </row>
    <row r="6" ht="15.75" customHeight="1" s="242">
      <c r="B6" s="269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42">
      <c r="B9" s="274" t="inlineStr">
        <is>
          <t>Наименование индекса / норм сопутствующих затрат</t>
        </is>
      </c>
      <c r="C9" s="274" t="inlineStr">
        <is>
          <t>Дата применения и обоснование индекса / норм сопутствующих затрат</t>
        </is>
      </c>
      <c r="D9" s="274" t="inlineStr">
        <is>
          <t>Размер индекса / норма сопутствующих затрат</t>
        </is>
      </c>
    </row>
    <row r="10" ht="15.75" customHeight="1" s="242">
      <c r="B10" s="274" t="n">
        <v>1</v>
      </c>
      <c r="C10" s="274" t="n">
        <v>2</v>
      </c>
      <c r="D10" s="274" t="n">
        <v>3</v>
      </c>
    </row>
    <row r="11" ht="45" customHeight="1" s="242">
      <c r="B11" s="274" t="inlineStr">
        <is>
          <t xml:space="preserve">Индекс изменения сметной стоимости на 1 квартал 2023 года. ОЗП </t>
        </is>
      </c>
      <c r="C11" s="274" t="inlineStr">
        <is>
          <t>Письмо Минстроя России от 30.03.2023г. №17106-ИФ/09  прил.1</t>
        </is>
      </c>
      <c r="D11" s="274" t="n">
        <v>44.29</v>
      </c>
    </row>
    <row r="12" ht="29.25" customHeight="1" s="242">
      <c r="B12" s="274" t="inlineStr">
        <is>
          <t>Индекс изменения сметной стоимости на 1 квартал 2023 года. ЭМ</t>
        </is>
      </c>
      <c r="C12" s="274" t="inlineStr">
        <is>
          <t>Письмо Минстроя России от 30.03.2023г. №17106-ИФ/09  прил.1</t>
        </is>
      </c>
      <c r="D12" s="274" t="n">
        <v>13.47</v>
      </c>
    </row>
    <row r="13" ht="29.25" customHeight="1" s="242">
      <c r="B13" s="274" t="inlineStr">
        <is>
          <t>Индекс изменения сметной стоимости на 1 квартал 2023 года. МАТ</t>
        </is>
      </c>
      <c r="C13" s="274" t="inlineStr">
        <is>
          <t>Письмо Минстроя России от 30.03.2023г. №17106-ИФ/09  прил.1</t>
        </is>
      </c>
      <c r="D13" s="274" t="n">
        <v>8.039999999999999</v>
      </c>
    </row>
    <row r="14" ht="30.75" customHeight="1" s="242">
      <c r="B14" s="274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4" t="n">
        <v>6.26</v>
      </c>
    </row>
    <row r="15" ht="89.25" customHeight="1" s="242">
      <c r="B15" s="274" t="inlineStr">
        <is>
          <t>Временные здания и сооружения</t>
        </is>
      </c>
      <c r="C15" s="27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42">
      <c r="B16" s="274" t="inlineStr">
        <is>
          <t>Дополнительные затраты при производстве строительно-монтажных работ в зимнее время</t>
        </is>
      </c>
      <c r="C16" s="27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42">
      <c r="B17" s="274" t="inlineStr">
        <is>
          <t>Строительный контроль</t>
        </is>
      </c>
      <c r="C17" s="274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2">
      <c r="B18" s="274" t="inlineStr">
        <is>
          <t>Авторский надзор - 0,2%</t>
        </is>
      </c>
      <c r="C18" s="274" t="inlineStr">
        <is>
          <t>Приказ от 4.08.2020 № 421/пр п.173</t>
        </is>
      </c>
      <c r="D18" s="120" t="n">
        <v>0.002</v>
      </c>
    </row>
    <row r="19" ht="24" customHeight="1" s="242">
      <c r="B19" s="274" t="inlineStr">
        <is>
          <t>Непредвиденные расходы</t>
        </is>
      </c>
      <c r="C19" s="274" t="inlineStr">
        <is>
          <t>Приказ от 4.08.2020 № 421/пр п.179</t>
        </is>
      </c>
      <c r="D19" s="120" t="n">
        <v>0.03</v>
      </c>
    </row>
    <row r="20" ht="18.75" customHeight="1" s="242">
      <c r="B20" s="119" t="n"/>
    </row>
    <row r="21" ht="18.75" customHeight="1" s="242">
      <c r="B21" s="119" t="n"/>
    </row>
    <row r="22" ht="18.75" customHeight="1" s="242">
      <c r="B22" s="119" t="n"/>
    </row>
    <row r="23" ht="18.75" customHeight="1" s="242">
      <c r="B23" s="119" t="n"/>
    </row>
    <row r="26">
      <c r="B26" s="232" t="inlineStr">
        <is>
          <t>Составил ______________________      Е. М. Добровольская</t>
        </is>
      </c>
      <c r="C26" s="238" t="n"/>
    </row>
    <row r="27">
      <c r="B27" s="239" t="inlineStr">
        <is>
          <t xml:space="preserve">                         (подпись, инициалы, фамилия)</t>
        </is>
      </c>
      <c r="C27" s="238" t="n"/>
    </row>
    <row r="28">
      <c r="B28" s="232" t="n"/>
      <c r="C28" s="238" t="n"/>
    </row>
    <row r="29">
      <c r="B29" s="232" t="inlineStr">
        <is>
          <t>Проверил ______________________        А.В. Костянецкая</t>
        </is>
      </c>
      <c r="C29" s="238" t="n"/>
    </row>
    <row r="30">
      <c r="B30" s="239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2" min="2" max="2"/>
    <col width="13" customWidth="1" style="242" min="3" max="3"/>
    <col width="22.85546875" customWidth="1" style="242" min="4" max="4"/>
    <col width="21.5703125" customWidth="1" style="242" min="5" max="5"/>
    <col width="53.7109375" bestFit="1" customWidth="1" style="242" min="6" max="6"/>
  </cols>
  <sheetData>
    <row r="1" s="242"/>
    <row r="2" ht="17.25" customHeight="1" s="242">
      <c r="A2" s="269" t="inlineStr">
        <is>
          <t>Расчет размера средств на оплату труда рабочих-строителей в текущем уровне цен (ФОТр.тек.)</t>
        </is>
      </c>
    </row>
    <row r="3" s="242"/>
    <row r="4" ht="18" customHeight="1" s="242">
      <c r="A4" s="243" t="inlineStr">
        <is>
          <t>Составлен в уровне цен на 01.01.2023 г.</t>
        </is>
      </c>
      <c r="B4" s="244" t="n"/>
      <c r="C4" s="244" t="n"/>
      <c r="D4" s="244" t="n"/>
      <c r="E4" s="244" t="n"/>
      <c r="F4" s="244" t="n"/>
      <c r="G4" s="244" t="n"/>
    </row>
    <row r="5" ht="15.75" customHeight="1" s="242">
      <c r="A5" s="245" t="inlineStr">
        <is>
          <t>№ пп.</t>
        </is>
      </c>
      <c r="B5" s="245" t="inlineStr">
        <is>
          <t>Наименование элемента</t>
        </is>
      </c>
      <c r="C5" s="245" t="inlineStr">
        <is>
          <t>Обозначение</t>
        </is>
      </c>
      <c r="D5" s="245" t="inlineStr">
        <is>
          <t>Формула</t>
        </is>
      </c>
      <c r="E5" s="245" t="inlineStr">
        <is>
          <t>Величина элемента</t>
        </is>
      </c>
      <c r="F5" s="245" t="inlineStr">
        <is>
          <t>Наименования обосновывающих документов</t>
        </is>
      </c>
      <c r="G5" s="244" t="n"/>
    </row>
    <row r="6" ht="15.75" customHeight="1" s="242">
      <c r="A6" s="245" t="n">
        <v>1</v>
      </c>
      <c r="B6" s="245" t="n">
        <v>2</v>
      </c>
      <c r="C6" s="245" t="n">
        <v>3</v>
      </c>
      <c r="D6" s="245" t="n">
        <v>4</v>
      </c>
      <c r="E6" s="245" t="n">
        <v>5</v>
      </c>
      <c r="F6" s="245" t="n">
        <v>6</v>
      </c>
      <c r="G6" s="244" t="n"/>
    </row>
    <row r="7" ht="110.25" customHeight="1" s="242">
      <c r="A7" s="246" t="inlineStr">
        <is>
          <t>1.1</t>
        </is>
      </c>
      <c r="B7" s="2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4" t="inlineStr">
        <is>
          <t>С1ср</t>
        </is>
      </c>
      <c r="D7" s="274" t="inlineStr">
        <is>
          <t>-</t>
        </is>
      </c>
      <c r="E7" s="249" t="n">
        <v>47872.94</v>
      </c>
      <c r="F7" s="2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4" t="n"/>
    </row>
    <row r="8" ht="31.5" customHeight="1" s="242">
      <c r="A8" s="246" t="inlineStr">
        <is>
          <t>1.2</t>
        </is>
      </c>
      <c r="B8" s="251" t="inlineStr">
        <is>
          <t>Среднегодовое нормативное число часов работы одного рабочего в месяц, часы (ч.)</t>
        </is>
      </c>
      <c r="C8" s="274" t="inlineStr">
        <is>
          <t>tср</t>
        </is>
      </c>
      <c r="D8" s="274" t="inlineStr">
        <is>
          <t>1973ч/12мес.</t>
        </is>
      </c>
      <c r="E8" s="250">
        <f>1973/12</f>
        <v/>
      </c>
      <c r="F8" s="251" t="inlineStr">
        <is>
          <t>Производственный календарь 2023 год
(40-часов.неделя)</t>
        </is>
      </c>
      <c r="G8" s="253" t="n"/>
    </row>
    <row r="9" ht="15.75" customHeight="1" s="242">
      <c r="A9" s="246" t="inlineStr">
        <is>
          <t>1.3</t>
        </is>
      </c>
      <c r="B9" s="251" t="inlineStr">
        <is>
          <t>Коэффициент увеличения</t>
        </is>
      </c>
      <c r="C9" s="274" t="inlineStr">
        <is>
          <t>Кув</t>
        </is>
      </c>
      <c r="D9" s="274" t="inlineStr">
        <is>
          <t>-</t>
        </is>
      </c>
      <c r="E9" s="250" t="n">
        <v>1</v>
      </c>
      <c r="F9" s="251" t="n"/>
      <c r="G9" s="253" t="n"/>
    </row>
    <row r="10" ht="15.75" customHeight="1" s="242">
      <c r="A10" s="246" t="inlineStr">
        <is>
          <t>1.4</t>
        </is>
      </c>
      <c r="B10" s="251" t="inlineStr">
        <is>
          <t>Средний разряд работ</t>
        </is>
      </c>
      <c r="C10" s="274" t="n"/>
      <c r="D10" s="274" t="n"/>
      <c r="E10" s="375" t="n">
        <v>4</v>
      </c>
      <c r="F10" s="251" t="inlineStr">
        <is>
          <t>РТМ</t>
        </is>
      </c>
      <c r="G10" s="253" t="n"/>
    </row>
    <row r="11" ht="78.75" customHeight="1" s="242">
      <c r="A11" s="246" t="inlineStr">
        <is>
          <t>1.5</t>
        </is>
      </c>
      <c r="B11" s="251" t="inlineStr">
        <is>
          <t>Тарифный коэффициент среднего разряда работ</t>
        </is>
      </c>
      <c r="C11" s="274" t="inlineStr">
        <is>
          <t>КТ</t>
        </is>
      </c>
      <c r="D11" s="274" t="inlineStr">
        <is>
          <t>-</t>
        </is>
      </c>
      <c r="E11" s="376" t="n">
        <v>1.34</v>
      </c>
      <c r="F11" s="2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4" t="n"/>
    </row>
    <row r="12" ht="78.75" customHeight="1" s="242">
      <c r="A12" s="256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257" t="inlineStr">
        <is>
          <t>Кинф</t>
        </is>
      </c>
      <c r="D12" s="257" t="inlineStr">
        <is>
          <t>-</t>
        </is>
      </c>
      <c r="E12" s="377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42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2025-01-24T12:11:30Z</dcterms:modified>
  <cp:lastModifiedBy>Николай Трофименко</cp:lastModifiedBy>
  <cp:lastPrinted>2023-11-29T08:05:58Z</cp:lastPrinted>
</cp:coreProperties>
</file>