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РМ'!$A$1:$E$49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ОБ'!$A$1:$J$86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00\ _₽_-;\-* #,##0.0000\ _₽_-;_-* &quot;-&quot;??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Arial"/>
      <b val="1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horizontal="left" vertical="center" wrapText="1" indent="1"/>
    </xf>
    <xf numFmtId="0" fontId="17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43" fontId="4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0" fontId="0" fillId="0" borderId="1" pivotButton="0" quotePrefix="0" xfId="0"/>
    <xf numFmtId="0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7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2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3" fontId="4" fillId="0" borderId="0" pivotButton="0" quotePrefix="0" xfId="0"/>
    <xf numFmtId="165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3" fontId="1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4" fontId="1" fillId="4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7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16" fillId="4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9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9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1" applyAlignment="1" pivotButton="0" quotePrefix="0" xfId="0">
      <alignment horizontal="center" vertical="center"/>
    </xf>
    <xf numFmtId="0" fontId="21" fillId="0" borderId="11" applyAlignment="1" pivotButton="0" quotePrefix="0" xfId="0">
      <alignment vertical="center" wrapText="1"/>
    </xf>
    <xf numFmtId="0" fontId="17" fillId="0" borderId="11" applyAlignment="1" pivotButton="0" quotePrefix="0" xfId="0">
      <alignment horizontal="center" vertical="center" wrapText="1"/>
    </xf>
    <xf numFmtId="4" fontId="21" fillId="0" borderId="11" applyAlignment="1" pivotButton="0" quotePrefix="0" xfId="0">
      <alignment horizontal="center" vertical="center"/>
    </xf>
    <xf numFmtId="0" fontId="17" fillId="0" borderId="11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43" fontId="1" fillId="0" borderId="1" applyAlignment="1" pivotButton="0" quotePrefix="0" xfId="0">
      <alignment vertical="top"/>
    </xf>
    <xf numFmtId="165" fontId="4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D31"/>
  <sheetViews>
    <sheetView tabSelected="1" view="pageBreakPreview" topLeftCell="A17" zoomScale="60" zoomScaleNormal="70" workbookViewId="0">
      <selection activeCell="D28" sqref="D28"/>
    </sheetView>
  </sheetViews>
  <sheetFormatPr baseColWidth="8" defaultRowHeight="15"/>
  <cols>
    <col width="36.85546875" customWidth="1" style="302" min="3" max="3"/>
    <col width="46" customWidth="1" style="302" min="4" max="4"/>
  </cols>
  <sheetData>
    <row r="3" ht="15.75" customHeight="1" s="302">
      <c r="B3" s="326" t="inlineStr">
        <is>
          <t>Приложение № 1</t>
        </is>
      </c>
    </row>
    <row r="4" ht="18.75" customHeight="1" s="302">
      <c r="B4" s="328" t="inlineStr">
        <is>
          <t>Сравнительная таблица отбора объекта-представителя</t>
        </is>
      </c>
    </row>
    <row r="5" ht="84" customHeight="1" s="302">
      <c r="B5" s="3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2">
      <c r="B6" s="181" t="n"/>
      <c r="C6" s="181" t="n"/>
      <c r="D6" s="181" t="n"/>
    </row>
    <row r="7" ht="15.75" customHeight="1" s="302">
      <c r="B7" s="327" t="inlineStr">
        <is>
          <t>Наименование разрабатываемого показателя УНЦ — Демонтаж ячейки выключателя НУ 220кВ</t>
        </is>
      </c>
    </row>
    <row r="8" ht="31.5" customHeight="1" s="302">
      <c r="B8" s="327" t="inlineStr">
        <is>
          <t>Сопоставимый уровень цен: 4 квартал 2014 года</t>
        </is>
      </c>
    </row>
    <row r="9" ht="15.75" customHeight="1" s="302">
      <c r="B9" s="327" t="inlineStr">
        <is>
          <t>Единица измерения  — 1 ячейка</t>
        </is>
      </c>
    </row>
    <row r="10" ht="18.75" customHeight="1" s="302">
      <c r="B10" s="182" t="n"/>
    </row>
    <row r="11" ht="15.75" customHeight="1" s="302">
      <c r="B11" s="333" t="inlineStr">
        <is>
          <t>№ п/п</t>
        </is>
      </c>
      <c r="C11" s="333" t="inlineStr">
        <is>
          <t>Параметр</t>
        </is>
      </c>
      <c r="D11" s="333" t="inlineStr">
        <is>
          <t>Объект-представитель</t>
        </is>
      </c>
    </row>
    <row r="12" ht="31.5" customHeight="1" s="302">
      <c r="B12" s="333" t="n">
        <v>1</v>
      </c>
      <c r="C12" s="186" t="inlineStr">
        <is>
          <t>Наименование объекта-представителя</t>
        </is>
      </c>
      <c r="D12" s="333" t="inlineStr">
        <is>
          <t>ПС Святогор (МЭС Западная Сибирь)</t>
        </is>
      </c>
    </row>
    <row r="13" ht="46.15" customHeight="1" s="302">
      <c r="B13" s="333" t="n">
        <v>2</v>
      </c>
      <c r="C13" s="186" t="inlineStr">
        <is>
          <t>Наименование субъекта Российской Федерации</t>
        </is>
      </c>
      <c r="D13" s="333" t="inlineStr">
        <is>
          <t>Тюменская область 
Ханты-Мансийский автономный округ — Югра
 Нефтеюганский район</t>
        </is>
      </c>
    </row>
    <row r="14" ht="15.75" customHeight="1" s="302">
      <c r="B14" s="333" t="n">
        <v>3</v>
      </c>
      <c r="C14" s="186" t="inlineStr">
        <is>
          <t>Климатический район и подрайон</t>
        </is>
      </c>
      <c r="D14" s="333" t="inlineStr">
        <is>
          <t>I</t>
        </is>
      </c>
    </row>
    <row r="15" ht="15.75" customHeight="1" s="302">
      <c r="B15" s="333" t="n">
        <v>4</v>
      </c>
      <c r="C15" s="186" t="inlineStr">
        <is>
          <t>Мощность объекта</t>
        </is>
      </c>
      <c r="D15" s="333" t="n">
        <v>8</v>
      </c>
    </row>
    <row r="16" ht="94.5" customHeight="1" s="302">
      <c r="B16" s="333" t="n">
        <v>5</v>
      </c>
      <c r="C16" s="22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3" t="inlineStr">
        <is>
          <t>Схема РУ 220-16 "Трансформатор-шины с полуторным присоединением" 
тип выключателя- элегазовый колонковый
I откл. (кА)/I ном (А) - 40/1000
кол-во фаз - 3
кол-во выключателей - 8</t>
        </is>
      </c>
    </row>
    <row r="17" ht="78.75" customHeight="1" s="302">
      <c r="B17" s="333" t="n">
        <v>6</v>
      </c>
      <c r="C17" s="22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4">
        <f>D18+D19</f>
        <v/>
      </c>
    </row>
    <row r="18" ht="15.75" customHeight="1" s="302">
      <c r="B18" s="190" t="inlineStr">
        <is>
          <t>6.1</t>
        </is>
      </c>
      <c r="C18" s="186" t="inlineStr">
        <is>
          <t>строительно-монтажные работы</t>
        </is>
      </c>
      <c r="D18" s="224">
        <f>'Прил.2 Расч стоим'!F12</f>
        <v/>
      </c>
    </row>
    <row r="19" ht="15.75" customHeight="1" s="302">
      <c r="B19" s="190" t="inlineStr">
        <is>
          <t>6.2</t>
        </is>
      </c>
      <c r="C19" s="186" t="inlineStr">
        <is>
          <t>оборудование и инвентарь</t>
        </is>
      </c>
      <c r="D19" s="224" t="n">
        <v>0</v>
      </c>
    </row>
    <row r="20" ht="15.75" customHeight="1" s="302">
      <c r="B20" s="190" t="inlineStr">
        <is>
          <t>6.3</t>
        </is>
      </c>
      <c r="C20" s="186" t="inlineStr">
        <is>
          <t>пусконаладочные работы</t>
        </is>
      </c>
      <c r="D20" s="224" t="n"/>
    </row>
    <row r="21" ht="31.5" customHeight="1" s="302">
      <c r="B21" s="190" t="inlineStr">
        <is>
          <t>6.4</t>
        </is>
      </c>
      <c r="C21" s="186" t="inlineStr">
        <is>
          <t>прочие и лимитированные затраты</t>
        </is>
      </c>
      <c r="D21" s="224" t="n"/>
    </row>
    <row r="22" ht="15.75" customHeight="1" s="302">
      <c r="B22" s="333" t="n">
        <v>7</v>
      </c>
      <c r="C22" s="186" t="inlineStr">
        <is>
          <t>Сопоставимый уровень цен</t>
        </is>
      </c>
      <c r="D22" s="225" t="inlineStr">
        <is>
          <t>4кв. 2014</t>
        </is>
      </c>
    </row>
    <row r="23" ht="110.25" customHeight="1" s="302">
      <c r="B23" s="333" t="n">
        <v>8</v>
      </c>
      <c r="C23" s="22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4">
        <f>D17</f>
        <v/>
      </c>
    </row>
    <row r="24" ht="61.5" customHeight="1" s="302">
      <c r="B24" s="333" t="n">
        <v>9</v>
      </c>
      <c r="C24" s="221" t="inlineStr">
        <is>
          <t>Приведенная сметная стоимость на единицу мощности, тыс. руб. (строка 8/строку 4)</t>
        </is>
      </c>
      <c r="D24" s="224">
        <f>D17/D15</f>
        <v/>
      </c>
    </row>
    <row r="25" ht="37.5" customHeight="1" s="302">
      <c r="B25" s="183" t="n"/>
      <c r="C25" s="184" t="n"/>
      <c r="D25" s="184" t="n"/>
    </row>
    <row r="26">
      <c r="B26" s="301" t="inlineStr">
        <is>
          <t>Составил ______________________        А.Р. Маркова</t>
        </is>
      </c>
      <c r="C26" s="299" t="n"/>
    </row>
    <row r="27">
      <c r="B27" s="298" t="inlineStr">
        <is>
          <t xml:space="preserve">                         (подпись, инициалы, фамилия)</t>
        </is>
      </c>
      <c r="C27" s="299" t="n"/>
    </row>
    <row r="28">
      <c r="B28" s="301" t="n"/>
      <c r="C28" s="299" t="n"/>
    </row>
    <row r="29">
      <c r="B29" s="301" t="inlineStr">
        <is>
          <t>Проверил ______________________        А.В. Костянецкая</t>
        </is>
      </c>
      <c r="C29" s="299" t="n"/>
    </row>
    <row r="30">
      <c r="B30" s="298" t="inlineStr">
        <is>
          <t xml:space="preserve">                        (подпись, инициалы, фамилия)</t>
        </is>
      </c>
      <c r="C30" s="299" t="n"/>
    </row>
    <row r="31" ht="15.75" customHeight="1" s="302">
      <c r="B31" s="184" t="n"/>
      <c r="C31" s="184" t="n"/>
      <c r="D31" s="18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32"/>
  <sheetViews>
    <sheetView view="pageBreakPreview" zoomScale="60" zoomScaleNormal="70" workbookViewId="0">
      <selection activeCell="G19" sqref="G19"/>
    </sheetView>
  </sheetViews>
  <sheetFormatPr baseColWidth="8" defaultRowHeight="15"/>
  <cols>
    <col width="5.5703125" customWidth="1" style="302" min="1" max="1"/>
    <col width="35.28515625" customWidth="1" style="302" min="3" max="3"/>
    <col width="13.85546875" customWidth="1" style="302" min="4" max="4"/>
    <col width="17.42578125" customWidth="1" style="302" min="5" max="5"/>
    <col width="12.7109375" customWidth="1" style="302" min="6" max="6"/>
    <col width="14.85546875" customWidth="1" style="302" min="7" max="7"/>
    <col width="16.7109375" customWidth="1" style="302" min="8" max="8"/>
    <col width="13" customWidth="1" style="302" min="9" max="10"/>
    <col width="18" customWidth="1" style="302" min="11" max="11"/>
  </cols>
  <sheetData>
    <row r="3" ht="15.75" customHeight="1" s="302">
      <c r="B3" s="326" t="inlineStr">
        <is>
          <t>Приложение № 2</t>
        </is>
      </c>
    </row>
    <row r="4" ht="15.75" customHeight="1" s="302">
      <c r="B4" s="332" t="inlineStr">
        <is>
          <t>Расчет стоимости основных видов работ для выбора объекта-представителя</t>
        </is>
      </c>
    </row>
    <row r="5" ht="15.75" customHeight="1" s="302">
      <c r="B5" s="189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</row>
    <row r="6" ht="15.75" customHeight="1" s="302">
      <c r="B6" s="327" t="inlineStr">
        <is>
          <t>Наименование разрабатываемого показателя УНЦ - Демонтаж ячейки выключателя НУ 220кВ</t>
        </is>
      </c>
    </row>
    <row r="7" ht="15.75" customHeight="1" s="302">
      <c r="B7" s="327" t="inlineStr">
        <is>
          <t>Единица измерения  — 1 ячейка</t>
        </is>
      </c>
    </row>
    <row r="8" ht="18.75" customHeight="1" s="302">
      <c r="B8" s="182" t="n"/>
    </row>
    <row r="9" ht="15.75" customHeight="1" s="302">
      <c r="B9" s="333" t="inlineStr">
        <is>
          <t>№ п/п</t>
        </is>
      </c>
      <c r="C9" s="3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3" t="inlineStr">
        <is>
          <t>Объект-представитель 1</t>
        </is>
      </c>
      <c r="E9" s="420" t="n"/>
      <c r="F9" s="420" t="n"/>
      <c r="G9" s="420" t="n"/>
      <c r="H9" s="420" t="n"/>
      <c r="I9" s="420" t="n"/>
      <c r="J9" s="421" t="n"/>
    </row>
    <row r="10" ht="15.75" customHeight="1" s="302">
      <c r="B10" s="422" t="n"/>
      <c r="C10" s="422" t="n"/>
      <c r="D10" s="333" t="inlineStr">
        <is>
          <t>Номер сметы</t>
        </is>
      </c>
      <c r="E10" s="333" t="inlineStr">
        <is>
          <t>Наименование сметы</t>
        </is>
      </c>
      <c r="F10" s="333" t="inlineStr">
        <is>
          <t>Сметная стоимость в уровне цен 4 кв. 2014г., тыс. руб.</t>
        </is>
      </c>
      <c r="G10" s="420" t="n"/>
      <c r="H10" s="420" t="n"/>
      <c r="I10" s="420" t="n"/>
      <c r="J10" s="421" t="n"/>
    </row>
    <row r="11" ht="31.5" customHeight="1" s="302">
      <c r="B11" s="423" t="n"/>
      <c r="C11" s="423" t="n"/>
      <c r="D11" s="423" t="n"/>
      <c r="E11" s="423" t="n"/>
      <c r="F11" s="333" t="inlineStr">
        <is>
          <t>Строительные работы</t>
        </is>
      </c>
      <c r="G11" s="333" t="inlineStr">
        <is>
          <t>Монтажные работы</t>
        </is>
      </c>
      <c r="H11" s="333" t="inlineStr">
        <is>
          <t>Оборудование</t>
        </is>
      </c>
      <c r="I11" s="333" t="inlineStr">
        <is>
          <t>Прочее</t>
        </is>
      </c>
      <c r="J11" s="333" t="inlineStr">
        <is>
          <t>Всего</t>
        </is>
      </c>
    </row>
    <row r="12" ht="15.75" customHeight="1" s="302">
      <c r="B12" s="333" t="n"/>
      <c r="C12" s="333" t="inlineStr">
        <is>
          <t>Демонтаж ячейки выключателя НУ 110 кВ</t>
        </is>
      </c>
      <c r="D12" s="333" t="n"/>
      <c r="E12" s="333" t="n"/>
      <c r="F12" s="333" t="n">
        <v>16739.0964384</v>
      </c>
      <c r="G12" s="421" t="n"/>
      <c r="H12" s="333" t="n">
        <v>0</v>
      </c>
      <c r="I12" s="333" t="n"/>
      <c r="J12" s="333" t="n">
        <v>16739.0964384</v>
      </c>
    </row>
    <row r="13" ht="15.75" customHeight="1" s="302">
      <c r="B13" s="336" t="inlineStr">
        <is>
          <t>Всего по объекту:</t>
        </is>
      </c>
      <c r="C13" s="420" t="n"/>
      <c r="D13" s="420" t="n"/>
      <c r="E13" s="421" t="n"/>
      <c r="F13" s="191" t="n"/>
      <c r="G13" s="191" t="n"/>
      <c r="H13" s="191" t="n"/>
      <c r="I13" s="191" t="n"/>
      <c r="J13" s="191" t="n"/>
    </row>
    <row r="14" ht="15.75" customHeight="1" s="302">
      <c r="B14" s="336" t="inlineStr">
        <is>
          <t>Всего по объекту в сопоставимом уровне цен 4кв. 2014г:</t>
        </is>
      </c>
      <c r="C14" s="420" t="n"/>
      <c r="D14" s="420" t="n"/>
      <c r="E14" s="421" t="n"/>
      <c r="F14" s="424">
        <f>F12</f>
        <v/>
      </c>
      <c r="G14" s="421" t="n"/>
      <c r="H14" s="191">
        <f>H12</f>
        <v/>
      </c>
      <c r="I14" s="191" t="n"/>
      <c r="J14" s="191">
        <f>J12</f>
        <v/>
      </c>
    </row>
    <row r="15" ht="15.75" customHeight="1" s="302"/>
    <row r="16" ht="28.5" customHeight="1" s="302"/>
    <row r="17" ht="18.75" customHeight="1" s="302"/>
    <row r="18">
      <c r="C18" s="301" t="inlineStr">
        <is>
          <t>Составил ______________________        А.Р. Маркова</t>
        </is>
      </c>
      <c r="D18" s="299" t="n"/>
    </row>
    <row r="19">
      <c r="C19" s="298" t="inlineStr">
        <is>
          <t xml:space="preserve">                         (подпись, инициалы, фамилия)</t>
        </is>
      </c>
      <c r="D19" s="299" t="n"/>
    </row>
    <row r="20">
      <c r="C20" s="301" t="n"/>
      <c r="D20" s="299" t="n"/>
    </row>
    <row r="21">
      <c r="C21" s="301" t="inlineStr">
        <is>
          <t>Проверил ______________________        А.В. Костянецкая</t>
        </is>
      </c>
      <c r="D21" s="299" t="n"/>
    </row>
    <row r="22">
      <c r="C22" s="298" t="inlineStr">
        <is>
          <t xml:space="preserve">                        (подпись, инициалы, фамилия)</t>
        </is>
      </c>
      <c r="D22" s="299" t="n"/>
    </row>
    <row r="23"/>
    <row r="24"/>
    <row r="25"/>
    <row r="26"/>
    <row r="27"/>
    <row r="28"/>
    <row r="29"/>
    <row r="30"/>
    <row r="31"/>
    <row r="32"/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J159"/>
  <sheetViews>
    <sheetView view="pageBreakPreview" zoomScale="90" zoomScaleNormal="70" workbookViewId="0">
      <selection activeCell="D159" sqref="D159"/>
    </sheetView>
  </sheetViews>
  <sheetFormatPr baseColWidth="8" defaultRowHeight="15"/>
  <cols>
    <col width="12.5703125" customWidth="1" style="302" min="2" max="2"/>
    <col width="17" customWidth="1" style="302" min="3" max="3"/>
    <col width="49.7109375" customWidth="1" style="302" min="4" max="4"/>
    <col width="16.28515625" customWidth="1" style="302" min="5" max="5"/>
    <col width="20.7109375" customWidth="1" style="302" min="6" max="6"/>
    <col width="16.140625" customWidth="1" style="302" min="7" max="7"/>
    <col width="16.7109375" customWidth="1" style="302" min="8" max="8"/>
  </cols>
  <sheetData>
    <row r="2" ht="15.75" customHeight="1" s="302">
      <c r="A2" s="326" t="inlineStr">
        <is>
          <t xml:space="preserve">Приложение № 3 </t>
        </is>
      </c>
    </row>
    <row r="3" ht="18.75" customHeight="1" s="302">
      <c r="A3" s="328" t="inlineStr">
        <is>
          <t>Объектная ресурсная ведомость</t>
        </is>
      </c>
    </row>
    <row r="4" ht="18.75" customHeight="1" s="302">
      <c r="A4" s="328" t="n"/>
      <c r="B4" s="328" t="n"/>
      <c r="C4" s="339" t="n"/>
    </row>
    <row r="5" ht="18.75" customHeight="1" s="302">
      <c r="A5" s="182" t="n"/>
    </row>
    <row r="6" ht="18.75" customHeight="1" s="302">
      <c r="A6" s="182" t="n"/>
    </row>
    <row r="7" ht="15.75" customHeight="1" s="302">
      <c r="A7" s="338" t="inlineStr">
        <is>
          <t>Наименование разрабатываемого показателя УНЦ - Демонтаж ячейки выключателя НУ 220кВ</t>
        </is>
      </c>
    </row>
    <row r="8" ht="15.75" customHeight="1" s="302">
      <c r="A8" s="338" t="n"/>
      <c r="B8" s="338" t="n"/>
      <c r="C8" s="338" t="n"/>
      <c r="D8" s="338" t="n"/>
      <c r="E8" s="338" t="n"/>
      <c r="F8" s="338" t="n"/>
      <c r="G8" s="338" t="n"/>
      <c r="H8" s="338" t="n"/>
    </row>
    <row r="9" ht="38.25" customHeight="1" s="302">
      <c r="A9" s="333" t="inlineStr">
        <is>
          <t>п/п</t>
        </is>
      </c>
      <c r="B9" s="333" t="inlineStr">
        <is>
          <t>№ЛСР</t>
        </is>
      </c>
      <c r="C9" s="333" t="inlineStr">
        <is>
          <t>Код ресурса</t>
        </is>
      </c>
      <c r="D9" s="333" t="inlineStr">
        <is>
          <t>Наименование ресурса</t>
        </is>
      </c>
      <c r="E9" s="333" t="inlineStr">
        <is>
          <t>Ед. изм.</t>
        </is>
      </c>
      <c r="F9" s="333" t="inlineStr">
        <is>
          <t>Кол-во единиц по данным объекта-представителя</t>
        </is>
      </c>
      <c r="G9" s="333" t="inlineStr">
        <is>
          <t>Сметная стоимость в ценах на 01.01.2000 (руб.)</t>
        </is>
      </c>
      <c r="H9" s="421" t="n"/>
    </row>
    <row r="10" ht="40.5" customHeight="1" s="302">
      <c r="A10" s="423" t="n"/>
      <c r="B10" s="423" t="n"/>
      <c r="C10" s="423" t="n"/>
      <c r="D10" s="423" t="n"/>
      <c r="E10" s="423" t="n"/>
      <c r="F10" s="423" t="n"/>
      <c r="G10" s="333" t="inlineStr">
        <is>
          <t>на ед.изм.</t>
        </is>
      </c>
      <c r="H10" s="333" t="inlineStr">
        <is>
          <t>общая</t>
        </is>
      </c>
    </row>
    <row r="11" ht="15.75" customHeight="1" s="302">
      <c r="A11" s="333" t="n">
        <v>1</v>
      </c>
      <c r="B11" s="187" t="n"/>
      <c r="C11" s="333" t="n">
        <v>2</v>
      </c>
      <c r="D11" s="333" t="inlineStr">
        <is>
          <t>З</t>
        </is>
      </c>
      <c r="E11" s="333" t="n">
        <v>4</v>
      </c>
      <c r="F11" s="333" t="n">
        <v>5</v>
      </c>
      <c r="G11" s="187" t="n">
        <v>6</v>
      </c>
      <c r="H11" s="187" t="n">
        <v>7</v>
      </c>
    </row>
    <row r="12" ht="15" customHeight="1" s="302">
      <c r="A12" s="340" t="inlineStr">
        <is>
          <t>Затраты труда рабочих</t>
        </is>
      </c>
      <c r="B12" s="420" t="n"/>
      <c r="C12" s="420" t="n"/>
      <c r="D12" s="420" t="n"/>
      <c r="E12" s="420" t="n"/>
      <c r="F12" s="214" t="n">
        <v>41371.73055</v>
      </c>
      <c r="G12" s="214" t="n"/>
      <c r="H12" s="220">
        <f>SUM(H13:H24)</f>
        <v/>
      </c>
    </row>
    <row r="13">
      <c r="A13" s="208" t="n">
        <v>1</v>
      </c>
      <c r="B13" s="213" t="n"/>
      <c r="C13" s="208" t="inlineStr">
        <is>
          <t>1-4-9</t>
        </is>
      </c>
      <c r="D13" s="209" t="inlineStr">
        <is>
          <t>Затраты труда рабочих (средний разряд работы 4,9)</t>
        </is>
      </c>
      <c r="E13" s="367" t="inlineStr">
        <is>
          <t>чел.-ч</t>
        </is>
      </c>
      <c r="F13" s="367" t="n">
        <v>16882.35555</v>
      </c>
      <c r="G13" s="211" t="n">
        <v>10.94</v>
      </c>
      <c r="H13" s="211">
        <f>ROUND(F13*G13,2)</f>
        <v/>
      </c>
    </row>
    <row r="14">
      <c r="A14" s="208">
        <f>A13+1</f>
        <v/>
      </c>
      <c r="B14" s="213" t="n"/>
      <c r="C14" s="208" t="inlineStr">
        <is>
          <t>1-4-0</t>
        </is>
      </c>
      <c r="D14" s="209" t="inlineStr">
        <is>
          <t>Затраты труда рабочих (средний разряд работы 4,0)</t>
        </is>
      </c>
      <c r="E14" s="367" t="inlineStr">
        <is>
          <t>чел.-ч</t>
        </is>
      </c>
      <c r="F14" s="367" t="n">
        <v>11946.9975</v>
      </c>
      <c r="G14" s="211" t="n">
        <v>9.619999999999999</v>
      </c>
      <c r="H14" s="211">
        <f>ROUND(F14*G14,2)</f>
        <v/>
      </c>
    </row>
    <row r="15">
      <c r="A15" s="208">
        <f>A14+1</f>
        <v/>
      </c>
      <c r="B15" s="213" t="n"/>
      <c r="C15" s="208" t="inlineStr">
        <is>
          <t>1-4-3</t>
        </is>
      </c>
      <c r="D15" s="209" t="inlineStr">
        <is>
          <t>Затраты труда рабочих (средний разряд работы 4,3)</t>
        </is>
      </c>
      <c r="E15" s="367" t="inlineStr">
        <is>
          <t>чел.-ч</t>
        </is>
      </c>
      <c r="F15" s="367" t="n">
        <v>6691.86</v>
      </c>
      <c r="G15" s="211" t="n">
        <v>10.06</v>
      </c>
      <c r="H15" s="211">
        <f>ROUND(F15*G15,2)</f>
        <v/>
      </c>
    </row>
    <row r="16">
      <c r="A16" s="208">
        <f>A15+1</f>
        <v/>
      </c>
      <c r="B16" s="213" t="n"/>
      <c r="C16" s="208" t="inlineStr">
        <is>
          <t>1-3-9</t>
        </is>
      </c>
      <c r="D16" s="209" t="inlineStr">
        <is>
          <t>Затраты труда рабочих (средний разряд работы 3,9)</t>
        </is>
      </c>
      <c r="E16" s="367" t="inlineStr">
        <is>
          <t>чел.-ч</t>
        </is>
      </c>
      <c r="F16" s="367" t="n">
        <v>3901.605</v>
      </c>
      <c r="G16" s="211" t="n">
        <v>9.51</v>
      </c>
      <c r="H16" s="211">
        <f>ROUND(F16*G16,2)</f>
        <v/>
      </c>
    </row>
    <row r="17">
      <c r="A17" s="208">
        <f>A16+1</f>
        <v/>
      </c>
      <c r="B17" s="213" t="n"/>
      <c r="C17" s="208" t="inlineStr">
        <is>
          <t>1-4-1</t>
        </is>
      </c>
      <c r="D17" s="209" t="inlineStr">
        <is>
          <t>Затраты труда рабочих (средний разряд работы 4,1)</t>
        </is>
      </c>
      <c r="E17" s="367" t="inlineStr">
        <is>
          <t>чел.-ч</t>
        </is>
      </c>
      <c r="F17" s="367" t="n">
        <v>705.0675</v>
      </c>
      <c r="G17" s="211" t="n">
        <v>9.76</v>
      </c>
      <c r="H17" s="211">
        <f>ROUND(F17*G17,2)</f>
        <v/>
      </c>
    </row>
    <row r="18">
      <c r="A18" s="208">
        <f>A17+1</f>
        <v/>
      </c>
      <c r="B18" s="213" t="n"/>
      <c r="C18" s="208" t="inlineStr">
        <is>
          <t>1-3-8</t>
        </is>
      </c>
      <c r="D18" s="209" t="inlineStr">
        <is>
          <t>Затраты труда рабочих (средний разряд работы 3,8)</t>
        </is>
      </c>
      <c r="E18" s="367" t="inlineStr">
        <is>
          <t>чел.-ч</t>
        </is>
      </c>
      <c r="F18" s="367" t="n">
        <v>554.835</v>
      </c>
      <c r="G18" s="211" t="n">
        <v>9.4</v>
      </c>
      <c r="H18" s="211">
        <f>ROUND(F18*G18,2)</f>
        <v/>
      </c>
    </row>
    <row r="19">
      <c r="A19" s="208">
        <f>A18+1</f>
        <v/>
      </c>
      <c r="B19" s="213" t="n"/>
      <c r="C19" s="208" t="inlineStr">
        <is>
          <t>1-4-2</t>
        </is>
      </c>
      <c r="D19" s="209" t="inlineStr">
        <is>
          <t>Затраты труда рабочих (средний разряд работы 4,2)</t>
        </is>
      </c>
      <c r="E19" s="367" t="inlineStr">
        <is>
          <t>чел.-ч</t>
        </is>
      </c>
      <c r="F19" s="367" t="n">
        <v>262.17</v>
      </c>
      <c r="G19" s="211" t="n">
        <v>9.92</v>
      </c>
      <c r="H19" s="211">
        <f>ROUND(F19*G19,2)</f>
        <v/>
      </c>
    </row>
    <row r="20" ht="15.75" customHeight="1" s="302">
      <c r="A20" s="208">
        <f>A19+1</f>
        <v/>
      </c>
      <c r="B20" s="192" t="n"/>
      <c r="C20" s="208" t="inlineStr">
        <is>
          <t>1-1-5</t>
        </is>
      </c>
      <c r="D20" s="209" t="inlineStr">
        <is>
          <t>Затраты труда рабочих (средний разряд работы 1,5)</t>
        </is>
      </c>
      <c r="E20" s="367" t="inlineStr">
        <is>
          <t>чел.-ч</t>
        </is>
      </c>
      <c r="F20" s="367" t="n">
        <v>184.785</v>
      </c>
      <c r="G20" s="211" t="n">
        <v>7.5</v>
      </c>
      <c r="H20" s="211">
        <f>ROUND(F20*G20,2)</f>
        <v/>
      </c>
    </row>
    <row r="21">
      <c r="A21" s="208">
        <f>A20+1</f>
        <v/>
      </c>
      <c r="B21" s="213" t="n"/>
      <c r="C21" s="208" t="inlineStr">
        <is>
          <t>1-4-7</t>
        </is>
      </c>
      <c r="D21" s="209" t="inlineStr">
        <is>
          <t>Затраты труда рабочих (средний разряд работы 4,7)</t>
        </is>
      </c>
      <c r="E21" s="367" t="inlineStr">
        <is>
          <t>чел.-ч</t>
        </is>
      </c>
      <c r="F21" s="367" t="n">
        <v>119.16</v>
      </c>
      <c r="G21" s="211" t="n">
        <v>10.65</v>
      </c>
      <c r="H21" s="211">
        <f>ROUND(F21*G21,2)</f>
        <v/>
      </c>
    </row>
    <row r="22">
      <c r="A22" s="208">
        <f>A21+1</f>
        <v/>
      </c>
      <c r="B22" s="213" t="n"/>
      <c r="C22" s="208" t="inlineStr">
        <is>
          <t>1-3-6</t>
        </is>
      </c>
      <c r="D22" s="209" t="inlineStr">
        <is>
          <t>Затраты труда рабочих (средний разряд работы 3,6)</t>
        </is>
      </c>
      <c r="E22" s="367" t="inlineStr">
        <is>
          <t>чел.-ч</t>
        </is>
      </c>
      <c r="F22" s="367" t="n">
        <v>94.14749999999999</v>
      </c>
      <c r="G22" s="211" t="n">
        <v>9.18</v>
      </c>
      <c r="H22" s="211">
        <f>ROUND(F22*G22,2)</f>
        <v/>
      </c>
    </row>
    <row r="23">
      <c r="A23" s="208">
        <f>A22+1</f>
        <v/>
      </c>
      <c r="B23" s="213" t="n"/>
      <c r="C23" s="208" t="inlineStr">
        <is>
          <t>1-3-5</t>
        </is>
      </c>
      <c r="D23" s="209" t="inlineStr">
        <is>
          <t>Затраты труда рабочих (средний разряд работы 3,5)</t>
        </is>
      </c>
      <c r="E23" s="367" t="inlineStr">
        <is>
          <t>чел.-ч</t>
        </is>
      </c>
      <c r="F23" s="367" t="n">
        <v>27.7125</v>
      </c>
      <c r="G23" s="211" t="n">
        <v>9.07</v>
      </c>
      <c r="H23" s="211">
        <f>ROUND(F23*G23,2)</f>
        <v/>
      </c>
    </row>
    <row r="24">
      <c r="A24" s="208">
        <f>A23+1</f>
        <v/>
      </c>
      <c r="B24" s="213" t="n"/>
      <c r="C24" s="208" t="inlineStr">
        <is>
          <t>1-2-0</t>
        </is>
      </c>
      <c r="D24" s="209" t="inlineStr">
        <is>
          <t>Затраты труда рабочих (средний разряд работы 2,0)</t>
        </is>
      </c>
      <c r="E24" s="367" t="inlineStr">
        <is>
          <t>чел.-ч</t>
        </is>
      </c>
      <c r="F24" s="367" t="n">
        <v>1.035</v>
      </c>
      <c r="G24" s="211" t="n">
        <v>7.8</v>
      </c>
      <c r="H24" s="211">
        <f>ROUND(F24*G24,2)</f>
        <v/>
      </c>
    </row>
    <row r="25" ht="15" customHeight="1" s="302">
      <c r="A25" s="337" t="inlineStr">
        <is>
          <t>Затраты труда машинистов</t>
        </is>
      </c>
      <c r="B25" s="420" t="n"/>
      <c r="C25" s="420" t="n"/>
      <c r="D25" s="420" t="n"/>
      <c r="E25" s="421" t="n"/>
      <c r="F25" s="214" t="n"/>
      <c r="G25" s="214" t="n"/>
      <c r="H25" s="425">
        <f>H26</f>
        <v/>
      </c>
    </row>
    <row r="26">
      <c r="A26" s="208">
        <f>A24+1</f>
        <v/>
      </c>
      <c r="B26" s="213" t="n"/>
      <c r="C26" s="208" t="n">
        <v>2</v>
      </c>
      <c r="D26" s="209" t="inlineStr">
        <is>
          <t>Затраты труда машинистов</t>
        </is>
      </c>
      <c r="E26" s="367" t="inlineStr">
        <is>
          <t>чел.-ч</t>
        </is>
      </c>
      <c r="F26" s="367" t="n">
        <v>19231.0575</v>
      </c>
      <c r="G26" s="211" t="n"/>
      <c r="H26" s="426" t="n">
        <v>327212.48</v>
      </c>
      <c r="J26" s="219" t="n"/>
    </row>
    <row r="27" ht="15" customHeight="1" s="302">
      <c r="A27" s="337" t="inlineStr">
        <is>
          <t>Машины и механизмы</t>
        </is>
      </c>
      <c r="B27" s="420" t="n"/>
      <c r="C27" s="420" t="n"/>
      <c r="D27" s="420" t="n"/>
      <c r="E27" s="421" t="n"/>
      <c r="F27" s="214" t="n"/>
      <c r="G27" s="214" t="n"/>
      <c r="H27" s="425">
        <f>SUM(H28:H61)</f>
        <v/>
      </c>
    </row>
    <row r="28">
      <c r="A28" s="208">
        <f>A26+1</f>
        <v/>
      </c>
      <c r="B28" s="213" t="n"/>
      <c r="C28" s="208" t="inlineStr">
        <is>
          <t>91.21.22-447</t>
        </is>
      </c>
      <c r="D28" s="209" t="inlineStr">
        <is>
          <t>Установки электрометаллизационные</t>
        </is>
      </c>
      <c r="E28" s="367" t="inlineStr">
        <is>
          <t>маш.-ч</t>
        </is>
      </c>
      <c r="F28" s="208" t="n">
        <v>5615.9031</v>
      </c>
      <c r="G28" s="212" t="n">
        <v>74.23999999999999</v>
      </c>
      <c r="H28" s="211">
        <f>ROUND(F28*G28,2)</f>
        <v/>
      </c>
    </row>
    <row r="29" ht="25.5" customHeight="1" s="302">
      <c r="A29" s="208">
        <f>A28+1</f>
        <v/>
      </c>
      <c r="B29" s="213" t="n"/>
      <c r="C29" s="208" t="inlineStr">
        <is>
          <t>91.02.02-003</t>
        </is>
      </c>
      <c r="D29" s="209" t="inlineStr">
        <is>
          <t>Агрегаты копровые без дизель-молота на базе экскаватора с емкостью ковша 1 м3</t>
        </is>
      </c>
      <c r="E29" s="367" t="inlineStr">
        <is>
          <t>маш.-ч</t>
        </is>
      </c>
      <c r="F29" s="216" t="n">
        <v>1473.9375</v>
      </c>
      <c r="G29" s="212" t="n">
        <v>200.67</v>
      </c>
      <c r="H29" s="211">
        <f>ROUND(F29*G29,2)</f>
        <v/>
      </c>
    </row>
    <row r="30" ht="25.5" customHeight="1" s="302">
      <c r="A30" s="208">
        <f>A29+1</f>
        <v/>
      </c>
      <c r="B30" s="213" t="n"/>
      <c r="C30" s="208" t="inlineStr">
        <is>
          <t>91.05.05-014</t>
        </is>
      </c>
      <c r="D30" s="209" t="inlineStr">
        <is>
          <t>Краны на автомобильном ходу, грузоподъемность 10 т</t>
        </is>
      </c>
      <c r="E30" s="367" t="inlineStr">
        <is>
          <t>маш.-ч</t>
        </is>
      </c>
      <c r="F30" s="208" t="n">
        <v>1822.3875</v>
      </c>
      <c r="G30" s="212" t="n">
        <v>111.99</v>
      </c>
      <c r="H30" s="211">
        <f>ROUND(F30*G30,2)</f>
        <v/>
      </c>
    </row>
    <row r="31">
      <c r="A31" s="208">
        <f>A30+1</f>
        <v/>
      </c>
      <c r="B31" s="213" t="n"/>
      <c r="C31" s="208" t="inlineStr">
        <is>
          <t>91.14.02-004</t>
        </is>
      </c>
      <c r="D31" s="209" t="inlineStr">
        <is>
          <t>Автомобили бортовые, грузоподъемность до 15 т</t>
        </is>
      </c>
      <c r="E31" s="367" t="inlineStr">
        <is>
          <t>маш.-ч</t>
        </is>
      </c>
      <c r="F31" s="208" t="n">
        <v>2146.8889962</v>
      </c>
      <c r="G31" s="212" t="n">
        <v>92.94</v>
      </c>
      <c r="H31" s="211">
        <f>ROUND(F31*G31,2)</f>
        <v/>
      </c>
    </row>
    <row r="32" ht="38.25" customHeight="1" s="302">
      <c r="A32" s="208">
        <f>A31+1</f>
        <v/>
      </c>
      <c r="B32" s="213" t="n"/>
      <c r="C32" s="208" t="inlineStr">
        <is>
          <t>91.04.01-021</t>
        </is>
      </c>
      <c r="D32" s="209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2" s="367" t="inlineStr">
        <is>
          <t>маш.-ч</t>
        </is>
      </c>
      <c r="F32" s="208" t="n">
        <v>1831.17</v>
      </c>
      <c r="G32" s="212" t="n">
        <v>87.59999999999999</v>
      </c>
      <c r="H32" s="211">
        <f>ROUND(F32*G32,2)</f>
        <v/>
      </c>
    </row>
    <row r="33">
      <c r="A33" s="208">
        <f>A32+1</f>
        <v/>
      </c>
      <c r="B33" s="213" t="n"/>
      <c r="C33" s="208" t="inlineStr">
        <is>
          <t>91.02.03-024</t>
        </is>
      </c>
      <c r="D33" s="209" t="inlineStr">
        <is>
          <t>Дизель-молоты 2,5 т</t>
        </is>
      </c>
      <c r="E33" s="367" t="inlineStr">
        <is>
          <t>маш.-ч</t>
        </is>
      </c>
      <c r="F33" s="208" t="n">
        <v>1473.9375</v>
      </c>
      <c r="G33" s="212" t="n">
        <v>70.67</v>
      </c>
      <c r="H33" s="211">
        <f>ROUND(F33*G33,2)</f>
        <v/>
      </c>
    </row>
    <row r="34" ht="25.5" customHeight="1" s="302">
      <c r="A34" s="208">
        <f>A33+1</f>
        <v/>
      </c>
      <c r="B34" s="213" t="n"/>
      <c r="C34" s="208" t="inlineStr">
        <is>
          <t>91.10.05-001</t>
        </is>
      </c>
      <c r="D34" s="209" t="inlineStr">
        <is>
          <t>Трубоукладчики для труб диаметром 800-1000 мм, грузоподъемность 35 т</t>
        </is>
      </c>
      <c r="E34" s="367" t="inlineStr">
        <is>
          <t>маш.-ч</t>
        </is>
      </c>
      <c r="F34" s="208" t="n">
        <v>390.1575</v>
      </c>
      <c r="G34" s="212" t="n">
        <v>175.35</v>
      </c>
      <c r="H34" s="211">
        <f>ROUND(F34*G34,2)</f>
        <v/>
      </c>
    </row>
    <row r="35">
      <c r="A35" s="208">
        <f>A34+1</f>
        <v/>
      </c>
      <c r="B35" s="213" t="n"/>
      <c r="C35" s="208" t="inlineStr">
        <is>
          <t>91.14.02-001</t>
        </is>
      </c>
      <c r="D35" s="209" t="inlineStr">
        <is>
          <t>Автомобили бортовые, грузоподъемность до 5 т</t>
        </is>
      </c>
      <c r="E35" s="367" t="inlineStr">
        <is>
          <t>маш.час</t>
        </is>
      </c>
      <c r="F35" s="208" t="n">
        <v>635.9544</v>
      </c>
      <c r="G35" s="212" t="n">
        <v>87.17</v>
      </c>
      <c r="H35" s="211">
        <f>ROUND(F35*G35,2)</f>
        <v/>
      </c>
    </row>
    <row r="36">
      <c r="A36" s="208">
        <f>A35+1</f>
        <v/>
      </c>
      <c r="B36" s="213" t="n"/>
      <c r="C36" s="208" t="inlineStr">
        <is>
          <t>91.10.01-002</t>
        </is>
      </c>
      <c r="D36" s="209" t="inlineStr">
        <is>
          <t>Агрегаты наполнительно-опрессовочные до 300 м3/ч</t>
        </is>
      </c>
      <c r="E36" s="367" t="inlineStr">
        <is>
          <t>маш.-ч</t>
        </is>
      </c>
      <c r="F36" s="208" t="n">
        <v>188.5725</v>
      </c>
      <c r="G36" s="212" t="n">
        <v>287.99</v>
      </c>
      <c r="H36" s="211">
        <f>ROUND(F36*G36,2)</f>
        <v/>
      </c>
    </row>
    <row r="37">
      <c r="A37" s="208">
        <f>A36+1</f>
        <v/>
      </c>
      <c r="B37" s="213" t="n"/>
      <c r="C37" s="208" t="inlineStr">
        <is>
          <t>91.06.06-014</t>
        </is>
      </c>
      <c r="D37" s="209" t="inlineStr">
        <is>
          <t>Автогидроподъемники, высота подъема 28 м</t>
        </is>
      </c>
      <c r="E37" s="367" t="inlineStr">
        <is>
          <t>маш.-ч</t>
        </is>
      </c>
      <c r="F37" s="208" t="n">
        <v>180.795</v>
      </c>
      <c r="G37" s="212" t="n">
        <v>243.49</v>
      </c>
      <c r="H37" s="211">
        <f>ROUND(F37*G37,2)</f>
        <v/>
      </c>
    </row>
    <row r="38">
      <c r="A38" s="208">
        <f>A37+1</f>
        <v/>
      </c>
      <c r="B38" s="213" t="n"/>
      <c r="C38" s="208" t="inlineStr">
        <is>
          <t>91.06.06-042</t>
        </is>
      </c>
      <c r="D38" s="209" t="inlineStr">
        <is>
          <t>Подъемники гидравлические, высота подъема 10 м</t>
        </is>
      </c>
      <c r="E38" s="367" t="inlineStr">
        <is>
          <t>маш.-ч</t>
        </is>
      </c>
      <c r="F38" s="208" t="n">
        <v>1137.09</v>
      </c>
      <c r="G38" s="212" t="n">
        <v>29.6</v>
      </c>
      <c r="H38" s="211">
        <f>ROUND(F38*G38,2)</f>
        <v/>
      </c>
    </row>
    <row r="39" ht="25.5" customHeight="1" s="302">
      <c r="A39" s="208">
        <f>A38+1</f>
        <v/>
      </c>
      <c r="B39" s="213" t="n"/>
      <c r="C39" s="208" t="inlineStr">
        <is>
          <t>91.06.03-058</t>
        </is>
      </c>
      <c r="D39" s="209" t="inlineStr">
        <is>
          <t>Лебедки электрические тяговым усилием 156,96 кН (16 т)</t>
        </is>
      </c>
      <c r="E39" s="367" t="inlineStr">
        <is>
          <t>маш.час</t>
        </is>
      </c>
      <c r="F39" s="208" t="n">
        <v>188.5725</v>
      </c>
      <c r="G39" s="212" t="n">
        <v>131.44</v>
      </c>
      <c r="H39" s="211">
        <f>ROUND(F39*G39,2)</f>
        <v/>
      </c>
    </row>
    <row r="40">
      <c r="A40" s="208">
        <f>A39+1</f>
        <v/>
      </c>
      <c r="B40" s="213" t="n"/>
      <c r="C40" s="208" t="inlineStr">
        <is>
          <t>91.14.03-002</t>
        </is>
      </c>
      <c r="D40" s="209" t="inlineStr">
        <is>
          <t>Автомобили-самосвалы, грузоподъемность до 10 т</t>
        </is>
      </c>
      <c r="E40" s="367" t="inlineStr">
        <is>
          <t>маш.-ч</t>
        </is>
      </c>
      <c r="F40" s="208" t="n">
        <v>127.8225</v>
      </c>
      <c r="G40" s="212" t="n">
        <v>87.48999999999999</v>
      </c>
      <c r="H40" s="211">
        <f>ROUND(F40*G40,2)</f>
        <v/>
      </c>
    </row>
    <row r="41" ht="25.5" customHeight="1" s="302">
      <c r="A41" s="208">
        <f>A40+1</f>
        <v/>
      </c>
      <c r="B41" s="213" t="n"/>
      <c r="C41" s="208" t="inlineStr">
        <is>
          <t>91.15.02-029</t>
        </is>
      </c>
      <c r="D41" s="209" t="inlineStr">
        <is>
          <t>Тракторы на гусеничном ходу с лебедкой 132 кВт (180 л.с.)</t>
        </is>
      </c>
      <c r="E41" s="367" t="inlineStr">
        <is>
          <t>маш.час</t>
        </is>
      </c>
      <c r="F41" s="208" t="n">
        <v>70.92749999999999</v>
      </c>
      <c r="G41" s="212" t="n">
        <v>147.43</v>
      </c>
      <c r="H41" s="211">
        <f>ROUND(F41*G41,2)</f>
        <v/>
      </c>
    </row>
    <row r="42">
      <c r="A42" s="208">
        <f>A41+1</f>
        <v/>
      </c>
      <c r="B42" s="213" t="n"/>
      <c r="C42" s="208" t="inlineStr">
        <is>
          <t>91.05.06-007</t>
        </is>
      </c>
      <c r="D42" s="209" t="inlineStr">
        <is>
          <t>Краны на гусеничном ходу, грузоподъемность 25 т</t>
        </is>
      </c>
      <c r="E42" s="367" t="inlineStr">
        <is>
          <t>маш.-ч</t>
        </is>
      </c>
      <c r="F42" s="208" t="n">
        <v>75.435</v>
      </c>
      <c r="G42" s="212" t="n">
        <v>120.04</v>
      </c>
      <c r="H42" s="211">
        <f>ROUND(F42*G42,2)</f>
        <v/>
      </c>
    </row>
    <row r="43" ht="25.5" customHeight="1" s="302">
      <c r="A43" s="208">
        <f>A42+1</f>
        <v/>
      </c>
      <c r="B43" s="213" t="n"/>
      <c r="C43" s="208" t="inlineStr">
        <is>
          <t>91.17.04-036</t>
        </is>
      </c>
      <c r="D43" s="209" t="inlineStr">
        <is>
          <t>Агрегаты сварочные передвижные с дизельным двигателем, номинальный сварочный ток 250-400 А</t>
        </is>
      </c>
      <c r="E43" s="367" t="inlineStr">
        <is>
          <t>маш.-ч</t>
        </is>
      </c>
      <c r="F43" s="208" t="n">
        <v>583.53</v>
      </c>
      <c r="G43" s="212" t="n">
        <v>14</v>
      </c>
      <c r="H43" s="211">
        <f>ROUND(F43*G43,2)</f>
        <v/>
      </c>
    </row>
    <row r="44">
      <c r="A44" s="208">
        <f>A43+1</f>
        <v/>
      </c>
      <c r="B44" s="213" t="n"/>
      <c r="C44" s="208" t="inlineStr">
        <is>
          <t>91.14.04-001</t>
        </is>
      </c>
      <c r="D44" s="209" t="inlineStr">
        <is>
          <t>Тягачи седельные, грузоподъемность 12 т</t>
        </is>
      </c>
      <c r="E44" s="367" t="inlineStr">
        <is>
          <t>маш.час</t>
        </is>
      </c>
      <c r="F44" s="208" t="n">
        <v>43.35</v>
      </c>
      <c r="G44" s="212" t="n">
        <v>127.82</v>
      </c>
      <c r="H44" s="211">
        <f>ROUND(F44*G44,2)</f>
        <v/>
      </c>
    </row>
    <row r="45">
      <c r="A45" s="208">
        <f>A44+1</f>
        <v/>
      </c>
      <c r="B45" s="213" t="n"/>
      <c r="C45" s="208" t="inlineStr">
        <is>
          <t>91.06.05-011</t>
        </is>
      </c>
      <c r="D45" s="209" t="inlineStr">
        <is>
          <t>Погрузчики, грузоподъемность 5 т</t>
        </is>
      </c>
      <c r="E45" s="367" t="inlineStr">
        <is>
          <t>маш.-ч</t>
        </is>
      </c>
      <c r="F45" s="208" t="n">
        <v>60.08115</v>
      </c>
      <c r="G45" s="212" t="n">
        <v>89.98999999999999</v>
      </c>
      <c r="H45" s="211">
        <f>ROUND(F45*G45,2)</f>
        <v/>
      </c>
    </row>
    <row r="46" ht="25.5" customHeight="1" s="302">
      <c r="A46" s="208">
        <f>A45+1</f>
        <v/>
      </c>
      <c r="B46" s="213" t="n"/>
      <c r="C46" s="208" t="inlineStr">
        <is>
          <t>91.05.06-012</t>
        </is>
      </c>
      <c r="D46" s="209" t="inlineStr">
        <is>
          <t>Краны на гусеничном ходу, грузоподъемность до 16 т</t>
        </is>
      </c>
      <c r="E46" s="367" t="inlineStr">
        <is>
          <t>маш.-ч</t>
        </is>
      </c>
      <c r="F46" s="208" t="n">
        <v>29.88</v>
      </c>
      <c r="G46" s="212" t="n">
        <v>96.89</v>
      </c>
      <c r="H46" s="211">
        <f>ROUND(F46*G46,2)</f>
        <v/>
      </c>
    </row>
    <row r="47" ht="25.5" customHeight="1" s="302">
      <c r="A47" s="208">
        <f>A46+1</f>
        <v/>
      </c>
      <c r="B47" s="213" t="n"/>
      <c r="C47" s="208" t="inlineStr">
        <is>
          <t>91.17.04-233</t>
        </is>
      </c>
      <c r="D47" s="209" t="inlineStr">
        <is>
          <t>Установки для сварки ручной дуговой (постоянного тока)</t>
        </is>
      </c>
      <c r="E47" s="367" t="inlineStr">
        <is>
          <t>маш.час</t>
        </is>
      </c>
      <c r="F47" s="208" t="n">
        <v>283.1475</v>
      </c>
      <c r="G47" s="212" t="n">
        <v>8.1</v>
      </c>
      <c r="H47" s="211">
        <f>ROUND(F47*G47,2)</f>
        <v/>
      </c>
    </row>
    <row r="48" ht="25.5" customHeight="1" s="302">
      <c r="A48" s="208">
        <f>A47+1</f>
        <v/>
      </c>
      <c r="B48" s="213" t="n"/>
      <c r="C48" s="208" t="inlineStr">
        <is>
          <t>91.06.01-003</t>
        </is>
      </c>
      <c r="D48" s="209" t="inlineStr">
        <is>
          <t>Домкраты гидравлические, грузоподъемность 63-100 т</t>
        </is>
      </c>
      <c r="E48" s="367" t="inlineStr">
        <is>
          <t>маш.-ч</t>
        </is>
      </c>
      <c r="F48" s="208" t="n">
        <v>851.5425</v>
      </c>
      <c r="G48" s="212" t="n">
        <v>0.9</v>
      </c>
      <c r="H48" s="211">
        <f>ROUND(F48*G48,2)</f>
        <v/>
      </c>
    </row>
    <row r="49">
      <c r="A49" s="208">
        <f>A48+1</f>
        <v/>
      </c>
      <c r="B49" s="213" t="n"/>
      <c r="C49" s="208" t="inlineStr">
        <is>
          <t>91.14.02-002</t>
        </is>
      </c>
      <c r="D49" s="209" t="inlineStr">
        <is>
          <t>Автомобили бортовые, грузоподъемность до 8 т</t>
        </is>
      </c>
      <c r="E49" s="367" t="inlineStr">
        <is>
          <t>маш.час</t>
        </is>
      </c>
      <c r="F49" s="208" t="n">
        <v>5.7975</v>
      </c>
      <c r="G49" s="212" t="n">
        <v>107.3</v>
      </c>
      <c r="H49" s="211">
        <f>ROUND(F49*G49,2)</f>
        <v/>
      </c>
    </row>
    <row r="50" ht="25.5" customHeight="1" s="302">
      <c r="A50" s="208">
        <f>A49+1</f>
        <v/>
      </c>
      <c r="B50" s="213" t="n"/>
      <c r="C50" s="208" t="inlineStr">
        <is>
          <t>91.14.05-011</t>
        </is>
      </c>
      <c r="D50" s="209" t="inlineStr">
        <is>
          <t>Полуприцепы общего назначения, грузоподъемность 12 т</t>
        </is>
      </c>
      <c r="E50" s="367" t="inlineStr">
        <is>
          <t>маш.час</t>
        </is>
      </c>
      <c r="F50" s="208" t="n">
        <v>43.35</v>
      </c>
      <c r="G50" s="212" t="n">
        <v>12</v>
      </c>
      <c r="H50" s="211">
        <f>ROUND(F50*G50,2)</f>
        <v/>
      </c>
    </row>
    <row r="51" ht="25.5" customHeight="1" s="302">
      <c r="A51" s="208">
        <f>A50+1</f>
        <v/>
      </c>
      <c r="B51" s="213" t="n"/>
      <c r="C51" s="208" t="inlineStr">
        <is>
          <t>91.21.01-012</t>
        </is>
      </c>
      <c r="D51" s="209" t="inlineStr">
        <is>
          <t>Агрегаты окрасочные высокого давления для окраски поверхностей конструкций, мощность 1 кВт</t>
        </is>
      </c>
      <c r="E51" s="367" t="inlineStr">
        <is>
          <t>маш.-ч</t>
        </is>
      </c>
      <c r="F51" s="208" t="n">
        <v>32.4225</v>
      </c>
      <c r="G51" s="212" t="n">
        <v>6.82</v>
      </c>
      <c r="H51" s="211">
        <f>ROUND(F51*G51,2)</f>
        <v/>
      </c>
    </row>
    <row r="52" ht="25.5" customHeight="1" s="302">
      <c r="A52" s="208">
        <f>A47+1</f>
        <v/>
      </c>
      <c r="B52" s="213" t="n"/>
      <c r="C52" s="208" t="inlineStr">
        <is>
          <t>91.17.04-171</t>
        </is>
      </c>
      <c r="D52" s="209" t="inlineStr">
        <is>
          <t>Преобразователи сварочные номинальным сварочным током 315-500 А</t>
        </is>
      </c>
      <c r="E52" s="367" t="inlineStr">
        <is>
          <t>маш.-ч</t>
        </is>
      </c>
      <c r="F52" s="208" t="n">
        <v>17.88</v>
      </c>
      <c r="G52" s="212" t="n">
        <v>12.31</v>
      </c>
      <c r="H52" s="211">
        <f>ROUND(F52*G52,2)</f>
        <v/>
      </c>
    </row>
    <row r="53" ht="25.5" customHeight="1" s="302">
      <c r="A53" s="208">
        <f>A52+1</f>
        <v/>
      </c>
      <c r="B53" s="213" t="n"/>
      <c r="C53" s="208" t="inlineStr">
        <is>
          <t>91.21.22-703</t>
        </is>
      </c>
      <c r="D53" s="209" t="inlineStr">
        <is>
          <t>Молотки-перфораторы гидравлические, диаметр выбуриваемых отверстий 25-50 мм</t>
        </is>
      </c>
      <c r="E53" s="367" t="inlineStr">
        <is>
          <t>маш.-ч</t>
        </is>
      </c>
      <c r="F53" s="208" t="n">
        <v>16.3725</v>
      </c>
      <c r="G53" s="212" t="n">
        <v>8.09</v>
      </c>
      <c r="H53" s="211">
        <f>ROUND(F53*G53,2)</f>
        <v/>
      </c>
    </row>
    <row r="54">
      <c r="A54" s="208">
        <f>A53+1</f>
        <v/>
      </c>
      <c r="B54" s="213" t="n"/>
      <c r="C54" s="208" t="inlineStr">
        <is>
          <t>91.01.01-035</t>
        </is>
      </c>
      <c r="D54" s="209" t="inlineStr">
        <is>
          <t>Бульдозеры, мощность 79 кВт (108 л.с.)</t>
        </is>
      </c>
      <c r="E54" s="367" t="inlineStr">
        <is>
          <t>маш.-ч</t>
        </is>
      </c>
      <c r="F54" s="208" t="n">
        <v>1.125</v>
      </c>
      <c r="G54" s="212" t="n">
        <v>79.06999999999999</v>
      </c>
      <c r="H54" s="211">
        <f>ROUND(F54*G54,2)</f>
        <v/>
      </c>
    </row>
    <row r="55">
      <c r="A55" s="208">
        <f>A54+1</f>
        <v/>
      </c>
      <c r="B55" s="213" t="n"/>
      <c r="C55" s="208" t="inlineStr">
        <is>
          <t>91.05.02-005</t>
        </is>
      </c>
      <c r="D55" s="209" t="inlineStr">
        <is>
          <t>Краны козловые, грузоподъемность 32 т</t>
        </is>
      </c>
      <c r="E55" s="367" t="inlineStr">
        <is>
          <t>маш.-ч</t>
        </is>
      </c>
      <c r="F55" s="208" t="n">
        <v>0.255</v>
      </c>
      <c r="G55" s="212" t="n">
        <v>120.24</v>
      </c>
      <c r="H55" s="211">
        <f>ROUND(F55*G55,2)</f>
        <v/>
      </c>
    </row>
    <row r="56">
      <c r="A56" s="208">
        <f>A51+1</f>
        <v/>
      </c>
      <c r="B56" s="213" t="n"/>
      <c r="C56" s="208" t="inlineStr">
        <is>
          <t>91.17.03-021</t>
        </is>
      </c>
      <c r="D56" s="209" t="inlineStr">
        <is>
          <t>Печи нагревательные</t>
        </is>
      </c>
      <c r="E56" s="367" t="inlineStr">
        <is>
          <t>маш.-ч</t>
        </is>
      </c>
      <c r="F56" s="208" t="n">
        <v>0.885</v>
      </c>
      <c r="G56" s="212" t="n">
        <v>25.3</v>
      </c>
      <c r="H56" s="211">
        <f>ROUND(F56*G56,2)</f>
        <v/>
      </c>
    </row>
    <row r="57">
      <c r="A57" s="208">
        <f>A56+1</f>
        <v/>
      </c>
      <c r="B57" s="213" t="n"/>
      <c r="C57" s="208" t="inlineStr">
        <is>
          <t>91.17.04-042</t>
        </is>
      </c>
      <c r="D57" s="209" t="inlineStr">
        <is>
          <t>Аппараты для газовой сварки и резки</t>
        </is>
      </c>
      <c r="E57" s="367" t="inlineStr">
        <is>
          <t>маш.-ч</t>
        </is>
      </c>
      <c r="F57" s="208" t="n">
        <v>4.2225</v>
      </c>
      <c r="G57" s="212" t="n">
        <v>1.2</v>
      </c>
      <c r="H57" s="211">
        <f>ROUND(F57*G57,2)</f>
        <v/>
      </c>
    </row>
    <row r="58" ht="25.5" customHeight="1" s="302">
      <c r="A58" s="208">
        <f>A57+1</f>
        <v/>
      </c>
      <c r="B58" s="213" t="n"/>
      <c r="C58" s="208" t="inlineStr">
        <is>
          <t>91.09.12-103</t>
        </is>
      </c>
      <c r="D58" s="209" t="inlineStr">
        <is>
          <t>Станки сверлильно-шлифовальные (сверлошлифовалки)</t>
        </is>
      </c>
      <c r="E58" s="367" t="inlineStr">
        <is>
          <t>маш.-ч</t>
        </is>
      </c>
      <c r="F58" s="208" t="n">
        <v>0.75</v>
      </c>
      <c r="G58" s="212" t="n">
        <v>6.4</v>
      </c>
      <c r="H58" s="211">
        <f>ROUND(F58*G58,2)</f>
        <v/>
      </c>
    </row>
    <row r="59" ht="25.5" customHeight="1" s="302">
      <c r="A59" s="208">
        <f>A58+1</f>
        <v/>
      </c>
      <c r="B59" s="213" t="n"/>
      <c r="C59" s="208" t="inlineStr">
        <is>
          <t>91.06.03-061</t>
        </is>
      </c>
      <c r="D59" s="209" t="inlineStr">
        <is>
          <t>Лебедки электрические тяговым усилием до 12,26 кН (1,25 т)</t>
        </is>
      </c>
      <c r="E59" s="367" t="inlineStr">
        <is>
          <t>маш.час</t>
        </is>
      </c>
      <c r="F59" s="208" t="n">
        <v>0.645</v>
      </c>
      <c r="G59" s="212" t="n">
        <v>3.28</v>
      </c>
      <c r="H59" s="211">
        <f>ROUND(F59*G59,2)</f>
        <v/>
      </c>
    </row>
    <row r="60">
      <c r="A60" s="208">
        <f>A59+1</f>
        <v/>
      </c>
      <c r="B60" s="213" t="n"/>
      <c r="C60" s="208" t="inlineStr">
        <is>
          <t>91.14.03-001</t>
        </is>
      </c>
      <c r="D60" s="209" t="inlineStr">
        <is>
          <t>Автомобили-самосвалы, грузоподъемность до 7 т</t>
        </is>
      </c>
      <c r="E60" s="367" t="inlineStr">
        <is>
          <t>маш.-ч</t>
        </is>
      </c>
      <c r="F60" s="208" t="n">
        <v>0.0225</v>
      </c>
      <c r="G60" s="212" t="n">
        <v>89.54000000000001</v>
      </c>
      <c r="H60" s="211">
        <f>ROUND(F60*G60,2)</f>
        <v/>
      </c>
    </row>
    <row r="61" ht="25.5" customHeight="1" s="302">
      <c r="A61" s="208">
        <f>A60+1</f>
        <v/>
      </c>
      <c r="B61" s="213" t="n"/>
      <c r="C61" s="208" t="inlineStr">
        <is>
          <t>91.06.03-060</t>
        </is>
      </c>
      <c r="D61" s="209" t="inlineStr">
        <is>
          <t>Лебедки электрические тяговым усилием до 5,79 кН (0,59 т)</t>
        </is>
      </c>
      <c r="E61" s="367" t="inlineStr">
        <is>
          <t>маш.час</t>
        </is>
      </c>
      <c r="F61" s="208" t="n">
        <v>0.3375</v>
      </c>
      <c r="G61" s="212" t="n">
        <v>1.7</v>
      </c>
      <c r="H61" s="211">
        <f>ROUND(F61*G61,2)</f>
        <v/>
      </c>
    </row>
    <row r="62" ht="15" customHeight="1" s="302">
      <c r="A62" s="337" t="inlineStr">
        <is>
          <t>Оборудование</t>
        </is>
      </c>
      <c r="B62" s="420" t="n"/>
      <c r="C62" s="420" t="n"/>
      <c r="D62" s="420" t="n"/>
      <c r="E62" s="421" t="n"/>
      <c r="F62" s="214" t="n"/>
      <c r="G62" s="214" t="n"/>
      <c r="H62" s="425">
        <f>SUM(H63:H70)</f>
        <v/>
      </c>
    </row>
    <row r="63" ht="25.5" customHeight="1" s="302">
      <c r="A63" s="280">
        <f>A61+1</f>
        <v/>
      </c>
      <c r="B63" s="213" t="n"/>
      <c r="C63" s="208" t="inlineStr">
        <is>
          <t>Прайс из СД ОП</t>
        </is>
      </c>
      <c r="D63" s="209" t="inlineStr">
        <is>
          <t>Выключатель элегазовый колонковый ВГТ-220-2500/40</t>
        </is>
      </c>
      <c r="E63" s="367" t="inlineStr">
        <is>
          <t>компл.</t>
        </is>
      </c>
      <c r="F63" s="367" t="n">
        <v>12</v>
      </c>
      <c r="G63" s="211" t="n">
        <v>990938.38</v>
      </c>
      <c r="H63" s="211">
        <f>ROUND(F63*G63,2)</f>
        <v/>
      </c>
    </row>
    <row r="64" s="302">
      <c r="A64" s="280">
        <f>A63+1</f>
        <v/>
      </c>
      <c r="B64" s="213" t="n"/>
      <c r="C64" s="208" t="inlineStr">
        <is>
          <t>Прайс из СД ОП</t>
        </is>
      </c>
      <c r="D64" s="209" t="inlineStr">
        <is>
          <t>Трансформатор тока СА-245</t>
        </is>
      </c>
      <c r="E64" s="367" t="inlineStr">
        <is>
          <t>шт</t>
        </is>
      </c>
      <c r="F64" s="367" t="n">
        <v>72</v>
      </c>
      <c r="G64" s="211" t="n">
        <v>129904.08</v>
      </c>
      <c r="H64" s="211">
        <f>ROUND(F64*G64,2)</f>
        <v/>
      </c>
    </row>
    <row r="65" ht="25.5" customHeight="1" s="302">
      <c r="A65" s="280">
        <f>A64+1</f>
        <v/>
      </c>
      <c r="B65" s="213" t="n"/>
      <c r="C65" s="208" t="inlineStr">
        <is>
          <t>Прайс из СД ОП</t>
        </is>
      </c>
      <c r="D65" s="209" t="inlineStr">
        <is>
          <t>Разъединитель однополюсный с двумя комплектами заземляющих ножей РГН.2-220II/1000</t>
        </is>
      </c>
      <c r="E65" s="367" t="inlineStr">
        <is>
          <t>компл</t>
        </is>
      </c>
      <c r="F65" s="367" t="n">
        <v>16.5</v>
      </c>
      <c r="G65" s="211" t="n">
        <v>370363.22</v>
      </c>
      <c r="H65" s="211">
        <f>ROUND(F65*G65,2)</f>
        <v/>
      </c>
    </row>
    <row r="66" ht="25.5" customHeight="1" s="302">
      <c r="A66" s="280">
        <f>A65+1</f>
        <v/>
      </c>
      <c r="B66" s="213" t="n"/>
      <c r="C66" s="208" t="inlineStr">
        <is>
          <t>Прайс из СД ОП</t>
        </is>
      </c>
      <c r="D66" s="209" t="inlineStr">
        <is>
          <t>Разъединитель трехполюсный с одним комплектом заземляющих ножей РГН.1-220/1000</t>
        </is>
      </c>
      <c r="E66" s="367" t="inlineStr">
        <is>
          <t>компл</t>
        </is>
      </c>
      <c r="F66" s="367" t="n">
        <v>15</v>
      </c>
      <c r="G66" s="211" t="n">
        <v>157311.47</v>
      </c>
      <c r="H66" s="211">
        <f>ROUND(F66*G66,2)</f>
        <v/>
      </c>
    </row>
    <row r="67" ht="25.5" customHeight="1" s="302">
      <c r="A67" s="280">
        <f>A66+1</f>
        <v/>
      </c>
      <c r="B67" s="213" t="n"/>
      <c r="C67" s="208" t="inlineStr">
        <is>
          <t>Прайс из СД ОП</t>
        </is>
      </c>
      <c r="D67" s="209" t="inlineStr">
        <is>
          <t>Разъединитель трехполюсный с двумя комплектами заземляющих ножей РГН.2-220/1000</t>
        </is>
      </c>
      <c r="E67" s="367" t="inlineStr">
        <is>
          <t>компл</t>
        </is>
      </c>
      <c r="F67" s="367" t="n">
        <v>10.5</v>
      </c>
      <c r="G67" s="211" t="n">
        <v>205619.71</v>
      </c>
      <c r="H67" s="211">
        <f>ROUND(F67*G67,2)</f>
        <v/>
      </c>
    </row>
    <row r="68" s="302">
      <c r="A68" s="280">
        <f>A67+1</f>
        <v/>
      </c>
      <c r="B68" s="213" t="n"/>
      <c r="C68" s="208" t="inlineStr">
        <is>
          <t>Прайс из СД ОП</t>
        </is>
      </c>
      <c r="D68" s="209" t="inlineStr">
        <is>
          <t>Трансформатор напряжения 220 кВ</t>
        </is>
      </c>
      <c r="E68" s="367" t="inlineStr">
        <is>
          <t>шт</t>
        </is>
      </c>
      <c r="F68" s="367" t="n">
        <v>9</v>
      </c>
      <c r="G68" s="211" t="n">
        <v>114491.74</v>
      </c>
      <c r="H68" s="211">
        <f>ROUND(F68*G68,2)</f>
        <v/>
      </c>
    </row>
    <row r="69" s="302">
      <c r="A69" s="280">
        <f>A68+1</f>
        <v/>
      </c>
      <c r="B69" s="213" t="n"/>
      <c r="C69" s="208" t="inlineStr">
        <is>
          <t>Прайс из СД ОП</t>
        </is>
      </c>
      <c r="D69" s="209" t="inlineStr">
        <is>
          <t xml:space="preserve">Ограничитель перенапряжения 220кВ ОПН-220 </t>
        </is>
      </c>
      <c r="E69" s="367" t="inlineStr">
        <is>
          <t>шт</t>
        </is>
      </c>
      <c r="F69" s="367" t="n">
        <v>18</v>
      </c>
      <c r="G69" s="211" t="n">
        <v>36891.78</v>
      </c>
      <c r="H69" s="211">
        <f>ROUND(F69*G69,2)</f>
        <v/>
      </c>
    </row>
    <row r="70" s="302">
      <c r="A70" s="280">
        <f>A69+1</f>
        <v/>
      </c>
      <c r="B70" s="213" t="n"/>
      <c r="C70" s="208" t="inlineStr">
        <is>
          <t>Прайс из СД ОП</t>
        </is>
      </c>
      <c r="D70" s="209" t="inlineStr">
        <is>
          <t>Разъединитель РВО-10/400</t>
        </is>
      </c>
      <c r="E70" s="367" t="inlineStr">
        <is>
          <t>шт</t>
        </is>
      </c>
      <c r="F70" s="367" t="n">
        <v>18</v>
      </c>
      <c r="G70" s="211" t="n">
        <v>1021.04</v>
      </c>
      <c r="H70" s="211">
        <f>ROUND(F70*G70,2)</f>
        <v/>
      </c>
    </row>
    <row r="71" ht="15" customHeight="1" s="302">
      <c r="A71" s="337" t="inlineStr">
        <is>
          <t>Материалы</t>
        </is>
      </c>
      <c r="B71" s="420" t="n"/>
      <c r="C71" s="420" t="n"/>
      <c r="D71" s="420" t="n"/>
      <c r="E71" s="421" t="n"/>
      <c r="F71" s="214" t="n"/>
      <c r="G71" s="214" t="n"/>
      <c r="H71" s="425">
        <f>SUM(H72:H152)</f>
        <v/>
      </c>
    </row>
    <row r="72" ht="25.5" customHeight="1" s="302">
      <c r="A72" s="208">
        <f>A70+1</f>
        <v/>
      </c>
      <c r="B72" s="213" t="n"/>
      <c r="C72" s="208" t="inlineStr">
        <is>
          <t>05.1.05.16-0040</t>
        </is>
      </c>
      <c r="D72" s="209" t="inlineStr">
        <is>
          <t>Сваи железобетонные С35-1-12-1 (бетон B22,5, расход арматуры 185 кг)</t>
        </is>
      </c>
      <c r="E72" s="367" t="inlineStr">
        <is>
          <t>м3</t>
        </is>
      </c>
      <c r="F72" s="367" t="n">
        <v>973</v>
      </c>
      <c r="G72" s="211" t="n">
        <v>5337.26</v>
      </c>
      <c r="H72" s="211">
        <f>ROUND(F72*G72,2)</f>
        <v/>
      </c>
    </row>
    <row r="73" s="302">
      <c r="A73" s="208">
        <f>A72+1</f>
        <v/>
      </c>
      <c r="B73" s="213" t="n"/>
      <c r="C73" s="208" t="inlineStr">
        <is>
          <t>22.2.02.07-0003</t>
        </is>
      </c>
      <c r="D73" s="209" t="inlineStr">
        <is>
          <t>Конструкции стальные порталов ОРУ</t>
        </is>
      </c>
      <c r="E73" s="367" t="inlineStr">
        <is>
          <t>т</t>
        </is>
      </c>
      <c r="F73" s="367" t="n">
        <v>133.7705</v>
      </c>
      <c r="G73" s="211" t="n">
        <v>12500</v>
      </c>
      <c r="H73" s="211">
        <f>ROUND(F73*G73,2)</f>
        <v/>
      </c>
    </row>
    <row r="74" s="302">
      <c r="A74" s="208">
        <f>A73+1</f>
        <v/>
      </c>
      <c r="B74" s="213" t="n"/>
      <c r="C74" s="208" t="inlineStr">
        <is>
          <t>22.2.02.07-0041</t>
        </is>
      </c>
      <c r="D74" s="209" t="inlineStr">
        <is>
          <t>Ростверки стальные массой до 0,2т</t>
        </is>
      </c>
      <c r="E74" s="367" t="inlineStr">
        <is>
          <t>т</t>
        </is>
      </c>
      <c r="F74" s="367" t="n">
        <v>40.7</v>
      </c>
      <c r="G74" s="211" t="n">
        <v>8200</v>
      </c>
      <c r="H74" s="211">
        <f>ROUND(F74*G74,2)</f>
        <v/>
      </c>
    </row>
    <row r="75" ht="25.5" customHeight="1" s="302">
      <c r="A75" s="208">
        <f>A74+1</f>
        <v/>
      </c>
      <c r="B75" s="213" t="n"/>
      <c r="C75" s="208" t="inlineStr">
        <is>
          <t>21.2.01.02-0101</t>
        </is>
      </c>
      <c r="D75" s="209" t="inlineStr">
        <is>
          <t>Провод неизолированный для воздушных линий электропередачи АС 500/26</t>
        </is>
      </c>
      <c r="E75" s="367" t="inlineStr">
        <is>
          <t>т</t>
        </is>
      </c>
      <c r="F75" s="367" t="n">
        <v>8.708474499999999</v>
      </c>
      <c r="G75" s="211" t="n">
        <v>34240.97</v>
      </c>
      <c r="H75" s="211">
        <f>ROUND(F75*G75,2)</f>
        <v/>
      </c>
    </row>
    <row r="76" s="302">
      <c r="A76" s="208">
        <f>A75+1</f>
        <v/>
      </c>
      <c r="B76" s="213" t="n"/>
      <c r="C76" s="208" t="inlineStr">
        <is>
          <t>22.2.01.07-0002</t>
        </is>
      </c>
      <c r="D76" s="209" t="inlineStr">
        <is>
          <t>Опора шинная ШО-220.II-1 УХЛ1</t>
        </is>
      </c>
      <c r="E76" s="367" t="inlineStr">
        <is>
          <t>шт</t>
        </is>
      </c>
      <c r="F76" s="367" t="n">
        <v>16</v>
      </c>
      <c r="G76" s="211" t="n">
        <v>12466.73</v>
      </c>
      <c r="H76" s="211">
        <f>ROUND(F76*G76,2)</f>
        <v/>
      </c>
    </row>
    <row r="77" ht="25.5" customHeight="1" s="302">
      <c r="A77" s="208">
        <f>A76+1</f>
        <v/>
      </c>
      <c r="B77" s="213" t="n"/>
      <c r="C77" s="208" t="inlineStr">
        <is>
          <t>10.1.02.03-0001</t>
        </is>
      </c>
      <c r="D77" s="209" t="inlineStr">
        <is>
          <t>Проволока алюминиевая, марка АМЦ, диаметр 1,4-1,8 мм</t>
        </is>
      </c>
      <c r="E77" s="367" t="inlineStr">
        <is>
          <t>т</t>
        </is>
      </c>
      <c r="F77" s="367" t="n">
        <v>6.0141941</v>
      </c>
      <c r="G77" s="211" t="n">
        <v>30090</v>
      </c>
      <c r="H77" s="211">
        <f>ROUND(F77*G77,2)</f>
        <v/>
      </c>
    </row>
    <row r="78" s="302">
      <c r="A78" s="208">
        <f>A77+1</f>
        <v/>
      </c>
      <c r="B78" s="213" t="n"/>
      <c r="C78" s="208" t="inlineStr">
        <is>
          <t>25.2.01.07-0001</t>
        </is>
      </c>
      <c r="D78" s="209" t="inlineStr">
        <is>
          <t>Изоляторы</t>
        </is>
      </c>
      <c r="E78" s="367" t="inlineStr">
        <is>
          <t>шт</t>
        </is>
      </c>
      <c r="F78" s="367" t="n">
        <v>3189</v>
      </c>
      <c r="G78" s="211" t="n">
        <v>51.5</v>
      </c>
      <c r="H78" s="211">
        <f>ROUND(F78*G78,2)</f>
        <v/>
      </c>
    </row>
    <row r="79" s="302">
      <c r="A79" s="208">
        <f>A78+1</f>
        <v/>
      </c>
      <c r="B79" s="213" t="n"/>
      <c r="C79" s="208" t="inlineStr">
        <is>
          <t>14.4.02.09-0301</t>
        </is>
      </c>
      <c r="D79" s="209" t="inlineStr">
        <is>
          <t>Композиция антикоррозионная цинкнаполненная</t>
        </is>
      </c>
      <c r="E79" s="367" t="inlineStr">
        <is>
          <t>кг</t>
        </is>
      </c>
      <c r="F79" s="367" t="n">
        <v>613.36</v>
      </c>
      <c r="G79" s="211" t="n">
        <v>238.48</v>
      </c>
      <c r="H79" s="211">
        <f>ROUND(F79*G79,2)</f>
        <v/>
      </c>
    </row>
    <row r="80" s="302">
      <c r="A80" s="208">
        <f>A79+1</f>
        <v/>
      </c>
      <c r="B80" s="213" t="n"/>
      <c r="C80" s="208" t="inlineStr">
        <is>
          <t>01.4.01.10-0016</t>
        </is>
      </c>
      <c r="D80" s="209" t="inlineStr">
        <is>
          <t>Шнек, диаметр 135 мм</t>
        </is>
      </c>
      <c r="E80" s="367" t="inlineStr">
        <is>
          <t>шт</t>
        </is>
      </c>
      <c r="F80" s="367" t="n">
        <v>210.016</v>
      </c>
      <c r="G80" s="211" t="n">
        <v>597</v>
      </c>
      <c r="H80" s="211">
        <f>ROUND(F80*G80,2)</f>
        <v/>
      </c>
    </row>
    <row r="81" ht="38.25" customHeight="1" s="302">
      <c r="A81" s="208">
        <f>A80+1</f>
        <v/>
      </c>
      <c r="B81" s="213" t="n"/>
      <c r="C81" s="208" t="inlineStr">
        <is>
          <t>20.5.04.04-0061</t>
        </is>
      </c>
      <c r="D81" s="209" t="inlineStr">
        <is>
          <t>Зажимы натяжные болтовые НБН алюминиевые для крепления многопроволочных проводов сечением 95-120 мм2</t>
        </is>
      </c>
      <c r="E81" s="367" t="inlineStr">
        <is>
          <t>шт.</t>
        </is>
      </c>
      <c r="F81" s="367" t="n">
        <v>255</v>
      </c>
      <c r="G81" s="211" t="n">
        <v>389.85</v>
      </c>
      <c r="H81" s="211">
        <f>ROUND(F81*G81,2)</f>
        <v/>
      </c>
    </row>
    <row r="82" s="302">
      <c r="A82" s="208">
        <f>A81+1</f>
        <v/>
      </c>
      <c r="B82" s="213" t="n"/>
      <c r="C82" s="208" t="inlineStr">
        <is>
          <t>22.2.02.07-0004</t>
        </is>
      </c>
      <c r="D82" s="209" t="inlineStr">
        <is>
          <t>Конструкции стальные прожекторных мачт ОРУ</t>
        </is>
      </c>
      <c r="E82" s="367" t="inlineStr">
        <is>
          <t>т</t>
        </is>
      </c>
      <c r="F82" s="367" t="n">
        <v>7.38</v>
      </c>
      <c r="G82" s="211" t="n">
        <v>12500</v>
      </c>
      <c r="H82" s="211">
        <f>ROUND(F82*G82,2)</f>
        <v/>
      </c>
    </row>
    <row r="83" ht="51" customHeight="1" s="302">
      <c r="A83" s="208">
        <f>A82+1</f>
        <v/>
      </c>
      <c r="B83" s="213" t="n"/>
      <c r="C83" s="208" t="inlineStr">
        <is>
          <t>07.2.07.12-0012</t>
        </is>
      </c>
      <c r="D83" s="209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от 0,1 до 0,5 т</t>
        </is>
      </c>
      <c r="E83" s="367" t="inlineStr">
        <is>
          <t>т</t>
        </is>
      </c>
      <c r="F83" s="367" t="n">
        <v>8.68</v>
      </c>
      <c r="G83" s="211" t="n">
        <v>10508</v>
      </c>
      <c r="H83" s="211">
        <f>ROUND(F83*G83,2)</f>
        <v/>
      </c>
    </row>
    <row r="84" s="302">
      <c r="A84" s="208">
        <f>A83+1</f>
        <v/>
      </c>
      <c r="B84" s="213" t="n"/>
      <c r="C84" s="208" t="inlineStr">
        <is>
          <t>08.1.02.20-0001</t>
        </is>
      </c>
      <c r="D84" s="209" t="inlineStr">
        <is>
          <t>Звено соединительное, диаметр 28 мм</t>
        </is>
      </c>
      <c r="E84" s="367" t="inlineStr">
        <is>
          <t>шт</t>
        </is>
      </c>
      <c r="F84" s="367" t="n">
        <v>268</v>
      </c>
      <c r="G84" s="211" t="n">
        <v>248.78</v>
      </c>
      <c r="H84" s="211">
        <f>ROUND(F84*G84,2)</f>
        <v/>
      </c>
    </row>
    <row r="85" s="302">
      <c r="A85" s="208">
        <f>A84+1</f>
        <v/>
      </c>
      <c r="B85" s="213" t="n"/>
      <c r="C85" s="208" t="inlineStr">
        <is>
          <t>20.1.02.22-0003</t>
        </is>
      </c>
      <c r="D85" s="209" t="inlineStr">
        <is>
          <t>Ушко двухлапчатое У2-12-16</t>
        </is>
      </c>
      <c r="E85" s="367" t="inlineStr">
        <is>
          <t>шт.</t>
        </is>
      </c>
      <c r="F85" s="367" t="n">
        <v>172</v>
      </c>
      <c r="G85" s="211" t="n">
        <v>194.37</v>
      </c>
      <c r="H85" s="211">
        <f>ROUND(F85*G85,2)</f>
        <v/>
      </c>
    </row>
    <row r="86" ht="25.5" customHeight="1" s="302">
      <c r="A86" s="208">
        <f>A85+1</f>
        <v/>
      </c>
      <c r="B86" s="213" t="n"/>
      <c r="C86" s="208" t="inlineStr">
        <is>
          <t>22.2.02.07-0002</t>
        </is>
      </c>
      <c r="D86" s="209" t="inlineStr">
        <is>
          <t>Конструкции стальные отдельностоящих молниеотводов ОРУ</t>
        </is>
      </c>
      <c r="E86" s="367" t="inlineStr">
        <is>
          <t>т</t>
        </is>
      </c>
      <c r="F86" s="367" t="n">
        <v>3.388</v>
      </c>
      <c r="G86" s="211" t="n">
        <v>9800</v>
      </c>
      <c r="H86" s="211">
        <f>ROUND(F86*G86,2)</f>
        <v/>
      </c>
    </row>
    <row r="87" ht="25.5" customHeight="1" s="302">
      <c r="A87" s="208">
        <f>A86+1</f>
        <v/>
      </c>
      <c r="B87" s="213" t="n"/>
      <c r="C87" s="208" t="inlineStr">
        <is>
          <t>21.2.01.02-0094</t>
        </is>
      </c>
      <c r="D87" s="209" t="inlineStr">
        <is>
          <t>Провод неизолированный для воздушных линий электропередачи АС 300/39</t>
        </is>
      </c>
      <c r="E87" s="367" t="inlineStr">
        <is>
          <t>т</t>
        </is>
      </c>
      <c r="F87" s="367" t="n">
        <v>0.715877</v>
      </c>
      <c r="G87" s="211" t="n">
        <v>32758.86</v>
      </c>
      <c r="H87" s="211">
        <f>ROUND(F87*G87,2)</f>
        <v/>
      </c>
    </row>
    <row r="88" ht="38.25" customHeight="1" s="302">
      <c r="A88" s="208">
        <f>A87+1</f>
        <v/>
      </c>
      <c r="B88" s="213" t="n"/>
      <c r="C88" s="208" t="inlineStr">
        <is>
          <t>04.1.02.05-0062</t>
        </is>
      </c>
      <c r="D88" s="209" t="inlineStr">
        <is>
          <t>Смеси бетонные тяжелого бетона (БСТ), крупность заполнителя 40 мм, класс В22,5 (М300) (Надбавка W8)</t>
        </is>
      </c>
      <c r="E88" s="367" t="inlineStr">
        <is>
          <t>м3</t>
        </is>
      </c>
      <c r="F88" s="367" t="n">
        <v>973</v>
      </c>
      <c r="G88" s="211" t="n">
        <v>20.74</v>
      </c>
      <c r="H88" s="211">
        <f>ROUND(F88*G88,2)</f>
        <v/>
      </c>
    </row>
    <row r="89" ht="38.25" customHeight="1" s="302">
      <c r="A89" s="208">
        <f>A88+1</f>
        <v/>
      </c>
      <c r="B89" s="213" t="n"/>
      <c r="C89" s="208" t="inlineStr">
        <is>
          <t>07.2.07.13-0161</t>
        </is>
      </c>
      <c r="D89" s="209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89" s="367" t="inlineStr">
        <is>
          <t>т</t>
        </is>
      </c>
      <c r="F89" s="367" t="n">
        <v>1.668641</v>
      </c>
      <c r="G89" s="211" t="n">
        <v>11879.77</v>
      </c>
      <c r="H89" s="211">
        <f>ROUND(F89*G89,2)</f>
        <v/>
      </c>
    </row>
    <row r="90" s="302">
      <c r="A90" s="208">
        <f>A89+1</f>
        <v/>
      </c>
      <c r="B90" s="213" t="n"/>
      <c r="C90" s="208" t="inlineStr">
        <is>
          <t>20.2.08.05-0017</t>
        </is>
      </c>
      <c r="D90" s="209" t="inlineStr">
        <is>
          <t>Профиль монтажный</t>
        </is>
      </c>
      <c r="E90" s="367" t="inlineStr">
        <is>
          <t>шт.</t>
        </is>
      </c>
      <c r="F90" s="367" t="n">
        <v>289</v>
      </c>
      <c r="G90" s="211" t="n">
        <v>66.81999999999999</v>
      </c>
      <c r="H90" s="211">
        <f>ROUND(F90*G90,2)</f>
        <v/>
      </c>
    </row>
    <row r="91" s="302">
      <c r="A91" s="208">
        <f>A90+1</f>
        <v/>
      </c>
      <c r="B91" s="213" t="n"/>
      <c r="C91" s="208" t="inlineStr">
        <is>
          <t>25.2.01.06-0101</t>
        </is>
      </c>
      <c r="D91" s="209" t="inlineStr">
        <is>
          <t>Зажим фиксирующий (КС-049-5) (КС-329)</t>
        </is>
      </c>
      <c r="E91" s="367" t="inlineStr">
        <is>
          <t>шт</t>
        </is>
      </c>
      <c r="F91" s="367" t="n">
        <v>271.5</v>
      </c>
      <c r="G91" s="211" t="n">
        <v>66.68000000000001</v>
      </c>
      <c r="H91" s="211">
        <f>ROUND(F91*G91,2)</f>
        <v/>
      </c>
    </row>
    <row r="92" s="302">
      <c r="A92" s="208">
        <f>A91+1</f>
        <v/>
      </c>
      <c r="B92" s="213" t="n"/>
      <c r="C92" s="208" t="inlineStr">
        <is>
          <t>14.2.01.05-0001</t>
        </is>
      </c>
      <c r="D92" s="209" t="inlineStr">
        <is>
          <t>Композиция на основе термопластичных полимеров</t>
        </is>
      </c>
      <c r="E92" s="367" t="inlineStr">
        <is>
          <t>кг</t>
        </is>
      </c>
      <c r="F92" s="367" t="n">
        <v>291.72</v>
      </c>
      <c r="G92" s="211" t="n">
        <v>54.99</v>
      </c>
      <c r="H92" s="211">
        <f>ROUND(F92*G92,2)</f>
        <v/>
      </c>
    </row>
    <row r="93" s="302">
      <c r="A93" s="208">
        <f>A92+1</f>
        <v/>
      </c>
      <c r="B93" s="213" t="n"/>
      <c r="C93" s="208" t="inlineStr">
        <is>
          <t>14.5.09.11-0102</t>
        </is>
      </c>
      <c r="D93" s="209" t="inlineStr">
        <is>
          <t>Уайт-спирит</t>
        </is>
      </c>
      <c r="E93" s="367" t="inlineStr">
        <is>
          <t>кг</t>
        </is>
      </c>
      <c r="F93" s="367" t="n">
        <v>1991.455</v>
      </c>
      <c r="G93" s="211" t="n">
        <v>6.67</v>
      </c>
      <c r="H93" s="211">
        <f>ROUND(F93*G93,2)</f>
        <v/>
      </c>
    </row>
    <row r="94" s="302">
      <c r="A94" s="208">
        <f>A93+1</f>
        <v/>
      </c>
      <c r="B94" s="213" t="n"/>
      <c r="C94" s="208" t="inlineStr">
        <is>
          <t>20.2.11.04-0011</t>
        </is>
      </c>
      <c r="D94" s="209" t="inlineStr">
        <is>
          <t>Распорки 125-1</t>
        </is>
      </c>
      <c r="E94" s="367" t="inlineStr">
        <is>
          <t>шт</t>
        </is>
      </c>
      <c r="F94" s="367" t="n">
        <v>350</v>
      </c>
      <c r="G94" s="211" t="n">
        <v>36.61</v>
      </c>
      <c r="H94" s="211">
        <f>ROUND(F94*G94,2)</f>
        <v/>
      </c>
    </row>
    <row r="95" s="302">
      <c r="A95" s="208">
        <f>A94+1</f>
        <v/>
      </c>
      <c r="B95" s="213" t="n"/>
      <c r="C95" s="208" t="inlineStr">
        <is>
          <t>01.7.11.07-0032</t>
        </is>
      </c>
      <c r="D95" s="209" t="inlineStr">
        <is>
          <t>Электроды сварочные Э42, диаметр 4 мм</t>
        </is>
      </c>
      <c r="E95" s="367" t="inlineStr">
        <is>
          <t>т</t>
        </is>
      </c>
      <c r="F95" s="367" t="n">
        <v>1.1651</v>
      </c>
      <c r="G95" s="211" t="n">
        <v>10315.01</v>
      </c>
      <c r="H95" s="211">
        <f>ROUND(F95*G95,2)</f>
        <v/>
      </c>
    </row>
    <row r="96" ht="38.25" customHeight="1" s="302">
      <c r="A96" s="208">
        <f>A95+1</f>
        <v/>
      </c>
      <c r="B96" s="213" t="n"/>
      <c r="C96" s="208" t="inlineStr">
        <is>
          <t>07.2.07.12-0020</t>
        </is>
      </c>
      <c r="D96" s="209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96" s="367" t="inlineStr">
        <is>
          <t>т</t>
        </is>
      </c>
      <c r="F96" s="367" t="n">
        <v>1.4697</v>
      </c>
      <c r="G96" s="211" t="n">
        <v>7712</v>
      </c>
      <c r="H96" s="211">
        <f>ROUND(F96*G96,2)</f>
        <v/>
      </c>
    </row>
    <row r="97" s="302">
      <c r="A97" s="208">
        <f>A96+1</f>
        <v/>
      </c>
      <c r="B97" s="213" t="n"/>
      <c r="C97" s="208" t="inlineStr">
        <is>
          <t>20.1.02.21-0071</t>
        </is>
      </c>
      <c r="D97" s="209" t="inlineStr">
        <is>
          <t>Узел крепления фиксатора окрашенный</t>
        </is>
      </c>
      <c r="E97" s="367" t="inlineStr">
        <is>
          <t>шт.</t>
        </is>
      </c>
      <c r="F97" s="367" t="n">
        <v>172</v>
      </c>
      <c r="G97" s="211" t="n">
        <v>56.95</v>
      </c>
      <c r="H97" s="211">
        <f>ROUND(F97*G97,2)</f>
        <v/>
      </c>
    </row>
    <row r="98" ht="25.5" customHeight="1" s="302">
      <c r="A98" s="208">
        <f>A97+1</f>
        <v/>
      </c>
      <c r="B98" s="213" t="n"/>
      <c r="C98" s="208" t="inlineStr">
        <is>
          <t>08.3.07.01-0051</t>
        </is>
      </c>
      <c r="D98" s="209" t="inlineStr">
        <is>
          <t>Прокат полосовой, горячекатаный, марка стали Ст3сп, размер 50х4 мм</t>
        </is>
      </c>
      <c r="E98" s="367" t="inlineStr">
        <is>
          <t>т</t>
        </is>
      </c>
      <c r="F98" s="367" t="n">
        <v>1.274</v>
      </c>
      <c r="G98" s="211" t="n">
        <v>7396.23</v>
      </c>
      <c r="H98" s="211">
        <f>ROUND(F98*G98,2)</f>
        <v/>
      </c>
    </row>
    <row r="99" ht="25.5" customHeight="1" s="302">
      <c r="A99" s="208">
        <f>A98+1</f>
        <v/>
      </c>
      <c r="B99" s="213" t="n"/>
      <c r="C99" s="208" t="inlineStr">
        <is>
          <t>01.7.15.03-0036</t>
        </is>
      </c>
      <c r="D99" s="209" t="inlineStr">
        <is>
          <t>Болты с гайками и шайбами оцинкованные, диаметр 24 мм</t>
        </is>
      </c>
      <c r="E99" s="367" t="inlineStr">
        <is>
          <t>кг</t>
        </is>
      </c>
      <c r="F99" s="367" t="n">
        <v>325</v>
      </c>
      <c r="G99" s="211" t="n">
        <v>24.79</v>
      </c>
      <c r="H99" s="211">
        <f>ROUND(F99*G99,2)</f>
        <v/>
      </c>
    </row>
    <row r="100" ht="25.5" customHeight="1" s="302">
      <c r="A100" s="208">
        <f>A99+1</f>
        <v/>
      </c>
      <c r="B100" s="213" t="n"/>
      <c r="C100" s="208" t="inlineStr">
        <is>
          <t>25.2.01.10-0003</t>
        </is>
      </c>
      <c r="D100" s="209" t="inlineStr">
        <is>
          <t>Коромысло для анкеровки усиливающих и питающих проводов (КС-122)</t>
        </is>
      </c>
      <c r="E100" s="367" t="inlineStr">
        <is>
          <t>шт.</t>
        </is>
      </c>
      <c r="F100" s="367" t="n">
        <v>96</v>
      </c>
      <c r="G100" s="211" t="n">
        <v>81</v>
      </c>
      <c r="H100" s="211">
        <f>ROUND(F100*G100,2)</f>
        <v/>
      </c>
    </row>
    <row r="101" ht="25.5" customHeight="1" s="302">
      <c r="A101" s="208">
        <f>A100+1</f>
        <v/>
      </c>
      <c r="B101" s="213" t="n"/>
      <c r="C101" s="208" t="inlineStr">
        <is>
          <t>07.2.07.04-0007</t>
        </is>
      </c>
      <c r="D101" s="209" t="inlineStr">
        <is>
          <t>Конструкции стальные индивидуальные решетчатые сварные массой до 0,1 т</t>
        </is>
      </c>
      <c r="E101" s="367" t="inlineStr">
        <is>
          <t>т</t>
        </is>
      </c>
      <c r="F101" s="367" t="n">
        <v>0.375</v>
      </c>
      <c r="G101" s="211" t="n">
        <v>11500</v>
      </c>
      <c r="H101" s="211">
        <f>ROUND(F101*G101,2)</f>
        <v/>
      </c>
    </row>
    <row r="102" s="302">
      <c r="A102" s="208">
        <f>A101+1</f>
        <v/>
      </c>
      <c r="B102" s="213" t="n"/>
      <c r="C102" s="208" t="inlineStr">
        <is>
          <t>11.1.03.05-0041</t>
        </is>
      </c>
      <c r="D102" s="209" t="inlineStr">
        <is>
          <t>Доски необрезные, дубовые, II сорт</t>
        </is>
      </c>
      <c r="E102" s="367" t="inlineStr">
        <is>
          <t>м3</t>
        </is>
      </c>
      <c r="F102" s="367" t="n">
        <v>2.89</v>
      </c>
      <c r="G102" s="211" t="n">
        <v>1410</v>
      </c>
      <c r="H102" s="211">
        <f>ROUND(F102*G102,2)</f>
        <v/>
      </c>
    </row>
    <row r="103" ht="25.5" customHeight="1" s="302">
      <c r="A103" s="208">
        <f>A102+1</f>
        <v/>
      </c>
      <c r="B103" s="213" t="n"/>
      <c r="C103" s="208" t="inlineStr">
        <is>
          <t>08.3.07.01-0076</t>
        </is>
      </c>
      <c r="D103" s="209" t="inlineStr">
        <is>
          <t>Прокат полосовой, горячекатаный, марка стали Ст3сп, ширина 50-200 мм, толщина 4-5 мм</t>
        </is>
      </c>
      <c r="E103" s="367" t="inlineStr">
        <is>
          <t>т</t>
        </is>
      </c>
      <c r="F103" s="367" t="n">
        <v>0.687025</v>
      </c>
      <c r="G103" s="211" t="n">
        <v>5000</v>
      </c>
      <c r="H103" s="211">
        <f>ROUND(F103*G103,2)</f>
        <v/>
      </c>
    </row>
    <row r="104" ht="25.5" customHeight="1" s="302">
      <c r="A104" s="208">
        <f>A103+1</f>
        <v/>
      </c>
      <c r="B104" s="213" t="n"/>
      <c r="C104" s="208" t="inlineStr">
        <is>
          <t>24.3.03.06-0041</t>
        </is>
      </c>
      <c r="D104" s="209" t="inlineStr">
        <is>
          <t>Трубы дренажные полиэтиленовые гофрированные, диаметр 50 мм, тип 1</t>
        </is>
      </c>
      <c r="E104" s="367" t="inlineStr">
        <is>
          <t>м</t>
        </is>
      </c>
      <c r="F104" s="367" t="n">
        <v>282</v>
      </c>
      <c r="G104" s="211" t="n">
        <v>10.65</v>
      </c>
      <c r="H104" s="211">
        <f>ROUND(F104*G104,2)</f>
        <v/>
      </c>
    </row>
    <row r="105" s="302">
      <c r="A105" s="208">
        <f>A104+1</f>
        <v/>
      </c>
      <c r="B105" s="213" t="n"/>
      <c r="C105" s="208" t="inlineStr">
        <is>
          <t>01.7.15.10-0041</t>
        </is>
      </c>
      <c r="D105" s="209" t="inlineStr">
        <is>
          <t>Скобы</t>
        </is>
      </c>
      <c r="E105" s="367" t="inlineStr">
        <is>
          <t>10 шт.</t>
        </is>
      </c>
      <c r="F105" s="367" t="n">
        <v>38.4</v>
      </c>
      <c r="G105" s="211" t="n">
        <v>64.8</v>
      </c>
      <c r="H105" s="211">
        <f>ROUND(F105*G105,2)</f>
        <v/>
      </c>
    </row>
    <row r="106" s="302">
      <c r="A106" s="208">
        <f>A105+1</f>
        <v/>
      </c>
      <c r="B106" s="213" t="n"/>
      <c r="C106" s="208" t="inlineStr">
        <is>
          <t>14.4.02.09-0001</t>
        </is>
      </c>
      <c r="D106" s="209" t="inlineStr">
        <is>
          <t>Краска</t>
        </is>
      </c>
      <c r="E106" s="367" t="inlineStr">
        <is>
          <t>кг</t>
        </is>
      </c>
      <c r="F106" s="367" t="n">
        <v>84.06</v>
      </c>
      <c r="G106" s="211" t="n">
        <v>28.6</v>
      </c>
      <c r="H106" s="211">
        <f>ROUND(F106*G106,2)</f>
        <v/>
      </c>
    </row>
    <row r="107" s="302">
      <c r="A107" s="208">
        <f>A106+1</f>
        <v/>
      </c>
      <c r="B107" s="213" t="n"/>
      <c r="C107" s="208" t="inlineStr">
        <is>
          <t>01.7.15.03-0042</t>
        </is>
      </c>
      <c r="D107" s="209" t="inlineStr">
        <is>
          <t>Болты с гайками и шайбами строительные</t>
        </is>
      </c>
      <c r="E107" s="367" t="inlineStr">
        <is>
          <t>кг</t>
        </is>
      </c>
      <c r="F107" s="367" t="n">
        <v>252.5875</v>
      </c>
      <c r="G107" s="211" t="n">
        <v>9.039999999999999</v>
      </c>
      <c r="H107" s="211">
        <f>ROUND(F107*G107,2)</f>
        <v/>
      </c>
    </row>
    <row r="108" s="302">
      <c r="A108" s="208">
        <f>A107+1</f>
        <v/>
      </c>
      <c r="B108" s="213" t="n"/>
      <c r="C108" s="208" t="inlineStr">
        <is>
          <t>01.7.17.11-0001</t>
        </is>
      </c>
      <c r="D108" s="209" t="inlineStr">
        <is>
          <t>Бумага шлифовальная</t>
        </is>
      </c>
      <c r="E108" s="367" t="inlineStr">
        <is>
          <t>кг</t>
        </is>
      </c>
      <c r="F108" s="367" t="n">
        <v>40</v>
      </c>
      <c r="G108" s="211" t="n">
        <v>50</v>
      </c>
      <c r="H108" s="211">
        <f>ROUND(F108*G108,2)</f>
        <v/>
      </c>
    </row>
    <row r="109" s="302">
      <c r="A109" s="208">
        <f>A108+1</f>
        <v/>
      </c>
      <c r="B109" s="213" t="n"/>
      <c r="C109" s="208" t="inlineStr">
        <is>
          <t>20.1.02.14-0002</t>
        </is>
      </c>
      <c r="D109" s="209" t="inlineStr">
        <is>
          <t>Серьга Ср-4,5 075</t>
        </is>
      </c>
      <c r="E109" s="367" t="inlineStr">
        <is>
          <t>шт.</t>
        </is>
      </c>
      <c r="F109" s="367" t="n">
        <v>172</v>
      </c>
      <c r="G109" s="211" t="n">
        <v>11.39</v>
      </c>
      <c r="H109" s="211">
        <f>ROUND(F109*G109,2)</f>
        <v/>
      </c>
    </row>
    <row r="110" s="302">
      <c r="A110" s="208">
        <f>A109+1</f>
        <v/>
      </c>
      <c r="B110" s="213" t="n"/>
      <c r="C110" s="208" t="inlineStr">
        <is>
          <t>01.7.11.07-0034</t>
        </is>
      </c>
      <c r="D110" s="209" t="inlineStr">
        <is>
          <t>Электроды сварочные Э42А, диаметр 4 мм</t>
        </is>
      </c>
      <c r="E110" s="367" t="inlineStr">
        <is>
          <t>кг</t>
        </is>
      </c>
      <c r="F110" s="367" t="n">
        <v>162.3063</v>
      </c>
      <c r="G110" s="211" t="n">
        <v>10.57</v>
      </c>
      <c r="H110" s="211">
        <f>ROUND(F110*G110,2)</f>
        <v/>
      </c>
    </row>
    <row r="111" ht="25.5" customHeight="1" s="302">
      <c r="A111" s="208">
        <f>A110+1</f>
        <v/>
      </c>
      <c r="B111" s="213" t="n"/>
      <c r="C111" s="208" t="inlineStr">
        <is>
          <t>21.2.03.05-0055</t>
        </is>
      </c>
      <c r="D111" s="209" t="inlineStr">
        <is>
          <t>Провод силовой установочный с медными жилами ПВ1 25-450</t>
        </is>
      </c>
      <c r="E111" s="367" t="inlineStr">
        <is>
          <t>1000 м</t>
        </is>
      </c>
      <c r="F111" s="367" t="n">
        <v>0.0663</v>
      </c>
      <c r="G111" s="211" t="n">
        <v>19363.45</v>
      </c>
      <c r="H111" s="211">
        <f>ROUND(F111*G111,2)</f>
        <v/>
      </c>
    </row>
    <row r="112" ht="25.5" customHeight="1" s="302">
      <c r="A112" s="208">
        <f>A111+1</f>
        <v/>
      </c>
      <c r="B112" s="213" t="n"/>
      <c r="C112" s="208" t="inlineStr">
        <is>
          <t>01.3.01.06-0050</t>
        </is>
      </c>
      <c r="D112" s="209" t="inlineStr">
        <is>
          <t>Смазка универсальная тугоплавкая УТ (консталин жировой)</t>
        </is>
      </c>
      <c r="E112" s="367" t="inlineStr">
        <is>
          <t>т</t>
        </is>
      </c>
      <c r="F112" s="367" t="n">
        <v>0.06734999999999999</v>
      </c>
      <c r="G112" s="211" t="n">
        <v>17500</v>
      </c>
      <c r="H112" s="211">
        <f>ROUND(F112*G112,2)</f>
        <v/>
      </c>
    </row>
    <row r="113" ht="25.5" customHeight="1" s="302">
      <c r="A113" s="208">
        <f>A112+1</f>
        <v/>
      </c>
      <c r="B113" s="213" t="n"/>
      <c r="C113" s="208" t="inlineStr">
        <is>
          <t>999-9950</t>
        </is>
      </c>
      <c r="D113" s="209" t="inlineStr">
        <is>
          <t>Вспомогательные ненормируемые материальные ресурсы (2% от оплаты труда рабочих)</t>
        </is>
      </c>
      <c r="E113" s="367" t="inlineStr">
        <is>
          <t>руб.</t>
        </is>
      </c>
      <c r="F113" s="367" t="n">
        <v>1143.54005</v>
      </c>
      <c r="G113" s="211" t="n">
        <v>1</v>
      </c>
      <c r="H113" s="211">
        <f>ROUND(F113*G113,2)</f>
        <v/>
      </c>
    </row>
    <row r="114" s="302">
      <c r="A114" s="208">
        <f>A113+1</f>
        <v/>
      </c>
      <c r="B114" s="213" t="n"/>
      <c r="C114" s="208" t="inlineStr">
        <is>
          <t>01.4.01.06-0014</t>
        </is>
      </c>
      <c r="D114" s="209" t="inlineStr">
        <is>
          <t>Коронки буровые типа К-100В</t>
        </is>
      </c>
      <c r="E114" s="367" t="inlineStr">
        <is>
          <t>шт.</t>
        </is>
      </c>
      <c r="F114" s="367" t="n">
        <v>5.6665</v>
      </c>
      <c r="G114" s="211" t="n">
        <v>176.51</v>
      </c>
      <c r="H114" s="211">
        <f>ROUND(F114*G114,2)</f>
        <v/>
      </c>
    </row>
    <row r="115" ht="25.5" customHeight="1" s="302">
      <c r="A115" s="208">
        <f>A114+1</f>
        <v/>
      </c>
      <c r="B115" s="213" t="n"/>
      <c r="C115" s="208" t="inlineStr">
        <is>
          <t>07.2.05.01-0032</t>
        </is>
      </c>
      <c r="D115" s="209" t="inlineStr">
        <is>
          <t>Ограждения лестничных проемов, лестничные марши, пожарные лестницы</t>
        </is>
      </c>
      <c r="E115" s="367" t="inlineStr">
        <is>
          <t>т</t>
        </is>
      </c>
      <c r="F115" s="367" t="n">
        <v>0.124836</v>
      </c>
      <c r="G115" s="211" t="n">
        <v>7571</v>
      </c>
      <c r="H115" s="211">
        <f>ROUND(F115*G115,2)</f>
        <v/>
      </c>
    </row>
    <row r="116" ht="25.5" customHeight="1" s="302">
      <c r="A116" s="208">
        <f>A115+1</f>
        <v/>
      </c>
      <c r="B116" s="213" t="n"/>
      <c r="C116" s="208" t="inlineStr">
        <is>
          <t>22.1.01.02-0002</t>
        </is>
      </c>
      <c r="D116" s="209" t="inlineStr">
        <is>
          <t>Щит распределительный навесной ЩРН-9, размер 250х300х120 мм</t>
        </is>
      </c>
      <c r="E116" s="367" t="inlineStr">
        <is>
          <t>шт</t>
        </is>
      </c>
      <c r="F116" s="367" t="n">
        <v>10</v>
      </c>
      <c r="G116" s="211" t="n">
        <v>85.45999999999999</v>
      </c>
      <c r="H116" s="211">
        <f>ROUND(F116*G116,2)</f>
        <v/>
      </c>
    </row>
    <row r="117" s="302">
      <c r="A117" s="208">
        <f>A116+1</f>
        <v/>
      </c>
      <c r="B117" s="213" t="n"/>
      <c r="C117" s="208" t="inlineStr">
        <is>
          <t>01.7.20.08-0031</t>
        </is>
      </c>
      <c r="D117" s="209" t="inlineStr">
        <is>
          <t>Бязь суровая</t>
        </is>
      </c>
      <c r="E117" s="367" t="inlineStr">
        <is>
          <t>10 м2</t>
        </is>
      </c>
      <c r="F117" s="367" t="n">
        <v>8.496</v>
      </c>
      <c r="G117" s="211" t="n">
        <v>79.09999999999999</v>
      </c>
      <c r="H117" s="211">
        <f>ROUND(F117*G117,2)</f>
        <v/>
      </c>
    </row>
    <row r="118" ht="63.75" customHeight="1" s="302">
      <c r="A118" s="208">
        <f>A117+1</f>
        <v/>
      </c>
      <c r="B118" s="213" t="n"/>
      <c r="C118" s="208" t="inlineStr">
        <is>
          <t>07.2.07.12-0003</t>
        </is>
      </c>
      <c r="D118" s="209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18" s="367" t="inlineStr">
        <is>
          <t>т</t>
        </is>
      </c>
      <c r="F118" s="367" t="n">
        <v>0.0578</v>
      </c>
      <c r="G118" s="211" t="n">
        <v>11255</v>
      </c>
      <c r="H118" s="211">
        <f>ROUND(F118*G118,2)</f>
        <v/>
      </c>
    </row>
    <row r="119" s="302">
      <c r="A119" s="208">
        <f>A118+1</f>
        <v/>
      </c>
      <c r="B119" s="213" t="n"/>
      <c r="C119" s="208" t="inlineStr">
        <is>
          <t>20.5.04.09-0001</t>
        </is>
      </c>
      <c r="D119" s="209" t="inlineStr">
        <is>
          <t>Сжимы ответвительные</t>
        </is>
      </c>
      <c r="E119" s="367" t="inlineStr">
        <is>
          <t>100 шт</t>
        </is>
      </c>
      <c r="F119" s="367" t="n">
        <v>1.105</v>
      </c>
      <c r="G119" s="211" t="n">
        <v>528</v>
      </c>
      <c r="H119" s="211">
        <f>ROUND(F119*G119,2)</f>
        <v/>
      </c>
    </row>
    <row r="120" ht="25.5" customHeight="1" s="302">
      <c r="A120" s="208">
        <f>A119+1</f>
        <v/>
      </c>
      <c r="B120" s="213" t="n"/>
      <c r="C120" s="208" t="inlineStr">
        <is>
          <t>22.1.01.02-0003</t>
        </is>
      </c>
      <c r="D120" s="209" t="inlineStr">
        <is>
          <t>Щит распределительный навесной ЩРН-9, размер 250х350х120 мм</t>
        </is>
      </c>
      <c r="E120" s="367" t="inlineStr">
        <is>
          <t>шт</t>
        </is>
      </c>
      <c r="F120" s="367" t="n">
        <v>5</v>
      </c>
      <c r="G120" s="211" t="n">
        <v>92.25</v>
      </c>
      <c r="H120" s="211">
        <f>ROUND(F120*G120,2)</f>
        <v/>
      </c>
    </row>
    <row r="121" ht="25.5" customHeight="1" s="302">
      <c r="A121" s="208">
        <f>A120+1</f>
        <v/>
      </c>
      <c r="B121" s="213" t="n"/>
      <c r="C121" s="208" t="inlineStr">
        <is>
          <t>14.4.02.04-0142</t>
        </is>
      </c>
      <c r="D121" s="209" t="inlineStr">
        <is>
          <t>Краска масляная земляная МА-0115, мумия, сурик железный</t>
        </is>
      </c>
      <c r="E121" s="367" t="inlineStr">
        <is>
          <t>кг</t>
        </is>
      </c>
      <c r="F121" s="367" t="n">
        <v>19.25</v>
      </c>
      <c r="G121" s="211" t="n">
        <v>15.12</v>
      </c>
      <c r="H121" s="211">
        <f>ROUND(F121*G121,2)</f>
        <v/>
      </c>
    </row>
    <row r="122" s="302">
      <c r="A122" s="208">
        <f>A121+1</f>
        <v/>
      </c>
      <c r="B122" s="213" t="n"/>
      <c r="C122" s="208" t="inlineStr">
        <is>
          <t>22.2.01.05-0051</t>
        </is>
      </c>
      <c r="D122" s="209" t="inlineStr">
        <is>
          <t>Изолятор опорный ИОР-10-375 УХЛ</t>
        </is>
      </c>
      <c r="E122" s="367" t="inlineStr">
        <is>
          <t>шт</t>
        </is>
      </c>
      <c r="F122" s="367" t="n">
        <v>6</v>
      </c>
      <c r="G122" s="211" t="n">
        <v>41.1</v>
      </c>
      <c r="H122" s="211">
        <f>ROUND(F122*G122,2)</f>
        <v/>
      </c>
    </row>
    <row r="123" s="302">
      <c r="A123" s="208">
        <f>A122+1</f>
        <v/>
      </c>
      <c r="B123" s="213" t="n"/>
      <c r="C123" s="208" t="inlineStr">
        <is>
          <t>01.7.15.06-0111</t>
        </is>
      </c>
      <c r="D123" s="209" t="inlineStr">
        <is>
          <t>Гвозди строительные</t>
        </is>
      </c>
      <c r="E123" s="367" t="inlineStr">
        <is>
          <t>т</t>
        </is>
      </c>
      <c r="F123" s="367" t="n">
        <v>0.01925</v>
      </c>
      <c r="G123" s="211" t="n">
        <v>11978</v>
      </c>
      <c r="H123" s="211">
        <f>ROUND(F123*G123,2)</f>
        <v/>
      </c>
    </row>
    <row r="124" s="302">
      <c r="A124" s="208">
        <f>A123+1</f>
        <v/>
      </c>
      <c r="B124" s="213" t="n"/>
      <c r="C124" s="208" t="inlineStr">
        <is>
          <t>24.3.05.07-0002</t>
        </is>
      </c>
      <c r="D124" s="209" t="inlineStr">
        <is>
          <t>Муфта</t>
        </is>
      </c>
      <c r="E124" s="367" t="inlineStr">
        <is>
          <t>шт</t>
        </is>
      </c>
      <c r="F124" s="367" t="n">
        <v>38.5</v>
      </c>
      <c r="G124" s="211" t="n">
        <v>5.96</v>
      </c>
      <c r="H124" s="211">
        <f>ROUND(F124*G124,2)</f>
        <v/>
      </c>
    </row>
    <row r="125" s="302">
      <c r="A125" s="208">
        <f>A124+1</f>
        <v/>
      </c>
      <c r="B125" s="213" t="n"/>
      <c r="C125" s="208" t="inlineStr">
        <is>
          <t>01.7.15.07-0014</t>
        </is>
      </c>
      <c r="D125" s="209" t="inlineStr">
        <is>
          <t>Дюбели распорные полипропиленовые</t>
        </is>
      </c>
      <c r="E125" s="367" t="inlineStr">
        <is>
          <t>100 шт.</t>
        </is>
      </c>
      <c r="F125" s="367" t="n">
        <v>2.312</v>
      </c>
      <c r="G125" s="211" t="n">
        <v>86</v>
      </c>
      <c r="H125" s="211">
        <f>ROUND(F125*G125,2)</f>
        <v/>
      </c>
    </row>
    <row r="126" ht="25.5" customHeight="1" s="302">
      <c r="A126" s="208">
        <f>A125+1</f>
        <v/>
      </c>
      <c r="B126" s="213" t="n"/>
      <c r="C126" s="208" t="inlineStr">
        <is>
          <t>08.3.05.02-0101</t>
        </is>
      </c>
      <c r="D126" s="209" t="inlineStr">
        <is>
          <t>Прокат толстолистовой горячекатаный в листах, марка стали ВСт3пс5, толщина 4-6 мм</t>
        </is>
      </c>
      <c r="E126" s="367" t="inlineStr">
        <is>
          <t>т</t>
        </is>
      </c>
      <c r="F126" s="367" t="n">
        <v>0.026</v>
      </c>
      <c r="G126" s="211" t="n">
        <v>5763</v>
      </c>
      <c r="H126" s="211">
        <f>ROUND(F126*G126,2)</f>
        <v/>
      </c>
    </row>
    <row r="127" ht="25.5" customHeight="1" s="302">
      <c r="A127" s="208">
        <f>A126+1</f>
        <v/>
      </c>
      <c r="B127" s="213" t="n"/>
      <c r="C127" s="208" t="inlineStr">
        <is>
          <t>10.2.02.07-0109</t>
        </is>
      </c>
      <c r="D127" s="209" t="inlineStr">
        <is>
          <t>Проволока латунная, круглая, твердая, нормальной точности, марка Л68, диаметр 0,50 мм</t>
        </is>
      </c>
      <c r="E127" s="367" t="inlineStr">
        <is>
          <t>т</t>
        </is>
      </c>
      <c r="F127" s="367" t="n">
        <v>0.0016</v>
      </c>
      <c r="G127" s="211" t="n">
        <v>62000</v>
      </c>
      <c r="H127" s="211">
        <f>ROUND(F127*G127,2)</f>
        <v/>
      </c>
    </row>
    <row r="128" s="302">
      <c r="A128" s="208">
        <f>A127+1</f>
        <v/>
      </c>
      <c r="B128" s="213" t="n"/>
      <c r="C128" s="208" t="inlineStr">
        <is>
          <t>01.7.11.07-0035</t>
        </is>
      </c>
      <c r="D128" s="209" t="inlineStr">
        <is>
          <t>Электроды диаметром 4 мм Э46</t>
        </is>
      </c>
      <c r="E128" s="367" t="inlineStr">
        <is>
          <t>т</t>
        </is>
      </c>
      <c r="F128" s="367" t="n">
        <v>0.0069</v>
      </c>
      <c r="G128" s="211" t="n">
        <v>10749</v>
      </c>
      <c r="H128" s="211">
        <f>ROUND(F128*G128,2)</f>
        <v/>
      </c>
    </row>
    <row r="129" ht="25.5" customHeight="1" s="302">
      <c r="A129" s="208">
        <f>A128+1</f>
        <v/>
      </c>
      <c r="B129" s="213" t="n"/>
      <c r="C129" s="208" t="inlineStr">
        <is>
          <t>11.1.03.06-0022</t>
        </is>
      </c>
      <c r="D129" s="209" t="inlineStr">
        <is>
          <t>Доски обрезные (береза, липа) длиной: 4-6,5 м, все ширины, толщиной 19-22 мм, III сорта</t>
        </is>
      </c>
      <c r="E129" s="367" t="inlineStr">
        <is>
          <t>м3</t>
        </is>
      </c>
      <c r="F129" s="367" t="n">
        <v>0.064</v>
      </c>
      <c r="G129" s="211" t="n">
        <v>1057.61</v>
      </c>
      <c r="H129" s="211">
        <f>ROUND(F129*G129,2)</f>
        <v/>
      </c>
    </row>
    <row r="130" s="302">
      <c r="A130" s="208">
        <f>A129+1</f>
        <v/>
      </c>
      <c r="B130" s="213" t="n"/>
      <c r="C130" s="208" t="inlineStr">
        <is>
          <t>01.3.02.08-0001</t>
        </is>
      </c>
      <c r="D130" s="209" t="inlineStr">
        <is>
          <t>Кислород газообразный технический</t>
        </is>
      </c>
      <c r="E130" s="367" t="inlineStr">
        <is>
          <t>м3</t>
        </is>
      </c>
      <c r="F130" s="367" t="n">
        <v>5.5619</v>
      </c>
      <c r="G130" s="211" t="n">
        <v>6.22</v>
      </c>
      <c r="H130" s="211">
        <f>ROUND(F130*G130,2)</f>
        <v/>
      </c>
    </row>
    <row r="131" s="302">
      <c r="A131" s="208">
        <f>A130+1</f>
        <v/>
      </c>
      <c r="B131" s="213" t="n"/>
      <c r="C131" s="208" t="inlineStr">
        <is>
          <t>01.3.02.09-0022</t>
        </is>
      </c>
      <c r="D131" s="209" t="inlineStr">
        <is>
          <t>Пропан-бутан, смесь техническая</t>
        </is>
      </c>
      <c r="E131" s="367" t="inlineStr">
        <is>
          <t>кг</t>
        </is>
      </c>
      <c r="F131" s="367" t="n">
        <v>4.7067</v>
      </c>
      <c r="G131" s="211" t="n">
        <v>6.09</v>
      </c>
      <c r="H131" s="211">
        <f>ROUND(F131*G131,2)</f>
        <v/>
      </c>
    </row>
    <row r="132" ht="25.5" customHeight="1" s="302">
      <c r="A132" s="208">
        <f>A131+1</f>
        <v/>
      </c>
      <c r="B132" s="213" t="n"/>
      <c r="C132" s="208" t="inlineStr">
        <is>
          <t>01.7.15.06-0121</t>
        </is>
      </c>
      <c r="D132" s="209" t="inlineStr">
        <is>
          <t>Гвозди строительные с плоской головкой, размер 1,6х50 мм</t>
        </is>
      </c>
      <c r="E132" s="367" t="inlineStr">
        <is>
          <t>т</t>
        </is>
      </c>
      <c r="F132" s="367" t="n">
        <v>0.0026</v>
      </c>
      <c r="G132" s="211" t="n">
        <v>8475</v>
      </c>
      <c r="H132" s="211">
        <f>ROUND(F132*G132,2)</f>
        <v/>
      </c>
    </row>
    <row r="133" s="302">
      <c r="A133" s="208">
        <f>A132+1</f>
        <v/>
      </c>
      <c r="B133" s="213" t="n"/>
      <c r="C133" s="208" t="inlineStr">
        <is>
          <t>08.3.11.01-0091</t>
        </is>
      </c>
      <c r="D133" s="209" t="inlineStr">
        <is>
          <t>Швеллеры № 40, марка стали Ст0</t>
        </is>
      </c>
      <c r="E133" s="367" t="inlineStr">
        <is>
          <t>т</t>
        </is>
      </c>
      <c r="F133" s="367" t="n">
        <v>0.00335</v>
      </c>
      <c r="G133" s="211" t="n">
        <v>4920</v>
      </c>
      <c r="H133" s="211">
        <f>ROUND(F133*G133,2)</f>
        <v/>
      </c>
    </row>
    <row r="134" s="302">
      <c r="A134" s="208">
        <f>A133+1</f>
        <v/>
      </c>
      <c r="B134" s="213" t="n"/>
      <c r="C134" s="208" t="inlineStr">
        <is>
          <t>14.1.02.01-0002</t>
        </is>
      </c>
      <c r="D134" s="209" t="inlineStr">
        <is>
          <t>Клей БМК-5к</t>
        </is>
      </c>
      <c r="E134" s="367" t="inlineStr">
        <is>
          <t>кг</t>
        </is>
      </c>
      <c r="F134" s="367" t="n">
        <v>0.5639999999999999</v>
      </c>
      <c r="G134" s="211" t="n">
        <v>25.8</v>
      </c>
      <c r="H134" s="211">
        <f>ROUND(F134*G134,2)</f>
        <v/>
      </c>
    </row>
    <row r="135" s="302">
      <c r="A135" s="208">
        <f>A134+1</f>
        <v/>
      </c>
      <c r="B135" s="213" t="n"/>
      <c r="C135" s="208" t="inlineStr">
        <is>
          <t>14.5.09.07-0029</t>
        </is>
      </c>
      <c r="D135" s="209" t="inlineStr">
        <is>
          <t>Растворитель марки Р-4</t>
        </is>
      </c>
      <c r="E135" s="367" t="inlineStr">
        <is>
          <t>т</t>
        </is>
      </c>
      <c r="F135" s="367" t="n">
        <v>0.001</v>
      </c>
      <c r="G135" s="211" t="n">
        <v>9420</v>
      </c>
      <c r="H135" s="211">
        <f>ROUND(F135*G135,2)</f>
        <v/>
      </c>
    </row>
    <row r="136" s="302">
      <c r="A136" s="208">
        <f>A135+1</f>
        <v/>
      </c>
      <c r="B136" s="213" t="n"/>
      <c r="C136" s="208" t="inlineStr">
        <is>
          <t>14.4.01.01-0003</t>
        </is>
      </c>
      <c r="D136" s="209" t="inlineStr">
        <is>
          <t>Грунтовка ГФ-021</t>
        </is>
      </c>
      <c r="E136" s="367" t="inlineStr">
        <is>
          <t>т</t>
        </is>
      </c>
      <c r="F136" s="367" t="n">
        <v>0.00055</v>
      </c>
      <c r="G136" s="211" t="n">
        <v>15620</v>
      </c>
      <c r="H136" s="211">
        <f>ROUND(F136*G136,2)</f>
        <v/>
      </c>
    </row>
    <row r="137" s="302">
      <c r="A137" s="208">
        <f>A136+1</f>
        <v/>
      </c>
      <c r="B137" s="213" t="n"/>
      <c r="C137" s="208" t="inlineStr">
        <is>
          <t>01.7.20.08-0071</t>
        </is>
      </c>
      <c r="D137" s="209" t="inlineStr">
        <is>
          <t>Канат пеньковый пропитанный</t>
        </is>
      </c>
      <c r="E137" s="367" t="inlineStr">
        <is>
          <t>т</t>
        </is>
      </c>
      <c r="F137" s="367" t="n">
        <v>0.00015</v>
      </c>
      <c r="G137" s="211" t="n">
        <v>37900</v>
      </c>
      <c r="H137" s="211">
        <f>ROUND(F137*G137,2)</f>
        <v/>
      </c>
    </row>
    <row r="138" ht="38.25" customHeight="1" s="302">
      <c r="A138" s="208">
        <f>A137+1</f>
        <v/>
      </c>
      <c r="B138" s="213" t="n"/>
      <c r="C138" s="208" t="inlineStr">
        <is>
          <t>01.7.15.14-0043</t>
        </is>
      </c>
      <c r="D138" s="209" t="inlineStr">
        <is>
          <t>Шурупы самонарезающий прокалывающий, для крепления металлических профилей или листовых деталей 3,5/11 мм</t>
        </is>
      </c>
      <c r="E138" s="367" t="inlineStr">
        <is>
          <t>100 шт</t>
        </is>
      </c>
      <c r="F138" s="367" t="n">
        <v>2.312</v>
      </c>
      <c r="G138" s="211" t="n">
        <v>2</v>
      </c>
      <c r="H138" s="211">
        <f>ROUND(F138*G138,2)</f>
        <v/>
      </c>
    </row>
    <row r="139" s="302">
      <c r="A139" s="208">
        <f>A138+1</f>
        <v/>
      </c>
      <c r="B139" s="213" t="n"/>
      <c r="C139" s="208" t="inlineStr">
        <is>
          <t>01.7.15.07-0031</t>
        </is>
      </c>
      <c r="D139" s="209" t="inlineStr">
        <is>
          <t>Дюбели распорные с гайкой</t>
        </is>
      </c>
      <c r="E139" s="367" t="inlineStr">
        <is>
          <t>100 шт</t>
        </is>
      </c>
      <c r="F139" s="367" t="n">
        <v>0.0408</v>
      </c>
      <c r="G139" s="211" t="n">
        <v>110</v>
      </c>
      <c r="H139" s="211">
        <f>ROUND(F139*G139,2)</f>
        <v/>
      </c>
    </row>
    <row r="140" ht="25.5" customHeight="1" s="302">
      <c r="A140" s="208">
        <f>A139+1</f>
        <v/>
      </c>
      <c r="B140" s="213" t="n"/>
      <c r="C140" s="208" t="inlineStr">
        <is>
          <t>03.2.01.01-0003</t>
        </is>
      </c>
      <c r="D140" s="209" t="inlineStr">
        <is>
          <t>Портландцемент общестроительного назначения бездобавочный М500 Д0 (ЦЕМ I 42,5Н)</t>
        </is>
      </c>
      <c r="E140" s="367" t="inlineStr">
        <is>
          <t>т</t>
        </is>
      </c>
      <c r="F140" s="367" t="n">
        <v>0.0092</v>
      </c>
      <c r="G140" s="211" t="n">
        <v>480</v>
      </c>
      <c r="H140" s="211">
        <f>ROUND(F140*G140,2)</f>
        <v/>
      </c>
    </row>
    <row r="141" ht="25.5" customHeight="1" s="302">
      <c r="A141" s="208">
        <f>A140+1</f>
        <v/>
      </c>
      <c r="B141" s="213" t="n"/>
      <c r="C141" s="208" t="inlineStr">
        <is>
          <t>10.3.02.03-0011</t>
        </is>
      </c>
      <c r="D141" s="209" t="inlineStr">
        <is>
          <t>Припои оловянно-свинцовые бессурьмянистые, марка ПОС30</t>
        </is>
      </c>
      <c r="E141" s="367" t="inlineStr">
        <is>
          <t>т</t>
        </is>
      </c>
      <c r="F141" s="367" t="n">
        <v>5.05e-05</v>
      </c>
      <c r="G141" s="211" t="n">
        <v>68050</v>
      </c>
      <c r="H141" s="211">
        <f>ROUND(F141*G141,2)</f>
        <v/>
      </c>
    </row>
    <row r="142" ht="25.5" customHeight="1" s="302">
      <c r="A142" s="208">
        <f>A141+1</f>
        <v/>
      </c>
      <c r="B142" s="213" t="n"/>
      <c r="C142" s="208" t="inlineStr">
        <is>
          <t>11.1.03.01-0077</t>
        </is>
      </c>
      <c r="D142" s="209" t="inlineStr">
        <is>
          <t>Бруски обрезные, хвойных пород, длина 4-6,5 м, ширина 75-150 мм, толщина 40-75 мм, сорт I</t>
        </is>
      </c>
      <c r="E142" s="367" t="inlineStr">
        <is>
          <t>м3</t>
        </is>
      </c>
      <c r="F142" s="367" t="n">
        <v>0.00175</v>
      </c>
      <c r="G142" s="211" t="n">
        <v>1700</v>
      </c>
      <c r="H142" s="211">
        <f>ROUND(F142*G142,2)</f>
        <v/>
      </c>
    </row>
    <row r="143" s="302">
      <c r="A143" s="208">
        <f>A142+1</f>
        <v/>
      </c>
      <c r="B143" s="213" t="n"/>
      <c r="C143" s="208" t="inlineStr">
        <is>
          <t>01.7.07.12-0021</t>
        </is>
      </c>
      <c r="D143" s="209" t="inlineStr">
        <is>
          <t>Пленка полиэтиленовая толщиной 0,2-0,5 мм</t>
        </is>
      </c>
      <c r="E143" s="367" t="inlineStr">
        <is>
          <t>т</t>
        </is>
      </c>
      <c r="F143" s="367" t="n">
        <v>0.0001</v>
      </c>
      <c r="G143" s="211" t="n">
        <v>23500</v>
      </c>
      <c r="H143" s="211">
        <f>ROUND(F143*G143,2)</f>
        <v/>
      </c>
    </row>
    <row r="144" ht="38.25" customHeight="1" s="302">
      <c r="A144" s="208">
        <f>A143+1</f>
        <v/>
      </c>
      <c r="B144" s="213" t="n"/>
      <c r="C144" s="208" t="inlineStr">
        <is>
          <t>08.2.02.11-0007</t>
        </is>
      </c>
      <c r="D144" s="20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67" t="inlineStr">
        <is>
          <t>10 м</t>
        </is>
      </c>
      <c r="F144" s="367" t="n">
        <v>0.03225</v>
      </c>
      <c r="G144" s="211" t="n">
        <v>50.24</v>
      </c>
      <c r="H144" s="211">
        <f>ROUND(F144*G144,2)</f>
        <v/>
      </c>
    </row>
    <row r="145" s="302">
      <c r="A145" s="208">
        <f>A144+1</f>
        <v/>
      </c>
      <c r="B145" s="213" t="n"/>
      <c r="C145" s="208" t="inlineStr">
        <is>
          <t>14.4.03.03-0002</t>
        </is>
      </c>
      <c r="D145" s="209" t="inlineStr">
        <is>
          <t>Лак битумный БТ-123</t>
        </is>
      </c>
      <c r="E145" s="367" t="inlineStr">
        <is>
          <t>т</t>
        </is>
      </c>
      <c r="F145" s="367" t="n">
        <v>0.00015</v>
      </c>
      <c r="G145" s="211" t="n">
        <v>7826.9</v>
      </c>
      <c r="H145" s="211">
        <f>ROUND(F145*G145,2)</f>
        <v/>
      </c>
    </row>
    <row r="146" s="302">
      <c r="A146" s="208">
        <f>A145+1</f>
        <v/>
      </c>
      <c r="B146" s="213" t="n"/>
      <c r="C146" s="208" t="inlineStr">
        <is>
          <t>01.7.17.11-0003</t>
        </is>
      </c>
      <c r="D146" s="209" t="inlineStr">
        <is>
          <t>Бумага шлифовальная</t>
        </is>
      </c>
      <c r="E146" s="367" t="inlineStr">
        <is>
          <t>лист</t>
        </is>
      </c>
      <c r="F146" s="367" t="n">
        <v>0.2</v>
      </c>
      <c r="G146" s="211" t="n">
        <v>3.75</v>
      </c>
      <c r="H146" s="211">
        <f>ROUND(F146*G146,2)</f>
        <v/>
      </c>
    </row>
    <row r="147" s="302">
      <c r="A147" s="208">
        <f>A146+1</f>
        <v/>
      </c>
      <c r="B147" s="213" t="n"/>
      <c r="C147" s="208" t="inlineStr">
        <is>
          <t>01.7.06.07-0001</t>
        </is>
      </c>
      <c r="D147" s="209" t="inlineStr">
        <is>
          <t>Лента К226</t>
        </is>
      </c>
      <c r="E147" s="367" t="inlineStr">
        <is>
          <t>100 м</t>
        </is>
      </c>
      <c r="F147" s="367" t="n">
        <v>0.0048</v>
      </c>
      <c r="G147" s="211" t="n">
        <v>120</v>
      </c>
      <c r="H147" s="211">
        <f>ROUND(F147*G147,2)</f>
        <v/>
      </c>
    </row>
    <row r="148" s="302">
      <c r="A148" s="208">
        <f>A147+1</f>
        <v/>
      </c>
      <c r="B148" s="213" t="n"/>
      <c r="C148" s="208" t="inlineStr">
        <is>
          <t>01.3.01.07-0009</t>
        </is>
      </c>
      <c r="D148" s="209" t="inlineStr">
        <is>
          <t>Спирт этиловый ректификованный технический, сорт I</t>
        </is>
      </c>
      <c r="E148" s="367" t="inlineStr">
        <is>
          <t>кг</t>
        </is>
      </c>
      <c r="F148" s="367" t="n">
        <v>0.0128</v>
      </c>
      <c r="G148" s="211" t="n">
        <v>38.89</v>
      </c>
      <c r="H148" s="211">
        <f>ROUND(F148*G148,2)</f>
        <v/>
      </c>
    </row>
    <row r="149" s="302">
      <c r="A149" s="208">
        <f>A148+1</f>
        <v/>
      </c>
      <c r="B149" s="213" t="n"/>
      <c r="C149" s="208" t="inlineStr">
        <is>
          <t>02.2.05.04-1777</t>
        </is>
      </c>
      <c r="D149" s="209" t="inlineStr">
        <is>
          <t>Щебень М 800, фракция 20-40 мм, группа 2</t>
        </is>
      </c>
      <c r="E149" s="367" t="inlineStr">
        <is>
          <t>м3</t>
        </is>
      </c>
      <c r="F149" s="367" t="n">
        <v>0.0046</v>
      </c>
      <c r="G149" s="211" t="n">
        <v>108.4</v>
      </c>
      <c r="H149" s="211">
        <f>ROUND(F149*G149,2)</f>
        <v/>
      </c>
    </row>
    <row r="150" s="302">
      <c r="A150" s="208">
        <f>A149+1</f>
        <v/>
      </c>
      <c r="B150" s="213" t="n"/>
      <c r="C150" s="208" t="inlineStr">
        <is>
          <t>01.7.02.09-0002</t>
        </is>
      </c>
      <c r="D150" s="209" t="inlineStr">
        <is>
          <t>Шпагат бумажный</t>
        </is>
      </c>
      <c r="E150" s="367" t="inlineStr">
        <is>
          <t>кг</t>
        </is>
      </c>
      <c r="F150" s="367" t="n">
        <v>0.04</v>
      </c>
      <c r="G150" s="211" t="n">
        <v>11.5</v>
      </c>
      <c r="H150" s="211">
        <f>ROUND(F150*G150,2)</f>
        <v/>
      </c>
    </row>
    <row r="151" s="302">
      <c r="A151" s="208">
        <f>A150+1</f>
        <v/>
      </c>
      <c r="B151" s="213" t="n"/>
      <c r="C151" s="208" t="inlineStr">
        <is>
          <t>02.3.01.02-1012</t>
        </is>
      </c>
      <c r="D151" s="209" t="inlineStr">
        <is>
          <t>Песок природный II класс, средний, круглые сита</t>
        </is>
      </c>
      <c r="E151" s="367" t="inlineStr">
        <is>
          <t>м3</t>
        </is>
      </c>
      <c r="F151" s="367" t="n">
        <v>0.00765</v>
      </c>
      <c r="G151" s="211" t="n">
        <v>59.99</v>
      </c>
      <c r="H151" s="211">
        <f>ROUND(F151*G151,2)</f>
        <v/>
      </c>
    </row>
    <row r="152" ht="25.5" customHeight="1" s="302">
      <c r="A152" s="208">
        <f>A151+1</f>
        <v/>
      </c>
      <c r="B152" s="213" t="n"/>
      <c r="C152" s="208" t="inlineStr">
        <is>
          <t>08.3.03.06-0002</t>
        </is>
      </c>
      <c r="D152" s="209" t="inlineStr">
        <is>
          <t>Проволока горячекатаная в мотках, диаметр 6,3-6,5 мм</t>
        </is>
      </c>
      <c r="E152" s="367" t="inlineStr">
        <is>
          <t>т</t>
        </is>
      </c>
      <c r="F152" s="367" t="n">
        <v>5e-05</v>
      </c>
      <c r="G152" s="211" t="n">
        <v>4455.2</v>
      </c>
      <c r="H152" s="211">
        <f>ROUND(F152*G152,2)</f>
        <v/>
      </c>
    </row>
    <row r="155">
      <c r="B155" s="301" t="inlineStr">
        <is>
          <t>Составил ______________________        А.Р. Маркова</t>
        </is>
      </c>
      <c r="C155" s="299" t="n"/>
    </row>
    <row r="156">
      <c r="B156" s="298" t="inlineStr">
        <is>
          <t xml:space="preserve">                         (подпись, инициалы, фамилия)</t>
        </is>
      </c>
      <c r="C156" s="299" t="n"/>
    </row>
    <row r="157">
      <c r="B157" s="301" t="n"/>
      <c r="C157" s="299" t="n"/>
    </row>
    <row r="158">
      <c r="B158" s="301" t="inlineStr">
        <is>
          <t>Проверил ______________________        А.В. Костянецкая</t>
        </is>
      </c>
      <c r="C158" s="299" t="n"/>
    </row>
    <row r="159">
      <c r="B159" s="298" t="inlineStr">
        <is>
          <t xml:space="preserve">                        (подпись, инициалы, фамилия)</t>
        </is>
      </c>
      <c r="C159" s="299" t="n"/>
    </row>
  </sheetData>
  <mergeCells count="16">
    <mergeCell ref="C9:C10"/>
    <mergeCell ref="B9:B10"/>
    <mergeCell ref="A3:H3"/>
    <mergeCell ref="E9:E10"/>
    <mergeCell ref="D9:D10"/>
    <mergeCell ref="A12:E12"/>
    <mergeCell ref="F9:F10"/>
    <mergeCell ref="A7:H7"/>
    <mergeCell ref="A9:A10"/>
    <mergeCell ref="A62:E62"/>
    <mergeCell ref="A2:H2"/>
    <mergeCell ref="A25:E25"/>
    <mergeCell ref="A71:E71"/>
    <mergeCell ref="C4:H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A1:L51"/>
  <sheetViews>
    <sheetView view="pageBreakPreview" topLeftCell="A37" workbookViewId="0">
      <selection activeCell="D46" sqref="D46"/>
    </sheetView>
  </sheetViews>
  <sheetFormatPr baseColWidth="8" defaultColWidth="9.140625" defaultRowHeight="15"/>
  <cols>
    <col width="4.140625" customWidth="1" style="302" min="1" max="1"/>
    <col width="36.28515625" customWidth="1" style="302" min="2" max="2"/>
    <col width="18.85546875" customWidth="1" style="302" min="3" max="3"/>
    <col width="18.28515625" customWidth="1" style="302" min="4" max="4"/>
    <col width="18.85546875" customWidth="1" style="302" min="5" max="5"/>
    <col width="9.140625" customWidth="1" style="302" min="6" max="6"/>
    <col width="12.85546875" customWidth="1" style="302" min="7" max="7"/>
    <col width="9.140625" customWidth="1" style="302" min="8" max="11"/>
    <col width="13.5703125" customWidth="1" style="302" min="12" max="12"/>
    <col width="9.140625" customWidth="1" style="302" min="13" max="13"/>
  </cols>
  <sheetData>
    <row r="1">
      <c r="B1" s="301" t="n"/>
      <c r="C1" s="301" t="n"/>
      <c r="D1" s="301" t="n"/>
      <c r="E1" s="301" t="n"/>
    </row>
    <row r="2">
      <c r="B2" s="301" t="n"/>
      <c r="C2" s="301" t="n"/>
      <c r="D2" s="301" t="n"/>
      <c r="E2" s="366" t="inlineStr">
        <is>
          <t>Приложение № 4</t>
        </is>
      </c>
    </row>
    <row r="3">
      <c r="B3" s="301" t="n"/>
      <c r="C3" s="301" t="n"/>
      <c r="D3" s="301" t="n"/>
      <c r="E3" s="301" t="n"/>
    </row>
    <row r="4">
      <c r="B4" s="301" t="n"/>
      <c r="C4" s="301" t="n"/>
      <c r="D4" s="301" t="n"/>
      <c r="E4" s="301" t="n"/>
    </row>
    <row r="5">
      <c r="B5" s="319" t="inlineStr">
        <is>
          <t>Ресурсная модель</t>
        </is>
      </c>
    </row>
    <row r="6">
      <c r="A6" s="343" t="n"/>
      <c r="E6" s="319" t="n"/>
    </row>
    <row r="7">
      <c r="B7" s="176" t="n"/>
      <c r="C7" s="301" t="n"/>
      <c r="D7" s="301" t="n"/>
      <c r="E7" s="301" t="n"/>
    </row>
    <row r="8">
      <c r="B8" s="342" t="inlineStr">
        <is>
          <t>Наименование разрабатываемой расценки УНЦ — Демонтаж ячейки выключателя НУ 220кВ</t>
        </is>
      </c>
    </row>
    <row r="9">
      <c r="B9" s="342" t="inlineStr">
        <is>
          <t>Единица измерения  — 1 ячейка</t>
        </is>
      </c>
    </row>
    <row r="10">
      <c r="B10" s="176" t="n"/>
      <c r="C10" s="301" t="n"/>
      <c r="D10" s="301" t="n"/>
      <c r="E10" s="301" t="n"/>
    </row>
    <row r="11" ht="51" customHeight="1" s="302">
      <c r="B11" s="345" t="inlineStr">
        <is>
          <t>Наименование</t>
        </is>
      </c>
      <c r="C11" s="345" t="inlineStr">
        <is>
          <t>Сметная стоимость в ценах на 01.01.2023
 (руб.)</t>
        </is>
      </c>
      <c r="D11" s="345" t="inlineStr">
        <is>
          <t>Удельный вес, 
(в СМР)</t>
        </is>
      </c>
      <c r="E11" s="345" t="inlineStr">
        <is>
          <t>Удельный вес, % 
(от всего по РМ)</t>
        </is>
      </c>
    </row>
    <row r="12">
      <c r="B12" s="227" t="inlineStr">
        <is>
          <t>Оплата труда рабочих</t>
        </is>
      </c>
      <c r="C12" s="293">
        <f>'Прил.5 Расчет СМР и ОБ'!J15</f>
        <v/>
      </c>
      <c r="D12" s="229">
        <f>C12/$C$25</f>
        <v/>
      </c>
      <c r="E12" s="229">
        <f>C12/$C$41</f>
        <v/>
      </c>
    </row>
    <row r="13">
      <c r="B13" s="227" t="inlineStr">
        <is>
          <t>Эксплуатация машин основных</t>
        </is>
      </c>
      <c r="C13" s="293">
        <f>'Прил.5 Расчет СМР и ОБ'!J30</f>
        <v/>
      </c>
      <c r="D13" s="229">
        <f>C13/$C$25</f>
        <v/>
      </c>
      <c r="E13" s="229">
        <f>C13/$C$41</f>
        <v/>
      </c>
    </row>
    <row r="14">
      <c r="B14" s="227" t="inlineStr">
        <is>
          <t>Эксплуатация машин прочих</t>
        </is>
      </c>
      <c r="C14" s="293">
        <f>'Прил.5 Расчет СМР и ОБ'!J58</f>
        <v/>
      </c>
      <c r="D14" s="229">
        <f>C14/$C$25</f>
        <v/>
      </c>
      <c r="E14" s="229">
        <f>C14/$C$41</f>
        <v/>
      </c>
    </row>
    <row r="15">
      <c r="B15" s="227" t="inlineStr">
        <is>
          <t>ЭКСПЛУАТАЦИЯ МАШИН, ВСЕГО:</t>
        </is>
      </c>
      <c r="C15" s="293">
        <f>C14+C13</f>
        <v/>
      </c>
      <c r="D15" s="229">
        <f>C15/$C$25</f>
        <v/>
      </c>
      <c r="E15" s="229">
        <f>C15/$C$41</f>
        <v/>
      </c>
    </row>
    <row r="16">
      <c r="B16" s="227" t="inlineStr">
        <is>
          <t>в том числе зарплата машинистов</t>
        </is>
      </c>
      <c r="C16" s="293">
        <f>'Прил.5 Расчет СМР и ОБ'!J18</f>
        <v/>
      </c>
      <c r="D16" s="229">
        <f>C16/$C$25</f>
        <v/>
      </c>
      <c r="E16" s="229">
        <f>C16/$C$41</f>
        <v/>
      </c>
    </row>
    <row r="17">
      <c r="B17" s="227" t="inlineStr">
        <is>
          <t>Материалы основные</t>
        </is>
      </c>
      <c r="C17" s="293">
        <f>'Прил.5 Расчет СМР и ОБ'!J69</f>
        <v/>
      </c>
      <c r="D17" s="229">
        <f>C17/$C$25</f>
        <v/>
      </c>
      <c r="E17" s="229">
        <f>C17/$C$41</f>
        <v/>
      </c>
    </row>
    <row r="18">
      <c r="B18" s="227" t="inlineStr">
        <is>
          <t>Материалы прочие</t>
        </is>
      </c>
      <c r="C18" s="293">
        <f>'Прил.5 Расчет СМР и ОБ'!J70</f>
        <v/>
      </c>
      <c r="D18" s="229">
        <f>C18/$C$25</f>
        <v/>
      </c>
      <c r="E18" s="229">
        <f>C18/$C$41</f>
        <v/>
      </c>
      <c r="G18" s="427" t="n"/>
    </row>
    <row r="19">
      <c r="B19" s="227" t="inlineStr">
        <is>
          <t>МАТЕРИАЛЫ, ВСЕГО:</t>
        </is>
      </c>
      <c r="C19" s="293">
        <f>C18+C17</f>
        <v/>
      </c>
      <c r="D19" s="229">
        <f>C19/$C$25</f>
        <v/>
      </c>
      <c r="E19" s="229">
        <f>C19/$C$41</f>
        <v/>
      </c>
    </row>
    <row r="20">
      <c r="B20" s="227" t="inlineStr">
        <is>
          <t>ИТОГО</t>
        </is>
      </c>
      <c r="C20" s="293">
        <f>C19+C15+C12</f>
        <v/>
      </c>
      <c r="D20" s="229" t="n"/>
      <c r="E20" s="227" t="n"/>
    </row>
    <row r="21">
      <c r="B21" s="227" t="inlineStr">
        <is>
          <t>Сметная прибыль, руб.</t>
        </is>
      </c>
      <c r="C21" s="284">
        <f>'Прил.5 Расчет СМР и ОБ'!J77</f>
        <v/>
      </c>
      <c r="D21" s="229">
        <f>C21/$C$25</f>
        <v/>
      </c>
      <c r="E21" s="229">
        <f>C21/$C$41</f>
        <v/>
      </c>
    </row>
    <row r="22">
      <c r="B22" s="227" t="inlineStr">
        <is>
          <t>Сметная прибыль, %</t>
        </is>
      </c>
      <c r="C22" s="230">
        <f>'Прил.5 Расчет СМР и ОБ'!D76</f>
        <v/>
      </c>
      <c r="D22" s="229" t="n"/>
      <c r="E22" s="227" t="n"/>
    </row>
    <row r="23">
      <c r="B23" s="227" t="inlineStr">
        <is>
          <t>Накладные расходы, руб.</t>
        </is>
      </c>
      <c r="C23" s="293">
        <f>'Прил.5 Расчет СМР и ОБ'!J75</f>
        <v/>
      </c>
      <c r="D23" s="229">
        <f>C23/$C$25</f>
        <v/>
      </c>
      <c r="E23" s="229">
        <f>C23/$C$41</f>
        <v/>
      </c>
    </row>
    <row r="24">
      <c r="B24" s="227" t="inlineStr">
        <is>
          <t>Накладные расходы, %</t>
        </is>
      </c>
      <c r="C24" s="230">
        <f>'Прил.5 Расчет СМР и ОБ'!D74</f>
        <v/>
      </c>
      <c r="D24" s="229" t="n"/>
      <c r="E24" s="227" t="n"/>
    </row>
    <row r="25">
      <c r="B25" s="227" t="inlineStr">
        <is>
          <t>ВСЕГО СМР с НР и СП</t>
        </is>
      </c>
      <c r="C25" s="293">
        <f>C20+C21+C23</f>
        <v/>
      </c>
      <c r="D25" s="229">
        <f>C25/$C$25</f>
        <v/>
      </c>
      <c r="E25" s="229">
        <f>C25/$C$41</f>
        <v/>
      </c>
    </row>
    <row r="26" ht="25.5" customHeight="1" s="302">
      <c r="B26" s="227" t="inlineStr">
        <is>
          <t>ВСЕГО стоимость оборудования, в том числе</t>
        </is>
      </c>
      <c r="C26" s="293">
        <f>'Прил.5 Расчет СМР и ОБ'!J66</f>
        <v/>
      </c>
      <c r="D26" s="229" t="n"/>
      <c r="E26" s="229">
        <f>C26/$C$41</f>
        <v/>
      </c>
    </row>
    <row r="27" ht="25.5" customHeight="1" s="302">
      <c r="B27" s="227" t="inlineStr">
        <is>
          <t>стоимость оборудования технологического</t>
        </is>
      </c>
      <c r="C27" s="293">
        <f>C26</f>
        <v/>
      </c>
      <c r="D27" s="229" t="n"/>
      <c r="E27" s="229">
        <f>C27/$C$41</f>
        <v/>
      </c>
    </row>
    <row r="28">
      <c r="B28" s="227" t="inlineStr">
        <is>
          <t>ИТОГО (СМР + ОБОРУДОВАНИЕ)</t>
        </is>
      </c>
      <c r="C28" s="231">
        <f>C25+C26</f>
        <v/>
      </c>
      <c r="D28" s="229" t="n"/>
      <c r="E28" s="229">
        <f>C28/$C$41</f>
        <v/>
      </c>
    </row>
    <row r="29" ht="33" customHeight="1" s="302">
      <c r="B29" s="227" t="inlineStr">
        <is>
          <t>ПРОЧ. ЗАТР., УЧТЕННЫЕ ПОКАЗАТЕЛЕМ,  в том числе</t>
        </is>
      </c>
      <c r="C29" s="227" t="n"/>
      <c r="D29" s="227" t="n"/>
      <c r="E29" s="227" t="n"/>
    </row>
    <row r="30" ht="25.5" customHeight="1" s="302">
      <c r="B30" s="227" t="inlineStr">
        <is>
          <t>Временные здания и сооружения - 3,9%</t>
        </is>
      </c>
      <c r="C30" s="231">
        <f>ROUND(C25*3.9%,2)</f>
        <v/>
      </c>
      <c r="D30" s="227" t="n"/>
      <c r="E30" s="229">
        <f>C30/$C$41</f>
        <v/>
      </c>
    </row>
    <row r="31" ht="38.25" customHeight="1" s="302">
      <c r="B31" s="227" t="inlineStr">
        <is>
          <t>Дополнительные затраты при производстве строительно-монтажных работ в зимнее время - 2,1%</t>
        </is>
      </c>
      <c r="C31" s="231">
        <f>ROUND((C25+C30)*2.1%,2)</f>
        <v/>
      </c>
      <c r="D31" s="227" t="n"/>
      <c r="E31" s="229">
        <f>C31/$C$41</f>
        <v/>
      </c>
    </row>
    <row r="32" ht="25.5" customHeight="1" s="302">
      <c r="B32" s="227" t="inlineStr">
        <is>
          <t>Пусконаладочные работы (по данным расчетов ОП)</t>
        </is>
      </c>
      <c r="C32" s="231" t="n">
        <v>0</v>
      </c>
      <c r="D32" s="227" t="n"/>
      <c r="E32" s="229">
        <f>C32/$C$41</f>
        <v/>
      </c>
    </row>
    <row r="33" ht="25.5" customHeight="1" s="302">
      <c r="B33" s="227" t="inlineStr">
        <is>
          <t>Затраты по перевозке работников к месту работы и обратно</t>
        </is>
      </c>
      <c r="C33" s="231">
        <f>ROUND($C$28*0%,2)</f>
        <v/>
      </c>
      <c r="D33" s="227" t="n"/>
      <c r="E33" s="229">
        <f>C33/$C$41</f>
        <v/>
      </c>
    </row>
    <row r="34" ht="25.5" customHeight="1" s="302">
      <c r="B34" s="227" t="inlineStr">
        <is>
          <t>Затраты, связанные с осуществлением работ вахтовым методом</t>
        </is>
      </c>
      <c r="C34" s="231">
        <f>ROUND($C$28*0%,2)</f>
        <v/>
      </c>
      <c r="D34" s="227" t="n"/>
      <c r="E34" s="229">
        <f>C34/$C$41</f>
        <v/>
      </c>
    </row>
    <row r="35" ht="51" customHeight="1" s="302">
      <c r="B35" s="22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5" s="231">
        <f>ROUND($C$28*0%,2)</f>
        <v/>
      </c>
      <c r="D35" s="227" t="n"/>
      <c r="E35" s="229">
        <f>C35/$C$41</f>
        <v/>
      </c>
    </row>
    <row r="36" ht="76.5" customHeight="1" s="302">
      <c r="B36" s="22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6" s="231">
        <f>ROUND($C$28*0%,2)</f>
        <v/>
      </c>
      <c r="D36" s="227" t="n"/>
      <c r="E36" s="229">
        <f>C36/$C$41</f>
        <v/>
      </c>
    </row>
    <row r="37" ht="25.5" customHeight="1" s="302">
      <c r="B37" s="227" t="inlineStr">
        <is>
          <t>Строительный контроль и содержание службы заказчика - 2,14%</t>
        </is>
      </c>
      <c r="C37" s="273">
        <f>ROUND((C28+C33+C34+C35+C36+C30+C32+C31)*2.14%,2)</f>
        <v/>
      </c>
      <c r="D37" s="227" t="n"/>
      <c r="E37" s="229">
        <f>C37/$C$41</f>
        <v/>
      </c>
      <c r="G37" s="286" t="n"/>
      <c r="L37" s="178" t="n"/>
    </row>
    <row r="38">
      <c r="B38" s="227" t="inlineStr">
        <is>
          <t>Авторский надзор - 0,2%</t>
        </is>
      </c>
      <c r="C38" s="273">
        <f>ROUND((C28+C33+C34+C35+C36+C30+C32+C31)*0.2%,2)</f>
        <v/>
      </c>
      <c r="D38" s="227" t="n"/>
      <c r="E38" s="229">
        <f>C38/$C$41</f>
        <v/>
      </c>
      <c r="G38" s="286" t="n"/>
      <c r="L38" s="178" t="n"/>
    </row>
    <row r="39" ht="38.25" customHeight="1" s="302">
      <c r="B39" s="227" t="inlineStr">
        <is>
          <t>ИТОГО (СМР+ОБОРУДОВАНИЕ+ПРОЧ. ЗАТР., УЧТЕННЫЕ ПОКАЗАТЕЛЕМ)</t>
        </is>
      </c>
      <c r="C39" s="274">
        <f>C28+C33+C34+C35+C36+C30+C32+C31+C37+C38</f>
        <v/>
      </c>
      <c r="D39" s="227" t="n"/>
      <c r="E39" s="229">
        <f>C39/$C$41</f>
        <v/>
      </c>
    </row>
    <row r="40" ht="13.5" customHeight="1" s="302">
      <c r="B40" s="227" t="inlineStr">
        <is>
          <t>Непредвиденные расходы</t>
        </is>
      </c>
      <c r="C40" s="293">
        <f>ROUND(C39*3%,2)</f>
        <v/>
      </c>
      <c r="D40" s="227" t="n"/>
      <c r="E40" s="229">
        <f>C40/$C$39</f>
        <v/>
      </c>
    </row>
    <row r="41">
      <c r="B41" s="227" t="inlineStr">
        <is>
          <t>ВСЕГО:</t>
        </is>
      </c>
      <c r="C41" s="293">
        <f>C40+C39</f>
        <v/>
      </c>
      <c r="D41" s="227" t="n"/>
      <c r="E41" s="229">
        <f>C41/$C$41</f>
        <v/>
      </c>
    </row>
    <row r="42">
      <c r="B42" s="227" t="inlineStr">
        <is>
          <t>ИТОГО ПОКАЗАТЕЛЬ НА ЕД. ИЗМ.</t>
        </is>
      </c>
      <c r="C42" s="293">
        <f>C41/'Прил.5 Расчет СМР и ОБ'!E80</f>
        <v/>
      </c>
      <c r="D42" s="227" t="n"/>
      <c r="E42" s="227" t="n"/>
    </row>
    <row r="43">
      <c r="B43" s="179" t="n"/>
      <c r="C43" s="301" t="n"/>
      <c r="D43" s="301" t="n"/>
      <c r="E43" s="301" t="n"/>
    </row>
    <row r="44">
      <c r="B44" s="179" t="inlineStr">
        <is>
          <t>Составил ____________________________ А.Р. Маркова</t>
        </is>
      </c>
      <c r="C44" s="301" t="n"/>
      <c r="D44" s="301" t="n"/>
      <c r="E44" s="301" t="n"/>
    </row>
    <row r="45">
      <c r="B45" s="179" t="inlineStr">
        <is>
          <t xml:space="preserve">(должность, подпись, инициалы, фамилия) </t>
        </is>
      </c>
      <c r="C45" s="301" t="n"/>
      <c r="D45" s="301" t="n"/>
      <c r="E45" s="301" t="n"/>
    </row>
    <row r="46">
      <c r="B46" s="179" t="n"/>
      <c r="C46" s="301" t="n"/>
      <c r="D46" s="301" t="n"/>
      <c r="E46" s="301" t="n"/>
    </row>
    <row r="47">
      <c r="B47" s="179" t="inlineStr">
        <is>
          <t>Проверил ____________________________ А.В. Костянецкая</t>
        </is>
      </c>
      <c r="C47" s="301" t="n"/>
      <c r="D47" s="301" t="n"/>
      <c r="E47" s="301" t="n"/>
    </row>
    <row r="48">
      <c r="B48" s="342" t="inlineStr">
        <is>
          <t>(должность, подпись, инициалы, фамилия)</t>
        </is>
      </c>
      <c r="D48" s="301" t="n"/>
      <c r="E48" s="301" t="n"/>
    </row>
    <row r="50">
      <c r="B50" s="301" t="n"/>
      <c r="C50" s="301" t="n"/>
      <c r="D50" s="301" t="n"/>
      <c r="E50" s="301" t="n"/>
    </row>
    <row r="51">
      <c r="B51" s="301" t="n"/>
      <c r="C51" s="301" t="n"/>
      <c r="D51" s="301" t="n"/>
      <c r="E51" s="301" t="n"/>
    </row>
  </sheetData>
  <mergeCells count="5">
    <mergeCell ref="B9:E9"/>
    <mergeCell ref="B48:C48"/>
    <mergeCell ref="B8:E8"/>
    <mergeCell ref="A6:D6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2:N86"/>
  <sheetViews>
    <sheetView view="pageBreakPreview" topLeftCell="A75" zoomScaleSheetLayoutView="100" workbookViewId="0">
      <selection activeCell="F89" sqref="F89"/>
    </sheetView>
  </sheetViews>
  <sheetFormatPr baseColWidth="8" defaultColWidth="9.140625" defaultRowHeight="15" outlineLevelRow="1"/>
  <cols>
    <col width="5.7109375" customWidth="1" style="299" min="1" max="1"/>
    <col width="22.5703125" customWidth="1" style="299" min="2" max="2"/>
    <col width="39.140625" customWidth="1" style="299" min="3" max="3"/>
    <col width="10.7109375" customWidth="1" style="299" min="4" max="4"/>
    <col width="12.7109375" customWidth="1" style="299" min="5" max="5"/>
    <col width="14.5703125" customWidth="1" style="299" min="6" max="6"/>
    <col width="13.42578125" customWidth="1" style="299" min="7" max="7"/>
    <col width="12.7109375" customWidth="1" style="299" min="8" max="8"/>
    <col width="14.5703125" customWidth="1" style="299" min="9" max="9"/>
    <col width="15.140625" customWidth="1" style="299" min="10" max="10"/>
    <col width="22.42578125" customWidth="1" style="299" min="11" max="11"/>
    <col width="16.28515625" customWidth="1" style="299" min="12" max="12"/>
    <col width="10.85546875" customWidth="1" style="299" min="13" max="13"/>
    <col width="9.140625" customWidth="1" style="299" min="14" max="14"/>
    <col width="9.140625" customWidth="1" style="302" min="15" max="15"/>
  </cols>
  <sheetData>
    <row r="2" ht="15.75" customHeight="1" s="302">
      <c r="H2" s="352" t="inlineStr">
        <is>
          <t>Приложение №5</t>
        </is>
      </c>
    </row>
    <row r="4" ht="12.75" customFormat="1" customHeight="1" s="301">
      <c r="A4" s="319" t="inlineStr">
        <is>
          <t>Расчет стоимости СМР и оборудования</t>
        </is>
      </c>
      <c r="I4" s="319" t="n"/>
      <c r="J4" s="319" t="n"/>
    </row>
    <row r="5" ht="19.5" customFormat="1" customHeight="1" s="301">
      <c r="A5" s="359" t="n"/>
    </row>
    <row r="6" ht="12.75" customFormat="1" customHeight="1" s="301">
      <c r="A6" s="235" t="n"/>
      <c r="B6" s="236" t="inlineStr">
        <is>
          <t xml:space="preserve">Наименование разрабатываемого показателя УНЦ </t>
        </is>
      </c>
      <c r="C6" s="319" t="n"/>
      <c r="D6" s="361" t="inlineStr">
        <is>
          <t>Демонтаж ячейки выключателя НУ 220кВ</t>
        </is>
      </c>
    </row>
    <row r="7" ht="12.75" customFormat="1" customHeight="1" s="301">
      <c r="A7" s="235" t="n"/>
      <c r="B7" s="235" t="n"/>
      <c r="C7" s="235" t="n"/>
      <c r="D7" s="235" t="n"/>
      <c r="E7" s="235" t="n"/>
      <c r="F7" s="235" t="n"/>
      <c r="G7" s="235" t="n"/>
      <c r="H7" s="235" t="n"/>
      <c r="I7" s="198" t="n"/>
      <c r="J7" s="198" t="n"/>
    </row>
    <row r="8" ht="12.75" customFormat="1" customHeight="1" s="301">
      <c r="A8" s="322" t="inlineStr">
        <is>
          <t>Единица измерения  — 1 ячейка</t>
        </is>
      </c>
      <c r="I8" s="353" t="n"/>
      <c r="J8" s="353" t="n"/>
    </row>
    <row r="9" ht="27" customHeight="1" s="302">
      <c r="A9" s="345" t="inlineStr">
        <is>
          <t>№ пп.</t>
        </is>
      </c>
      <c r="B9" s="345" t="inlineStr">
        <is>
          <t>Код ресурса</t>
        </is>
      </c>
      <c r="C9" s="345" t="inlineStr">
        <is>
          <t>Наименование</t>
        </is>
      </c>
      <c r="D9" s="345" t="inlineStr">
        <is>
          <t>Ед. изм.</t>
        </is>
      </c>
      <c r="E9" s="345" t="inlineStr">
        <is>
          <t>Кол-во единиц по проектным данным</t>
        </is>
      </c>
      <c r="F9" s="345" t="inlineStr">
        <is>
          <t>Сметная стоимость в ценах на 01.01.2000 (руб.)</t>
        </is>
      </c>
      <c r="G9" s="421" t="n"/>
      <c r="H9" s="345" t="inlineStr">
        <is>
          <t>Удельный вес, %</t>
        </is>
      </c>
      <c r="I9" s="345" t="inlineStr">
        <is>
          <t>Сметная стоимость в ценах на 01.01.2023 (руб.)</t>
        </is>
      </c>
      <c r="J9" s="421" t="n"/>
    </row>
    <row r="10" ht="18.75" customHeight="1" s="302">
      <c r="A10" s="423" t="n"/>
      <c r="B10" s="423" t="n"/>
      <c r="C10" s="423" t="n"/>
      <c r="D10" s="423" t="n"/>
      <c r="E10" s="423" t="n"/>
      <c r="F10" s="345" t="inlineStr">
        <is>
          <t>на ед. изм.</t>
        </is>
      </c>
      <c r="G10" s="345" t="inlineStr">
        <is>
          <t>общая</t>
        </is>
      </c>
      <c r="H10" s="423" t="n"/>
      <c r="I10" s="345" t="inlineStr">
        <is>
          <t>на ед. изм.</t>
        </is>
      </c>
      <c r="J10" s="345" t="inlineStr">
        <is>
          <t>общая</t>
        </is>
      </c>
    </row>
    <row r="11">
      <c r="A11" s="345" t="n">
        <v>1</v>
      </c>
      <c r="B11" s="345" t="n">
        <v>2</v>
      </c>
      <c r="C11" s="345" t="n">
        <v>3</v>
      </c>
      <c r="D11" s="345" t="n">
        <v>4</v>
      </c>
      <c r="E11" s="345" t="n">
        <v>5</v>
      </c>
      <c r="F11" s="345" t="n">
        <v>6</v>
      </c>
      <c r="G11" s="345" t="n">
        <v>7</v>
      </c>
      <c r="H11" s="345" t="n">
        <v>8</v>
      </c>
      <c r="I11" s="345" t="n">
        <v>9</v>
      </c>
      <c r="J11" s="345" t="n">
        <v>10</v>
      </c>
    </row>
    <row r="12">
      <c r="A12" s="345" t="n"/>
      <c r="B12" s="337" t="inlineStr">
        <is>
          <t>Затраты труда рабочих-строителей</t>
        </is>
      </c>
      <c r="C12" s="420" t="n"/>
      <c r="D12" s="420" t="n"/>
      <c r="E12" s="420" t="n"/>
      <c r="F12" s="420" t="n"/>
      <c r="G12" s="420" t="n"/>
      <c r="H12" s="421" t="n"/>
      <c r="I12" s="242" t="n"/>
      <c r="J12" s="242" t="n"/>
    </row>
    <row r="13" ht="25.5" customHeight="1" s="302">
      <c r="A13" s="345" t="n">
        <v>1</v>
      </c>
      <c r="B13" s="168" t="inlineStr">
        <is>
          <t>1-4-4</t>
        </is>
      </c>
      <c r="C13" s="209" t="inlineStr">
        <is>
          <t>Затраты труда рабочих (средний разряд работы 4,4)</t>
        </is>
      </c>
      <c r="D13" s="345" t="inlineStr">
        <is>
          <t>чел.-ч.</t>
        </is>
      </c>
      <c r="E13" s="428" t="n">
        <v>41371.73055</v>
      </c>
      <c r="F13" s="266">
        <f>ROUND(I13/44.29,2)</f>
        <v/>
      </c>
      <c r="G13" s="266">
        <f>ROUND(F13*E13,2)</f>
        <v/>
      </c>
      <c r="H13" s="348">
        <f>G13/G14</f>
        <v/>
      </c>
      <c r="I13" s="266">
        <f>'ФОТр.тек.'!E13</f>
        <v/>
      </c>
      <c r="J13" s="266">
        <f>ROUND(I13*E13,2)</f>
        <v/>
      </c>
    </row>
    <row r="14" ht="25.5" customFormat="1" customHeight="1" s="299">
      <c r="A14" s="345" t="n"/>
      <c r="B14" s="345" t="n"/>
      <c r="C14" s="337" t="inlineStr">
        <is>
          <t>Итого по разделу "Затраты труда рабочих-строителей"</t>
        </is>
      </c>
      <c r="D14" s="345" t="inlineStr">
        <is>
          <t>чел.-ч.</t>
        </is>
      </c>
      <c r="E14" s="428" t="n">
        <v>41371.730546033</v>
      </c>
      <c r="F14" s="266" t="n"/>
      <c r="G14" s="266">
        <f>SUM(G13:G13)</f>
        <v/>
      </c>
      <c r="H14" s="348" t="n">
        <v>1</v>
      </c>
      <c r="I14" s="266" t="n"/>
      <c r="J14" s="266">
        <f>SUM(J13:J13)</f>
        <v/>
      </c>
      <c r="K14" s="429" t="n"/>
    </row>
    <row r="15" ht="40.15" customFormat="1" customHeight="1" s="299">
      <c r="A15" s="345" t="n"/>
      <c r="B15" s="345" t="n"/>
      <c r="C15" s="337" t="inlineStr">
        <is>
          <t>Итого по разделу "Затраты труда рабочих-строителей" 
(с коэффициентом на демонтаж 0,7)</t>
        </is>
      </c>
      <c r="D15" s="345" t="n"/>
      <c r="E15" s="428" t="n"/>
      <c r="F15" s="266" t="n"/>
      <c r="G15" s="266">
        <f>G14*0.7</f>
        <v/>
      </c>
      <c r="H15" s="360" t="n">
        <v>1</v>
      </c>
      <c r="I15" s="262" t="n"/>
      <c r="J15" s="266">
        <f>J14*0.7</f>
        <v/>
      </c>
      <c r="K15" s="429" t="n"/>
    </row>
    <row r="16" ht="14.25" customFormat="1" customHeight="1" s="299">
      <c r="A16" s="345" t="n"/>
      <c r="B16" s="344" t="inlineStr">
        <is>
          <t>Затраты труда машинистов</t>
        </is>
      </c>
      <c r="C16" s="420" t="n"/>
      <c r="D16" s="420" t="n"/>
      <c r="E16" s="420" t="n"/>
      <c r="F16" s="420" t="n"/>
      <c r="G16" s="420" t="n"/>
      <c r="H16" s="421" t="n"/>
      <c r="I16" s="242" t="n"/>
      <c r="J16" s="242" t="n"/>
    </row>
    <row r="17" ht="15.75" customFormat="1" customHeight="1" s="299">
      <c r="A17" s="345" t="n">
        <v>2</v>
      </c>
      <c r="B17" s="345" t="n">
        <v>2</v>
      </c>
      <c r="C17" s="344" t="inlineStr">
        <is>
          <t>Затраты труда машинистов</t>
        </is>
      </c>
      <c r="D17" s="345" t="inlineStr">
        <is>
          <t>чел.-ч.</t>
        </is>
      </c>
      <c r="E17" s="428" t="n">
        <v>19231.0575</v>
      </c>
      <c r="F17" s="430">
        <f>G17/E17</f>
        <v/>
      </c>
      <c r="G17" s="266">
        <f>Прил.3!H26</f>
        <v/>
      </c>
      <c r="H17" s="348" t="n">
        <v>1</v>
      </c>
      <c r="I17" s="430">
        <f>ROUND(F17*Прил.10!D11,2)</f>
        <v/>
      </c>
      <c r="J17" s="266">
        <f>ROUND(I17*E17,2)</f>
        <v/>
      </c>
      <c r="K17" s="431" t="n"/>
    </row>
    <row r="18" ht="28.15" customFormat="1" customHeight="1" s="299">
      <c r="A18" s="345" t="n"/>
      <c r="B18" s="345" t="n"/>
      <c r="C18" s="344" t="inlineStr">
        <is>
          <t>Затраты труда машинистов 
(с коэффициентом на демонтаж 0,7)</t>
        </is>
      </c>
      <c r="D18" s="345" t="n"/>
      <c r="E18" s="428" t="n"/>
      <c r="F18" s="266" t="n"/>
      <c r="G18" s="266">
        <f>G17*0.7</f>
        <v/>
      </c>
      <c r="H18" s="360" t="n">
        <v>1</v>
      </c>
      <c r="I18" s="266" t="n"/>
      <c r="J18" s="266">
        <f>J17*0.7</f>
        <v/>
      </c>
      <c r="K18" s="431" t="n"/>
    </row>
    <row r="19" ht="14.25" customFormat="1" customHeight="1" s="299">
      <c r="A19" s="345" t="n"/>
      <c r="B19" s="337" t="inlineStr">
        <is>
          <t>Машины и механизмы</t>
        </is>
      </c>
      <c r="C19" s="420" t="n"/>
      <c r="D19" s="420" t="n"/>
      <c r="E19" s="420" t="n"/>
      <c r="F19" s="420" t="n"/>
      <c r="G19" s="420" t="n"/>
      <c r="H19" s="421" t="n"/>
      <c r="I19" s="348" t="n"/>
      <c r="J19" s="348" t="n"/>
    </row>
    <row r="20" ht="14.25" customFormat="1" customHeight="1" s="299">
      <c r="A20" s="345" t="n"/>
      <c r="B20" s="344" t="inlineStr">
        <is>
          <t>Основные машины и механизмы</t>
        </is>
      </c>
      <c r="C20" s="420" t="n"/>
      <c r="D20" s="420" t="n"/>
      <c r="E20" s="420" t="n"/>
      <c r="F20" s="420" t="n"/>
      <c r="G20" s="420" t="n"/>
      <c r="H20" s="421" t="n"/>
      <c r="I20" s="242" t="n"/>
      <c r="J20" s="242" t="n"/>
    </row>
    <row r="21" ht="14.25" customFormat="1" customHeight="1" s="299">
      <c r="A21" s="345">
        <f>A17+1</f>
        <v/>
      </c>
      <c r="B21" s="168" t="inlineStr">
        <is>
          <t>91.21.22-447</t>
        </is>
      </c>
      <c r="C21" s="344" t="inlineStr">
        <is>
          <t>Установки электрометаллизационные</t>
        </is>
      </c>
      <c r="D21" s="367" t="inlineStr">
        <is>
          <t>маш.час</t>
        </is>
      </c>
      <c r="E21" s="428" t="n">
        <v>5615.9031</v>
      </c>
      <c r="F21" s="365" t="n">
        <v>74.23999999999999</v>
      </c>
      <c r="G21" s="266">
        <f>ROUND(E21*F21,2)</f>
        <v/>
      </c>
      <c r="H21" s="348">
        <f>G21/$G$59</f>
        <v/>
      </c>
      <c r="I21" s="365">
        <f>ROUND(F21*13.47,2)</f>
        <v/>
      </c>
      <c r="J21" s="266">
        <f>ROUND(I21*E21,2)</f>
        <v/>
      </c>
    </row>
    <row r="22" ht="25.5" customFormat="1" customHeight="1" s="299">
      <c r="A22" s="345">
        <f>A21+1</f>
        <v/>
      </c>
      <c r="B22" s="168" t="inlineStr">
        <is>
          <t>91.02.02-003</t>
        </is>
      </c>
      <c r="C22" s="344" t="inlineStr">
        <is>
          <t>Агрегаты копровые без дизель-молота на базе экскаватора с емкостью ковша 1 м3</t>
        </is>
      </c>
      <c r="D22" s="345" t="inlineStr">
        <is>
          <t>маш.час</t>
        </is>
      </c>
      <c r="E22" s="428" t="n">
        <v>1473.9375</v>
      </c>
      <c r="F22" s="365" t="n">
        <v>200.67</v>
      </c>
      <c r="G22" s="266">
        <f>ROUND(E22*F22,2)</f>
        <v/>
      </c>
      <c r="H22" s="348">
        <f>G22/$G$59</f>
        <v/>
      </c>
      <c r="I22" s="365">
        <f>ROUND(F22*13.47,2)</f>
        <v/>
      </c>
      <c r="J22" s="266">
        <f>ROUND(I22*E22,2)</f>
        <v/>
      </c>
    </row>
    <row r="23" ht="25.5" customFormat="1" customHeight="1" s="299">
      <c r="A23" s="345" t="n">
        <v>6</v>
      </c>
      <c r="B23" s="168" t="inlineStr">
        <is>
          <t>91.05.05-014</t>
        </is>
      </c>
      <c r="C23" s="344" t="inlineStr">
        <is>
          <t>Краны на автомобильном ходу, грузоподъемность 10 т</t>
        </is>
      </c>
      <c r="D23" s="345" t="inlineStr">
        <is>
          <t>маш.час</t>
        </is>
      </c>
      <c r="E23" s="428" t="n">
        <v>1822.3875</v>
      </c>
      <c r="F23" s="365" t="n">
        <v>111.99</v>
      </c>
      <c r="G23" s="266">
        <f>ROUND(E23*F23,2)</f>
        <v/>
      </c>
      <c r="H23" s="348">
        <f>G23/$G$59</f>
        <v/>
      </c>
      <c r="I23" s="365">
        <f>ROUND(F23*13.47,2)</f>
        <v/>
      </c>
      <c r="J23" s="266">
        <f>ROUND(I23*E23,2)</f>
        <v/>
      </c>
    </row>
    <row r="24" ht="25.5" customFormat="1" customHeight="1" s="299">
      <c r="A24" s="345" t="n">
        <v>7</v>
      </c>
      <c r="B24" s="168" t="inlineStr">
        <is>
          <t>91.14.02-004</t>
        </is>
      </c>
      <c r="C24" s="344" t="inlineStr">
        <is>
          <t>Автомобили бортовые, грузоподъемность до 15 т</t>
        </is>
      </c>
      <c r="D24" s="345" t="inlineStr">
        <is>
          <t>маш.час</t>
        </is>
      </c>
      <c r="E24" s="428" t="n">
        <v>2146.8889962</v>
      </c>
      <c r="F24" s="365" t="n">
        <v>92.94</v>
      </c>
      <c r="G24" s="266">
        <f>ROUND(E24*F24,2)</f>
        <v/>
      </c>
      <c r="H24" s="348">
        <f>G24/$G$59</f>
        <v/>
      </c>
      <c r="I24" s="365">
        <f>ROUND(F24*13.47,2)</f>
        <v/>
      </c>
      <c r="J24" s="266">
        <f>ROUND(I24*E24,2)</f>
        <v/>
      </c>
    </row>
    <row r="25" ht="51" customFormat="1" customHeight="1" s="299">
      <c r="A25" s="345" t="n">
        <v>8</v>
      </c>
      <c r="B25" s="168" t="inlineStr">
        <is>
          <t>91.04.01-021</t>
        </is>
      </c>
      <c r="C25" s="344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5" s="345" t="inlineStr">
        <is>
          <t>маш.час</t>
        </is>
      </c>
      <c r="E25" s="428" t="n">
        <v>1831.17</v>
      </c>
      <c r="F25" s="365" t="n">
        <v>87.59999999999999</v>
      </c>
      <c r="G25" s="266">
        <f>ROUND(E25*F25,2)</f>
        <v/>
      </c>
      <c r="H25" s="348">
        <f>G25/$G$59</f>
        <v/>
      </c>
      <c r="I25" s="365">
        <f>ROUND(F25*13.47,2)</f>
        <v/>
      </c>
      <c r="J25" s="266">
        <f>ROUND(I25*E25,2)</f>
        <v/>
      </c>
    </row>
    <row r="26" ht="14.25" customFormat="1" customHeight="1" s="299">
      <c r="A26" s="345" t="n">
        <v>9</v>
      </c>
      <c r="B26" s="168" t="inlineStr">
        <is>
          <t>91.02.03-024</t>
        </is>
      </c>
      <c r="C26" s="344" t="inlineStr">
        <is>
          <t>Дизель-молоты 2,5 т</t>
        </is>
      </c>
      <c r="D26" s="345" t="inlineStr">
        <is>
          <t>маш.час</t>
        </is>
      </c>
      <c r="E26" s="428" t="n">
        <v>1473.9375</v>
      </c>
      <c r="F26" s="365" t="n">
        <v>70.67</v>
      </c>
      <c r="G26" s="266">
        <f>ROUND(E26*F26,2)</f>
        <v/>
      </c>
      <c r="H26" s="348">
        <f>G26/$G$59</f>
        <v/>
      </c>
      <c r="I26" s="365">
        <f>ROUND(F26*13.47,2)</f>
        <v/>
      </c>
      <c r="J26" s="266">
        <f>ROUND(I26*E26,2)</f>
        <v/>
      </c>
    </row>
    <row r="27" ht="25.5" customFormat="1" customHeight="1" s="299">
      <c r="A27" s="345" t="n">
        <v>10</v>
      </c>
      <c r="B27" s="168" t="inlineStr">
        <is>
          <t>91.10.05-001</t>
        </is>
      </c>
      <c r="C27" s="344" t="inlineStr">
        <is>
          <t>Трубоукладчики для труб диаметром 800-1000 мм, грузоподъемность 35 т</t>
        </is>
      </c>
      <c r="D27" s="345" t="inlineStr">
        <is>
          <t>маш.час</t>
        </is>
      </c>
      <c r="E27" s="428" t="n">
        <v>390.1575</v>
      </c>
      <c r="F27" s="365" t="n">
        <v>175.35</v>
      </c>
      <c r="G27" s="266">
        <f>ROUND(E27*F27,2)</f>
        <v/>
      </c>
      <c r="H27" s="348">
        <f>G27/$G$59</f>
        <v/>
      </c>
      <c r="I27" s="365">
        <f>ROUND(F27*13.47,2)</f>
        <v/>
      </c>
      <c r="J27" s="266">
        <f>ROUND(I27*E27,2)</f>
        <v/>
      </c>
    </row>
    <row r="28" ht="25.5" customFormat="1" customHeight="1" s="299">
      <c r="A28" s="345" t="n">
        <v>11</v>
      </c>
      <c r="B28" s="168" t="inlineStr">
        <is>
          <t>91.14.02-001</t>
        </is>
      </c>
      <c r="C28" s="344" t="inlineStr">
        <is>
          <t>Автомобили бортовые, грузоподъемность до 5 т</t>
        </is>
      </c>
      <c r="D28" s="345" t="inlineStr">
        <is>
          <t>маш.час</t>
        </is>
      </c>
      <c r="E28" s="428" t="n">
        <v>635.9544</v>
      </c>
      <c r="F28" s="365" t="n">
        <v>87.17</v>
      </c>
      <c r="G28" s="266">
        <f>ROUND(E28*F28,2)</f>
        <v/>
      </c>
      <c r="H28" s="348">
        <f>G28/$G$59</f>
        <v/>
      </c>
      <c r="I28" s="365">
        <f>ROUND(F28*13.47,2)</f>
        <v/>
      </c>
      <c r="J28" s="266">
        <f>ROUND(I28*E28,2)</f>
        <v/>
      </c>
    </row>
    <row r="29" ht="14.25" customFormat="1" customHeight="1" s="299">
      <c r="A29" s="345" t="n"/>
      <c r="B29" s="345" t="n"/>
      <c r="C29" s="344" t="inlineStr">
        <is>
          <t>Итого основные машины и механизмы</t>
        </is>
      </c>
      <c r="D29" s="345" t="n"/>
      <c r="E29" s="432" t="n"/>
      <c r="F29" s="266" t="n"/>
      <c r="G29" s="266">
        <f>SUM(G21:G28)</f>
        <v/>
      </c>
      <c r="H29" s="348">
        <f>G29/G59</f>
        <v/>
      </c>
      <c r="I29" s="266" t="n"/>
      <c r="J29" s="266">
        <f>SUM(J21:J28)</f>
        <v/>
      </c>
      <c r="L29" s="429" t="n"/>
    </row>
    <row r="30" ht="29.45" customFormat="1" customHeight="1" s="299">
      <c r="A30" s="345" t="n"/>
      <c r="B30" s="345" t="n"/>
      <c r="C30" s="344" t="inlineStr">
        <is>
          <t>Итого основные машины и механизмы 
(с коэффициентом на демонтаж 0,7)</t>
        </is>
      </c>
      <c r="D30" s="345" t="n"/>
      <c r="E30" s="428" t="n"/>
      <c r="F30" s="266" t="n"/>
      <c r="G30" s="266">
        <f>G29*0.7</f>
        <v/>
      </c>
      <c r="H30" s="348">
        <f>G30/G60</f>
        <v/>
      </c>
      <c r="I30" s="266" t="n"/>
      <c r="J30" s="266">
        <f>J29*0.7</f>
        <v/>
      </c>
      <c r="L30" s="429" t="n"/>
    </row>
    <row r="31" hidden="1" outlineLevel="1" ht="25.5" customFormat="1" customHeight="1" s="299">
      <c r="A31" s="345" t="n">
        <v>12</v>
      </c>
      <c r="B31" s="168" t="inlineStr">
        <is>
          <t>91.10.01-002</t>
        </is>
      </c>
      <c r="C31" s="344" t="inlineStr">
        <is>
          <t>Агрегаты наполнительно-опрессовочные до 300 м3/ч</t>
        </is>
      </c>
      <c r="D31" s="345" t="inlineStr">
        <is>
          <t>маш.-ч</t>
        </is>
      </c>
      <c r="E31" s="428" t="n">
        <v>188.5725</v>
      </c>
      <c r="F31" s="365" t="n">
        <v>287.99</v>
      </c>
      <c r="G31" s="266">
        <f>ROUND(E31*F31,2)</f>
        <v/>
      </c>
      <c r="H31" s="348">
        <f>G31/$G$59</f>
        <v/>
      </c>
      <c r="I31" s="365">
        <f>ROUND(F31*13.47,2)</f>
        <v/>
      </c>
      <c r="J31" s="266">
        <f>ROUND(I31*E31,2)</f>
        <v/>
      </c>
      <c r="L31" s="429" t="n"/>
    </row>
    <row r="32" hidden="1" outlineLevel="1" ht="25.5" customFormat="1" customHeight="1" s="299">
      <c r="A32" s="345" t="n">
        <v>13</v>
      </c>
      <c r="B32" s="168" t="inlineStr">
        <is>
          <t>91.06.06-014</t>
        </is>
      </c>
      <c r="C32" s="344" t="inlineStr">
        <is>
          <t>Автогидроподъемники, высота подъема 28 м</t>
        </is>
      </c>
      <c r="D32" s="345" t="inlineStr">
        <is>
          <t>маш.-ч</t>
        </is>
      </c>
      <c r="E32" s="428" t="n">
        <v>180.795</v>
      </c>
      <c r="F32" s="365" t="n">
        <v>243.49</v>
      </c>
      <c r="G32" s="266">
        <f>ROUND(E32*F32,2)</f>
        <v/>
      </c>
      <c r="H32" s="348">
        <f>G32/$G$59</f>
        <v/>
      </c>
      <c r="I32" s="365">
        <f>ROUND(F32*13.47,2)</f>
        <v/>
      </c>
      <c r="J32" s="266">
        <f>ROUND(I32*E32,2)</f>
        <v/>
      </c>
      <c r="L32" s="429" t="n"/>
    </row>
    <row r="33" hidden="1" outlineLevel="1" ht="25.5" customFormat="1" customHeight="1" s="299">
      <c r="A33" s="345" t="n">
        <v>14</v>
      </c>
      <c r="B33" s="168" t="inlineStr">
        <is>
          <t>91.06.06-042</t>
        </is>
      </c>
      <c r="C33" s="344" t="inlineStr">
        <is>
          <t>Подъемники гидравлические, высота подъема 10 м</t>
        </is>
      </c>
      <c r="D33" s="345" t="inlineStr">
        <is>
          <t>маш.-ч</t>
        </is>
      </c>
      <c r="E33" s="428" t="n">
        <v>1137.09</v>
      </c>
      <c r="F33" s="365" t="n">
        <v>29.6</v>
      </c>
      <c r="G33" s="266">
        <f>ROUND(E33*F33,2)</f>
        <v/>
      </c>
      <c r="H33" s="348">
        <f>G33/$G$59</f>
        <v/>
      </c>
      <c r="I33" s="365">
        <f>ROUND(F33*13.47,2)</f>
        <v/>
      </c>
      <c r="J33" s="266">
        <f>ROUND(I33*E33,2)</f>
        <v/>
      </c>
      <c r="L33" s="429" t="n"/>
    </row>
    <row r="34" hidden="1" outlineLevel="1" ht="25.5" customFormat="1" customHeight="1" s="299">
      <c r="A34" s="345" t="n">
        <v>15</v>
      </c>
      <c r="B34" s="168" t="inlineStr">
        <is>
          <t>91.06.03-058</t>
        </is>
      </c>
      <c r="C34" s="344" t="inlineStr">
        <is>
          <t>Лебедки электрические тяговым усилием 156,96 кН (16 т)</t>
        </is>
      </c>
      <c r="D34" s="345" t="inlineStr">
        <is>
          <t>маш.час</t>
        </is>
      </c>
      <c r="E34" s="428" t="n">
        <v>188.5725</v>
      </c>
      <c r="F34" s="365" t="n">
        <v>131.44</v>
      </c>
      <c r="G34" s="266">
        <f>ROUND(E34*F34,2)</f>
        <v/>
      </c>
      <c r="H34" s="348">
        <f>G34/$G$59</f>
        <v/>
      </c>
      <c r="I34" s="365">
        <f>ROUND(F34*13.47,2)</f>
        <v/>
      </c>
      <c r="J34" s="266">
        <f>ROUND(I34*E34,2)</f>
        <v/>
      </c>
      <c r="L34" s="429" t="n"/>
    </row>
    <row r="35" hidden="1" outlineLevel="1" ht="25.5" customFormat="1" customHeight="1" s="299">
      <c r="A35" s="345" t="n">
        <v>16</v>
      </c>
      <c r="B35" s="168" t="inlineStr">
        <is>
          <t>91.14.03-002</t>
        </is>
      </c>
      <c r="C35" s="344" t="inlineStr">
        <is>
          <t>Автомобили-самосвалы, грузоподъемность до 10 т</t>
        </is>
      </c>
      <c r="D35" s="345" t="inlineStr">
        <is>
          <t>маш.-ч</t>
        </is>
      </c>
      <c r="E35" s="428" t="n">
        <v>127.8225</v>
      </c>
      <c r="F35" s="365" t="n">
        <v>87.48999999999999</v>
      </c>
      <c r="G35" s="266">
        <f>ROUND(E35*F35,2)</f>
        <v/>
      </c>
      <c r="H35" s="348">
        <f>G35/$G$59</f>
        <v/>
      </c>
      <c r="I35" s="365">
        <f>ROUND(F35*13.47,2)</f>
        <v/>
      </c>
      <c r="J35" s="266">
        <f>ROUND(I35*E35,2)</f>
        <v/>
      </c>
      <c r="L35" s="429" t="n"/>
    </row>
    <row r="36" hidden="1" outlineLevel="1" ht="25.5" customFormat="1" customHeight="1" s="299">
      <c r="A36" s="345" t="n">
        <v>17</v>
      </c>
      <c r="B36" s="168" t="inlineStr">
        <is>
          <t>91.15.02-029</t>
        </is>
      </c>
      <c r="C36" s="344" t="inlineStr">
        <is>
          <t>Тракторы на гусеничном ходу с лебедкой 132 кВт (180 л.с.)</t>
        </is>
      </c>
      <c r="D36" s="345" t="inlineStr">
        <is>
          <t>маш.час</t>
        </is>
      </c>
      <c r="E36" s="428" t="n">
        <v>70.92749999999999</v>
      </c>
      <c r="F36" s="365" t="n">
        <v>147.43</v>
      </c>
      <c r="G36" s="266">
        <f>ROUND(E36*F36,2)</f>
        <v/>
      </c>
      <c r="H36" s="348">
        <f>G36/$G$59</f>
        <v/>
      </c>
      <c r="I36" s="365">
        <f>ROUND(F36*13.47,2)</f>
        <v/>
      </c>
      <c r="J36" s="266">
        <f>ROUND(I36*E36,2)</f>
        <v/>
      </c>
      <c r="L36" s="429" t="n"/>
    </row>
    <row r="37" hidden="1" outlineLevel="1" ht="25.5" customFormat="1" customHeight="1" s="299">
      <c r="A37" s="345" t="n">
        <v>18</v>
      </c>
      <c r="B37" s="168" t="inlineStr">
        <is>
          <t>91.05.06-007</t>
        </is>
      </c>
      <c r="C37" s="344" t="inlineStr">
        <is>
          <t>Краны на гусеничном ходу, грузоподъемность 25 т</t>
        </is>
      </c>
      <c r="D37" s="345" t="inlineStr">
        <is>
          <t>маш.-ч</t>
        </is>
      </c>
      <c r="E37" s="428" t="n">
        <v>75.435</v>
      </c>
      <c r="F37" s="365" t="n">
        <v>120.04</v>
      </c>
      <c r="G37" s="266">
        <f>ROUND(E37*F37,2)</f>
        <v/>
      </c>
      <c r="H37" s="348">
        <f>G37/$G$59</f>
        <v/>
      </c>
      <c r="I37" s="365">
        <f>ROUND(F37*13.47,2)</f>
        <v/>
      </c>
      <c r="J37" s="266">
        <f>ROUND(I37*E37,2)</f>
        <v/>
      </c>
      <c r="L37" s="429" t="n"/>
    </row>
    <row r="38" hidden="1" outlineLevel="1" ht="38.25" customFormat="1" customHeight="1" s="299">
      <c r="A38" s="345" t="n">
        <v>19</v>
      </c>
      <c r="B38" s="168" t="inlineStr">
        <is>
          <t>91.17.04-036</t>
        </is>
      </c>
      <c r="C38" s="344" t="inlineStr">
        <is>
          <t>Агрегаты сварочные передвижные с дизельным двигателем, номинальный сварочный ток 250-400 А</t>
        </is>
      </c>
      <c r="D38" s="345" t="inlineStr">
        <is>
          <t>маш.-ч</t>
        </is>
      </c>
      <c r="E38" s="428" t="n">
        <v>583.53</v>
      </c>
      <c r="F38" s="365" t="n">
        <v>14</v>
      </c>
      <c r="G38" s="266">
        <f>ROUND(E38*F38,2)</f>
        <v/>
      </c>
      <c r="H38" s="348">
        <f>G38/$G$59</f>
        <v/>
      </c>
      <c r="I38" s="365">
        <f>ROUND(F38*13.47,2)</f>
        <v/>
      </c>
      <c r="J38" s="266">
        <f>ROUND(I38*E38,2)</f>
        <v/>
      </c>
      <c r="L38" s="429" t="n"/>
    </row>
    <row r="39" hidden="1" outlineLevel="1" ht="17.25" customFormat="1" customHeight="1" s="299">
      <c r="A39" s="345" t="n">
        <v>20</v>
      </c>
      <c r="B39" s="168" t="inlineStr">
        <is>
          <t>91.14.04-001</t>
        </is>
      </c>
      <c r="C39" s="344" t="inlineStr">
        <is>
          <t>Тягачи седельные, грузоподъемность 12 т</t>
        </is>
      </c>
      <c r="D39" s="345" t="inlineStr">
        <is>
          <t>маш.час</t>
        </is>
      </c>
      <c r="E39" s="428" t="n">
        <v>43.35</v>
      </c>
      <c r="F39" s="365" t="n">
        <v>127.82</v>
      </c>
      <c r="G39" s="266">
        <f>ROUND(E39*F39,2)</f>
        <v/>
      </c>
      <c r="H39" s="348">
        <f>G39/$G$59</f>
        <v/>
      </c>
      <c r="I39" s="365">
        <f>ROUND(F39*13.47,2)</f>
        <v/>
      </c>
      <c r="J39" s="266">
        <f>ROUND(I39*E39,2)</f>
        <v/>
      </c>
      <c r="L39" s="429" t="n"/>
    </row>
    <row r="40" hidden="1" outlineLevel="1" ht="19.5" customFormat="1" customHeight="1" s="299">
      <c r="A40" s="345" t="n">
        <v>21</v>
      </c>
      <c r="B40" s="168" t="inlineStr">
        <is>
          <t>91.06.05-011</t>
        </is>
      </c>
      <c r="C40" s="344" t="inlineStr">
        <is>
          <t>Погрузчики, грузоподъемность 5 т</t>
        </is>
      </c>
      <c r="D40" s="345" t="inlineStr">
        <is>
          <t>маш.-ч</t>
        </is>
      </c>
      <c r="E40" s="428" t="n">
        <v>60.08115</v>
      </c>
      <c r="F40" s="365" t="n">
        <v>89.98999999999999</v>
      </c>
      <c r="G40" s="266">
        <f>ROUND(E40*F40,2)</f>
        <v/>
      </c>
      <c r="H40" s="348">
        <f>G40/$G$59</f>
        <v/>
      </c>
      <c r="I40" s="365">
        <f>ROUND(F40*13.47,2)</f>
        <v/>
      </c>
      <c r="J40" s="266">
        <f>ROUND(I40*E40,2)</f>
        <v/>
      </c>
      <c r="L40" s="429" t="n"/>
    </row>
    <row r="41" hidden="1" outlineLevel="1" ht="25.5" customFormat="1" customHeight="1" s="299">
      <c r="A41" s="345" t="n">
        <v>22</v>
      </c>
      <c r="B41" s="168" t="inlineStr">
        <is>
          <t>91.05.06-012</t>
        </is>
      </c>
      <c r="C41" s="344" t="inlineStr">
        <is>
          <t>Краны на гусеничном ходу, грузоподъемность до 16 т</t>
        </is>
      </c>
      <c r="D41" s="345" t="inlineStr">
        <is>
          <t>маш.-ч</t>
        </is>
      </c>
      <c r="E41" s="428" t="n">
        <v>29.88</v>
      </c>
      <c r="F41" s="365" t="n">
        <v>96.89</v>
      </c>
      <c r="G41" s="266">
        <f>ROUND(E41*F41,2)</f>
        <v/>
      </c>
      <c r="H41" s="348">
        <f>G41/$G$59</f>
        <v/>
      </c>
      <c r="I41" s="365">
        <f>ROUND(F41*13.47,2)</f>
        <v/>
      </c>
      <c r="J41" s="266">
        <f>ROUND(I41*E41,2)</f>
        <v/>
      </c>
      <c r="L41" s="429" t="n"/>
    </row>
    <row r="42" hidden="1" outlineLevel="1" ht="25.5" customFormat="1" customHeight="1" s="299">
      <c r="A42" s="345" t="n">
        <v>23</v>
      </c>
      <c r="B42" s="168" t="inlineStr">
        <is>
          <t>91.17.04-233</t>
        </is>
      </c>
      <c r="C42" s="344" t="inlineStr">
        <is>
          <t>Установки для сварки ручной дуговой (постоянного тока)</t>
        </is>
      </c>
      <c r="D42" s="345" t="inlineStr">
        <is>
          <t>маш.час</t>
        </is>
      </c>
      <c r="E42" s="428" t="n">
        <v>283.1475</v>
      </c>
      <c r="F42" s="365" t="n">
        <v>8.1</v>
      </c>
      <c r="G42" s="266">
        <f>ROUND(E42*F42,2)</f>
        <v/>
      </c>
      <c r="H42" s="348">
        <f>G42/$G$59</f>
        <v/>
      </c>
      <c r="I42" s="365">
        <f>ROUND(F42*13.47,2)</f>
        <v/>
      </c>
      <c r="J42" s="266">
        <f>ROUND(I42*E42,2)</f>
        <v/>
      </c>
      <c r="L42" s="429" t="n"/>
    </row>
    <row r="43" hidden="1" outlineLevel="1" ht="25.5" customFormat="1" customHeight="1" s="299">
      <c r="A43" s="345" t="n">
        <v>24</v>
      </c>
      <c r="B43" s="168" t="inlineStr">
        <is>
          <t>91.06.01-003</t>
        </is>
      </c>
      <c r="C43" s="344" t="inlineStr">
        <is>
          <t>Домкраты гидравлические, грузоподъемность 63-100 т</t>
        </is>
      </c>
      <c r="D43" s="345" t="inlineStr">
        <is>
          <t>маш.-ч</t>
        </is>
      </c>
      <c r="E43" s="428" t="n">
        <v>851.5425</v>
      </c>
      <c r="F43" s="365" t="n">
        <v>0.9</v>
      </c>
      <c r="G43" s="266">
        <f>ROUND(E43*F43,2)</f>
        <v/>
      </c>
      <c r="H43" s="348">
        <f>G43/$G$59</f>
        <v/>
      </c>
      <c r="I43" s="365">
        <f>ROUND(F43*13.47,2)</f>
        <v/>
      </c>
      <c r="J43" s="266">
        <f>ROUND(I43*E43,2)</f>
        <v/>
      </c>
      <c r="L43" s="429" t="n"/>
    </row>
    <row r="44" hidden="1" outlineLevel="1" ht="25.5" customFormat="1" customHeight="1" s="299">
      <c r="A44" s="345" t="n">
        <v>25</v>
      </c>
      <c r="B44" s="168" t="inlineStr">
        <is>
          <t>91.14.02-002</t>
        </is>
      </c>
      <c r="C44" s="344" t="inlineStr">
        <is>
          <t>Автомобили бортовые, грузоподъемность до 8 т</t>
        </is>
      </c>
      <c r="D44" s="345" t="inlineStr">
        <is>
          <t>маш.час</t>
        </is>
      </c>
      <c r="E44" s="428" t="n">
        <v>5.7975</v>
      </c>
      <c r="F44" s="365" t="n">
        <v>107.3</v>
      </c>
      <c r="G44" s="266">
        <f>ROUND(E44*F44,2)</f>
        <v/>
      </c>
      <c r="H44" s="348">
        <f>G44/$G$59</f>
        <v/>
      </c>
      <c r="I44" s="365">
        <f>ROUND(F44*13.47,2)</f>
        <v/>
      </c>
      <c r="J44" s="266">
        <f>ROUND(I44*E44,2)</f>
        <v/>
      </c>
      <c r="L44" s="429" t="n"/>
    </row>
    <row r="45" hidden="1" outlineLevel="1" ht="25.5" customFormat="1" customHeight="1" s="299">
      <c r="A45" s="345" t="n">
        <v>26</v>
      </c>
      <c r="B45" s="168" t="inlineStr">
        <is>
          <t>91.14.05-011</t>
        </is>
      </c>
      <c r="C45" s="344" t="inlineStr">
        <is>
          <t>Полуприцепы общего назначения, грузоподъемность 12 т</t>
        </is>
      </c>
      <c r="D45" s="345" t="inlineStr">
        <is>
          <t>маш.час</t>
        </is>
      </c>
      <c r="E45" s="428" t="n">
        <v>43.35</v>
      </c>
      <c r="F45" s="365" t="n">
        <v>12</v>
      </c>
      <c r="G45" s="266">
        <f>ROUND(E45*F45,2)</f>
        <v/>
      </c>
      <c r="H45" s="348">
        <f>G45/$G$59</f>
        <v/>
      </c>
      <c r="I45" s="365">
        <f>ROUND(F45*13.47,2)</f>
        <v/>
      </c>
      <c r="J45" s="266">
        <f>ROUND(I45*E45,2)</f>
        <v/>
      </c>
      <c r="L45" s="429" t="n"/>
    </row>
    <row r="46" hidden="1" outlineLevel="1" ht="38.25" customFormat="1" customHeight="1" s="299">
      <c r="A46" s="345" t="n">
        <v>27</v>
      </c>
      <c r="B46" s="168" t="inlineStr">
        <is>
          <t>91.21.01-012</t>
        </is>
      </c>
      <c r="C46" s="344" t="inlineStr">
        <is>
          <t>Агрегаты окрасочные высокого давления для окраски поверхностей конструкций, мощность 1 кВт</t>
        </is>
      </c>
      <c r="D46" s="345" t="inlineStr">
        <is>
          <t>маш.-ч</t>
        </is>
      </c>
      <c r="E46" s="428" t="n">
        <v>32.4225</v>
      </c>
      <c r="F46" s="365" t="n">
        <v>6.82</v>
      </c>
      <c r="G46" s="266">
        <f>ROUND(E46*F46,2)</f>
        <v/>
      </c>
      <c r="H46" s="348">
        <f>G46/$G$59</f>
        <v/>
      </c>
      <c r="I46" s="365">
        <f>ROUND(F46*13.47,2)</f>
        <v/>
      </c>
      <c r="J46" s="266">
        <f>ROUND(I46*E46,2)</f>
        <v/>
      </c>
      <c r="L46" s="429" t="n"/>
    </row>
    <row r="47" hidden="1" outlineLevel="1" ht="25.5" customFormat="1" customHeight="1" s="299">
      <c r="A47" s="345" t="n">
        <v>28</v>
      </c>
      <c r="B47" s="168" t="inlineStr">
        <is>
          <t>91.17.04-171</t>
        </is>
      </c>
      <c r="C47" s="344" t="inlineStr">
        <is>
          <t>Преобразователи сварочные номинальным сварочным током 315-500 А</t>
        </is>
      </c>
      <c r="D47" s="345" t="inlineStr">
        <is>
          <t>маш.-ч</t>
        </is>
      </c>
      <c r="E47" s="428" t="n">
        <v>17.88</v>
      </c>
      <c r="F47" s="365" t="n">
        <v>12.31</v>
      </c>
      <c r="G47" s="266">
        <f>ROUND(E47*F47,2)</f>
        <v/>
      </c>
      <c r="H47" s="348">
        <f>G47/$G$59</f>
        <v/>
      </c>
      <c r="I47" s="365">
        <f>ROUND(F47*13.47,2)</f>
        <v/>
      </c>
      <c r="J47" s="266">
        <f>ROUND(I47*E47,2)</f>
        <v/>
      </c>
      <c r="L47" s="429" t="n"/>
    </row>
    <row r="48" hidden="1" outlineLevel="1" ht="38.25" customFormat="1" customHeight="1" s="299">
      <c r="A48" s="345" t="n">
        <v>29</v>
      </c>
      <c r="B48" s="168" t="inlineStr">
        <is>
          <t>91.21.22-703</t>
        </is>
      </c>
      <c r="C48" s="344" t="inlineStr">
        <is>
          <t>Молотки-перфораторы гидравлические, диаметр выбуриваемых отверстий 25-50 мм</t>
        </is>
      </c>
      <c r="D48" s="345" t="inlineStr">
        <is>
          <t>маш.-ч</t>
        </is>
      </c>
      <c r="E48" s="428" t="n">
        <v>16.3725</v>
      </c>
      <c r="F48" s="365" t="n">
        <v>8.09</v>
      </c>
      <c r="G48" s="266">
        <f>ROUND(E48*F48,2)</f>
        <v/>
      </c>
      <c r="H48" s="348">
        <f>G48/$G$59</f>
        <v/>
      </c>
      <c r="I48" s="365">
        <f>ROUND(F48*13.47,2)</f>
        <v/>
      </c>
      <c r="J48" s="266">
        <f>ROUND(I48*E48,2)</f>
        <v/>
      </c>
      <c r="L48" s="429" t="n"/>
    </row>
    <row r="49" hidden="1" outlineLevel="1" ht="14.25" customFormat="1" customHeight="1" s="299">
      <c r="A49" s="345" t="n">
        <v>30</v>
      </c>
      <c r="B49" s="168" t="inlineStr">
        <is>
          <t>91.01.01-035</t>
        </is>
      </c>
      <c r="C49" s="344" t="inlineStr">
        <is>
          <t>Бульдозеры, мощность 79 кВт (108 л.с.)</t>
        </is>
      </c>
      <c r="D49" s="345" t="inlineStr">
        <is>
          <t>маш.-ч</t>
        </is>
      </c>
      <c r="E49" s="428" t="n">
        <v>1.125</v>
      </c>
      <c r="F49" s="365" t="n">
        <v>79.06999999999999</v>
      </c>
      <c r="G49" s="266">
        <f>ROUND(E49*F49,2)</f>
        <v/>
      </c>
      <c r="H49" s="348">
        <f>G49/$G$59</f>
        <v/>
      </c>
      <c r="I49" s="365">
        <f>ROUND(F49*13.47,2)</f>
        <v/>
      </c>
      <c r="J49" s="266">
        <f>ROUND(I49*E49,2)</f>
        <v/>
      </c>
      <c r="L49" s="429" t="n"/>
    </row>
    <row r="50" hidden="1" outlineLevel="1" ht="14.25" customFormat="1" customHeight="1" s="299">
      <c r="A50" s="345" t="n">
        <v>31</v>
      </c>
      <c r="B50" s="168" t="inlineStr">
        <is>
          <t>91.05.02-005</t>
        </is>
      </c>
      <c r="C50" s="344" t="inlineStr">
        <is>
          <t>Краны козловые, грузоподъемность 32 т</t>
        </is>
      </c>
      <c r="D50" s="345" t="inlineStr">
        <is>
          <t>маш.-ч</t>
        </is>
      </c>
      <c r="E50" s="428" t="n">
        <v>0.255</v>
      </c>
      <c r="F50" s="365" t="n">
        <v>120.24</v>
      </c>
      <c r="G50" s="266">
        <f>ROUND(E50*F50,2)</f>
        <v/>
      </c>
      <c r="H50" s="348">
        <f>G50/$G$59</f>
        <v/>
      </c>
      <c r="I50" s="365">
        <f>ROUND(F50*13.47,2)</f>
        <v/>
      </c>
      <c r="J50" s="266">
        <f>ROUND(I50*E50,2)</f>
        <v/>
      </c>
      <c r="L50" s="429" t="n"/>
    </row>
    <row r="51" hidden="1" outlineLevel="1" ht="14.25" customFormat="1" customHeight="1" s="299">
      <c r="A51" s="345" t="n">
        <v>32</v>
      </c>
      <c r="B51" s="168" t="inlineStr">
        <is>
          <t>91.17.03-021</t>
        </is>
      </c>
      <c r="C51" s="344" t="inlineStr">
        <is>
          <t>Печи нагревательные</t>
        </is>
      </c>
      <c r="D51" s="345" t="inlineStr">
        <is>
          <t>маш.-ч</t>
        </is>
      </c>
      <c r="E51" s="428" t="n">
        <v>0.885</v>
      </c>
      <c r="F51" s="365" t="n">
        <v>25.3</v>
      </c>
      <c r="G51" s="266">
        <f>ROUND(E51*F51,2)</f>
        <v/>
      </c>
      <c r="H51" s="348">
        <f>G51/$G$59</f>
        <v/>
      </c>
      <c r="I51" s="365">
        <f>ROUND(F51*13.47,2)</f>
        <v/>
      </c>
      <c r="J51" s="266">
        <f>ROUND(I51*E51,2)</f>
        <v/>
      </c>
      <c r="L51" s="429" t="n"/>
    </row>
    <row r="52" hidden="1" outlineLevel="1" ht="14.25" customFormat="1" customHeight="1" s="299">
      <c r="A52" s="345" t="n">
        <v>33</v>
      </c>
      <c r="B52" s="168" t="inlineStr">
        <is>
          <t>91.17.04-042</t>
        </is>
      </c>
      <c r="C52" s="344" t="inlineStr">
        <is>
          <t>Аппараты для газовой сварки и резки</t>
        </is>
      </c>
      <c r="D52" s="345" t="inlineStr">
        <is>
          <t>маш.-ч</t>
        </is>
      </c>
      <c r="E52" s="428" t="n">
        <v>4.2225</v>
      </c>
      <c r="F52" s="365" t="n">
        <v>1.2</v>
      </c>
      <c r="G52" s="266">
        <f>ROUND(E52*F52,2)</f>
        <v/>
      </c>
      <c r="H52" s="348">
        <f>G52/$G$59</f>
        <v/>
      </c>
      <c r="I52" s="365">
        <f>ROUND(F52*13.47,2)</f>
        <v/>
      </c>
      <c r="J52" s="266">
        <f>ROUND(I52*E52,2)</f>
        <v/>
      </c>
      <c r="L52" s="429" t="n"/>
    </row>
    <row r="53" hidden="1" outlineLevel="1" ht="25.5" customFormat="1" customHeight="1" s="299">
      <c r="A53" s="345" t="n">
        <v>34</v>
      </c>
      <c r="B53" s="168" t="inlineStr">
        <is>
          <t>91.09.12-103</t>
        </is>
      </c>
      <c r="C53" s="344" t="inlineStr">
        <is>
          <t>Станки сверлильно-шлифовальные (сверлошлифовалки)</t>
        </is>
      </c>
      <c r="D53" s="345" t="inlineStr">
        <is>
          <t>маш.-ч</t>
        </is>
      </c>
      <c r="E53" s="428" t="n">
        <v>0.75</v>
      </c>
      <c r="F53" s="365" t="n">
        <v>6.4</v>
      </c>
      <c r="G53" s="266">
        <f>ROUND(E53*F53,2)</f>
        <v/>
      </c>
      <c r="H53" s="348">
        <f>G53/$G$59</f>
        <v/>
      </c>
      <c r="I53" s="365">
        <f>ROUND(F53*13.47,2)</f>
        <v/>
      </c>
      <c r="J53" s="266">
        <f>ROUND(I53*E53,2)</f>
        <v/>
      </c>
      <c r="L53" s="429" t="n"/>
    </row>
    <row r="54" hidden="1" outlineLevel="1" ht="25.5" customFormat="1" customHeight="1" s="299">
      <c r="A54" s="345" t="n">
        <v>35</v>
      </c>
      <c r="B54" s="168" t="inlineStr">
        <is>
          <t>91.06.03-061</t>
        </is>
      </c>
      <c r="C54" s="344" t="inlineStr">
        <is>
          <t>Лебедки электрические тяговым усилием до 12,26 кН (1,25 т)</t>
        </is>
      </c>
      <c r="D54" s="345" t="inlineStr">
        <is>
          <t>маш.час</t>
        </is>
      </c>
      <c r="E54" s="428" t="n">
        <v>0.645</v>
      </c>
      <c r="F54" s="365" t="n">
        <v>3.28</v>
      </c>
      <c r="G54" s="266">
        <f>ROUND(E54*F54,2)</f>
        <v/>
      </c>
      <c r="H54" s="348">
        <f>G54/$G$59</f>
        <v/>
      </c>
      <c r="I54" s="365">
        <f>ROUND(F54*13.47,2)</f>
        <v/>
      </c>
      <c r="J54" s="266">
        <f>ROUND(I54*E54,2)</f>
        <v/>
      </c>
      <c r="L54" s="429" t="n"/>
    </row>
    <row r="55" hidden="1" outlineLevel="1" ht="25.5" customFormat="1" customHeight="1" s="299">
      <c r="A55" s="345" t="n">
        <v>36</v>
      </c>
      <c r="B55" s="168" t="inlineStr">
        <is>
          <t>91.14.03-001</t>
        </is>
      </c>
      <c r="C55" s="344" t="inlineStr">
        <is>
          <t>Автомобили-самосвалы, грузоподъемность до 7 т</t>
        </is>
      </c>
      <c r="D55" s="345" t="inlineStr">
        <is>
          <t>маш.-ч</t>
        </is>
      </c>
      <c r="E55" s="428" t="n">
        <v>0.0225</v>
      </c>
      <c r="F55" s="365" t="n">
        <v>89.54000000000001</v>
      </c>
      <c r="G55" s="266">
        <f>ROUND(E55*F55,2)</f>
        <v/>
      </c>
      <c r="H55" s="348">
        <f>G55/$G$59</f>
        <v/>
      </c>
      <c r="I55" s="365">
        <f>ROUND(F55*13.47,2)</f>
        <v/>
      </c>
      <c r="J55" s="266">
        <f>ROUND(I55*E55,2)</f>
        <v/>
      </c>
      <c r="L55" s="429" t="n"/>
    </row>
    <row r="56" hidden="1" outlineLevel="1" ht="25.5" customFormat="1" customHeight="1" s="299">
      <c r="A56" s="345" t="n">
        <v>37</v>
      </c>
      <c r="B56" s="168" t="inlineStr">
        <is>
          <t>91.06.03-060</t>
        </is>
      </c>
      <c r="C56" s="344" t="inlineStr">
        <is>
          <t>Лебедки электрические тяговым усилием до 5,79 кН (0,59 т)</t>
        </is>
      </c>
      <c r="D56" s="345" t="inlineStr">
        <is>
          <t>маш.час</t>
        </is>
      </c>
      <c r="E56" s="428" t="n">
        <v>0.3375</v>
      </c>
      <c r="F56" s="365" t="n">
        <v>1.7</v>
      </c>
      <c r="G56" s="266">
        <f>ROUND(E56*F56,2)</f>
        <v/>
      </c>
      <c r="H56" s="348">
        <f>G56/$G$59</f>
        <v/>
      </c>
      <c r="I56" s="365">
        <f>ROUND(F56*13.47,2)</f>
        <v/>
      </c>
      <c r="J56" s="266">
        <f>ROUND(I56*E56,2)</f>
        <v/>
      </c>
      <c r="L56" s="429" t="n"/>
    </row>
    <row r="57" collapsed="1" ht="14.25" customFormat="1" customHeight="1" s="299">
      <c r="A57" s="345" t="n"/>
      <c r="B57" s="345" t="n"/>
      <c r="C57" s="344" t="inlineStr">
        <is>
          <t>Итого прочие машины и механизмы</t>
        </is>
      </c>
      <c r="D57" s="345" t="n"/>
      <c r="E57" s="346" t="n"/>
      <c r="F57" s="266" t="n"/>
      <c r="G57" s="266">
        <f>SUM(G31:G56)</f>
        <v/>
      </c>
      <c r="H57" s="348">
        <f>G57/G59</f>
        <v/>
      </c>
      <c r="I57" s="266" t="n"/>
      <c r="J57" s="266">
        <f>SUM(J31:J56)</f>
        <v/>
      </c>
      <c r="K57" s="429" t="n"/>
      <c r="L57" s="429" t="n"/>
    </row>
    <row r="58" ht="30.6" customFormat="1" customHeight="1" s="299">
      <c r="A58" s="345" t="n"/>
      <c r="B58" s="345" t="n"/>
      <c r="C58" s="344" t="inlineStr">
        <is>
          <t>Итого прочие машины и механизмы 
(с коэффициентом на демонтаж 0,7)</t>
        </is>
      </c>
      <c r="D58" s="345" t="n"/>
      <c r="E58" s="346" t="n"/>
      <c r="F58" s="266" t="n"/>
      <c r="G58" s="266">
        <f>G57*0.7</f>
        <v/>
      </c>
      <c r="H58" s="348">
        <f>G58/G60</f>
        <v/>
      </c>
      <c r="I58" s="266" t="n"/>
      <c r="J58" s="266">
        <f>J57*0.7</f>
        <v/>
      </c>
      <c r="K58" s="429" t="n"/>
      <c r="L58" s="429" t="n"/>
    </row>
    <row r="59" ht="25.5" customFormat="1" customHeight="1" s="299">
      <c r="A59" s="345" t="n"/>
      <c r="B59" s="345" t="n"/>
      <c r="C59" s="337" t="inlineStr">
        <is>
          <t>Итого по разделу «Машины и механизмы»</t>
        </is>
      </c>
      <c r="D59" s="345" t="n"/>
      <c r="E59" s="346" t="n"/>
      <c r="F59" s="266" t="n"/>
      <c r="G59" s="266">
        <f>G29+G57</f>
        <v/>
      </c>
      <c r="H59" s="348" t="n">
        <v>1</v>
      </c>
      <c r="I59" s="266" t="n"/>
      <c r="J59" s="266">
        <f>J29+J57</f>
        <v/>
      </c>
    </row>
    <row r="60" ht="42" customFormat="1" customHeight="1" s="299">
      <c r="A60" s="345" t="n"/>
      <c r="B60" s="345" t="n"/>
      <c r="C60" s="337" t="inlineStr">
        <is>
          <t>Итого по разделу «Машины и механизмы»  
(с коэффициентом на демонтаж 0,7)</t>
        </is>
      </c>
      <c r="D60" s="345" t="n"/>
      <c r="E60" s="346" t="n"/>
      <c r="F60" s="266" t="n"/>
      <c r="G60" s="266">
        <f>G30+G58</f>
        <v/>
      </c>
      <c r="H60" s="348" t="n">
        <v>1</v>
      </c>
      <c r="I60" s="266" t="n"/>
      <c r="J60" s="266">
        <f>J30+J58</f>
        <v/>
      </c>
    </row>
    <row r="61" ht="19.15" customHeight="1" s="302">
      <c r="A61" s="345" t="n"/>
      <c r="B61" s="337" t="inlineStr">
        <is>
          <t>Оборудование</t>
        </is>
      </c>
      <c r="C61" s="420" t="n"/>
      <c r="D61" s="420" t="n"/>
      <c r="E61" s="420" t="n"/>
      <c r="F61" s="420" t="n"/>
      <c r="G61" s="420" t="n"/>
      <c r="H61" s="420" t="n"/>
      <c r="I61" s="420" t="n"/>
      <c r="J61" s="421" t="n"/>
      <c r="K61" s="299" t="n"/>
      <c r="L61" s="299" t="n"/>
      <c r="M61" s="299" t="n"/>
      <c r="N61" s="299" t="n"/>
    </row>
    <row r="62" ht="15" customHeight="1" s="302">
      <c r="A62" s="345" t="n"/>
      <c r="B62" s="358" t="inlineStr">
        <is>
          <t>Основное оборудование</t>
        </is>
      </c>
      <c r="K62" s="299" t="n"/>
      <c r="L62" s="299" t="n"/>
      <c r="M62" s="299" t="n"/>
      <c r="N62" s="299" t="n"/>
    </row>
    <row r="63" s="302">
      <c r="A63" s="345" t="n"/>
      <c r="B63" s="345" t="n"/>
      <c r="C63" s="344" t="inlineStr">
        <is>
          <t>Итого основное оборудование</t>
        </is>
      </c>
      <c r="D63" s="345" t="n"/>
      <c r="E63" s="428" t="n"/>
      <c r="F63" s="347" t="n"/>
      <c r="G63" s="266" t="n">
        <v>0</v>
      </c>
      <c r="H63" s="348" t="n">
        <v>0</v>
      </c>
      <c r="I63" s="347" t="n"/>
      <c r="J63" s="266" t="n">
        <v>0</v>
      </c>
      <c r="K63" s="429" t="n"/>
      <c r="L63" s="299" t="n"/>
      <c r="M63" s="299" t="n"/>
      <c r="N63" s="299" t="n"/>
    </row>
    <row r="64" s="302">
      <c r="A64" s="345" t="n"/>
      <c r="B64" s="345" t="n"/>
      <c r="C64" s="344" t="inlineStr">
        <is>
          <t>Итого прочее оборудование</t>
        </is>
      </c>
      <c r="D64" s="345" t="n"/>
      <c r="E64" s="346" t="n"/>
      <c r="F64" s="347" t="n"/>
      <c r="G64" s="266" t="n">
        <v>0</v>
      </c>
      <c r="H64" s="348" t="n">
        <v>0</v>
      </c>
      <c r="I64" s="347" t="n"/>
      <c r="J64" s="266" t="n">
        <v>0</v>
      </c>
      <c r="K64" s="429" t="n"/>
      <c r="L64" s="299" t="n"/>
      <c r="M64" s="299" t="n"/>
      <c r="N64" s="299" t="n"/>
    </row>
    <row r="65" s="302">
      <c r="A65" s="345" t="n"/>
      <c r="B65" s="345" t="n"/>
      <c r="C65" s="337" t="inlineStr">
        <is>
          <t>Итого по разделу «Оборудование»</t>
        </is>
      </c>
      <c r="D65" s="345" t="n"/>
      <c r="E65" s="346" t="n"/>
      <c r="F65" s="347" t="n"/>
      <c r="G65" s="266" t="n">
        <v>0</v>
      </c>
      <c r="H65" s="348" t="n">
        <v>0</v>
      </c>
      <c r="I65" s="347" t="n"/>
      <c r="J65" s="266">
        <f>J64+J63</f>
        <v/>
      </c>
      <c r="K65" s="429" t="n"/>
      <c r="L65" s="299" t="n"/>
      <c r="M65" s="299" t="n"/>
      <c r="N65" s="299" t="n"/>
    </row>
    <row r="66" ht="15.75" customHeight="1" s="302">
      <c r="A66" s="345" t="n"/>
      <c r="B66" s="345" t="n"/>
      <c r="C66" s="344" t="inlineStr">
        <is>
          <t>в том числе технологическое оборудование</t>
        </is>
      </c>
      <c r="D66" s="345" t="n"/>
      <c r="E66" s="346" t="n"/>
      <c r="F66" s="347" t="n"/>
      <c r="G66" s="266">
        <f>G65</f>
        <v/>
      </c>
      <c r="H66" s="348" t="n"/>
      <c r="I66" s="347" t="n"/>
      <c r="J66" s="266">
        <f>J65</f>
        <v/>
      </c>
      <c r="K66" s="429" t="n"/>
      <c r="L66" s="299" t="n"/>
      <c r="M66" s="299" t="n"/>
      <c r="N66" s="299" t="n"/>
    </row>
    <row r="67" ht="30" customFormat="1" customHeight="1" s="299">
      <c r="A67" s="345" t="n"/>
      <c r="B67" s="433" t="inlineStr">
        <is>
          <t>Материалы</t>
        </is>
      </c>
      <c r="J67" s="434" t="n"/>
      <c r="K67" s="429" t="n"/>
    </row>
    <row r="68" ht="14.25" customFormat="1" customHeight="1" s="299">
      <c r="A68" s="345" t="n"/>
      <c r="B68" s="344" t="inlineStr">
        <is>
          <t>Основные материалы</t>
        </is>
      </c>
      <c r="C68" s="420" t="n"/>
      <c r="D68" s="420" t="n"/>
      <c r="E68" s="420" t="n"/>
      <c r="F68" s="420" t="n"/>
      <c r="G68" s="420" t="n"/>
      <c r="H68" s="421" t="n"/>
      <c r="I68" s="242" t="n"/>
      <c r="J68" s="242" t="n"/>
    </row>
    <row r="69" ht="14.25" customFormat="1" customHeight="1" s="299">
      <c r="A69" s="345" t="n"/>
      <c r="B69" s="345" t="n"/>
      <c r="C69" s="344" t="inlineStr">
        <is>
          <t>Итого основные материалы</t>
        </is>
      </c>
      <c r="D69" s="345" t="n"/>
      <c r="E69" s="428" t="n"/>
      <c r="F69" s="347" t="n"/>
      <c r="G69" s="266" t="n">
        <v>0</v>
      </c>
      <c r="H69" s="348" t="n">
        <v>0</v>
      </c>
      <c r="I69" s="347" t="n"/>
      <c r="J69" s="266" t="n">
        <v>0</v>
      </c>
      <c r="K69" s="429" t="n"/>
    </row>
    <row r="70" ht="14.25" customFormat="1" customHeight="1" s="299">
      <c r="A70" s="345" t="n"/>
      <c r="B70" s="345" t="n"/>
      <c r="C70" s="344" t="inlineStr">
        <is>
          <t>Итого прочие материалы</t>
        </is>
      </c>
      <c r="D70" s="345" t="n"/>
      <c r="E70" s="428" t="n"/>
      <c r="F70" s="347" t="n"/>
      <c r="G70" s="266" t="n">
        <v>0</v>
      </c>
      <c r="H70" s="348" t="n">
        <v>0</v>
      </c>
      <c r="I70" s="266" t="n"/>
      <c r="J70" s="266" t="n">
        <v>0</v>
      </c>
    </row>
    <row r="71" ht="14.25" customFormat="1" customHeight="1" s="299">
      <c r="A71" s="345" t="n"/>
      <c r="B71" s="345" t="n"/>
      <c r="C71" s="337" t="inlineStr">
        <is>
          <t>Итого по разделу «Материалы»</t>
        </is>
      </c>
      <c r="D71" s="345" t="n"/>
      <c r="E71" s="346" t="n"/>
      <c r="F71" s="347" t="n"/>
      <c r="G71" s="266">
        <f>G69+G70</f>
        <v/>
      </c>
      <c r="H71" s="348" t="n">
        <v>0</v>
      </c>
      <c r="I71" s="347" t="n"/>
      <c r="J71" s="266">
        <f>J69+J70</f>
        <v/>
      </c>
      <c r="K71" s="429" t="n"/>
    </row>
    <row r="72" ht="14.25" customFormat="1" customHeight="1" s="299">
      <c r="A72" s="345" t="n"/>
      <c r="B72" s="345" t="n"/>
      <c r="C72" s="344" t="inlineStr">
        <is>
          <t>ИТОГО ПО РМ</t>
        </is>
      </c>
      <c r="D72" s="345" t="n"/>
      <c r="E72" s="346" t="n"/>
      <c r="F72" s="347" t="n"/>
      <c r="G72" s="266">
        <f>G14+G59+G71</f>
        <v/>
      </c>
      <c r="H72" s="348" t="n"/>
      <c r="I72" s="347" t="n"/>
      <c r="J72" s="266">
        <f>J14+J59+J71</f>
        <v/>
      </c>
    </row>
    <row r="73" ht="30.6" customFormat="1" customHeight="1" s="299">
      <c r="A73" s="345" t="n"/>
      <c r="B73" s="345" t="n"/>
      <c r="C73" s="344" t="inlineStr">
        <is>
          <t>ИТОГО ПО РМ
(с коэффициентом на демонтаж 0,7)</t>
        </is>
      </c>
      <c r="D73" s="345" t="n"/>
      <c r="E73" s="346" t="n"/>
      <c r="F73" s="347" t="n"/>
      <c r="G73" s="266">
        <f>G15+G60</f>
        <v/>
      </c>
      <c r="H73" s="360" t="n"/>
      <c r="I73" s="266" t="n"/>
      <c r="J73" s="266">
        <f>J15+J60</f>
        <v/>
      </c>
    </row>
    <row r="74" ht="15.75" customFormat="1" customHeight="1" s="299">
      <c r="A74" s="345" t="n"/>
      <c r="B74" s="345" t="n"/>
      <c r="C74" s="344" t="inlineStr">
        <is>
          <t>Накладные расходы</t>
        </is>
      </c>
      <c r="D74" s="272">
        <f>ROUND(G74/(G$17+$G$14),2)</f>
        <v/>
      </c>
      <c r="E74" s="346" t="n"/>
      <c r="F74" s="347" t="n"/>
      <c r="G74" s="266">
        <f>408687.99+514308.06+2162.76</f>
        <v/>
      </c>
      <c r="H74" s="348" t="n"/>
      <c r="I74" s="347" t="n"/>
      <c r="J74" s="266">
        <f>ROUND(107.11%*(J14+J17),2)</f>
        <v/>
      </c>
      <c r="K74" s="203" t="n"/>
    </row>
    <row r="75" ht="30.6" customFormat="1" customHeight="1" s="299">
      <c r="A75" s="345" t="n"/>
      <c r="B75" s="345" t="n"/>
      <c r="C75" s="344" t="inlineStr">
        <is>
          <t>Накладные расходы 
(с коэффициентом на демонтаж 0,7)</t>
        </is>
      </c>
      <c r="D75" s="271">
        <f>D74</f>
        <v/>
      </c>
      <c r="E75" s="271" t="n"/>
      <c r="F75" s="347" t="n"/>
      <c r="G75" s="266">
        <f>G74*0.7</f>
        <v/>
      </c>
      <c r="H75" s="360" t="n"/>
      <c r="I75" s="266" t="n"/>
      <c r="J75" s="266">
        <f>J74*0.7</f>
        <v/>
      </c>
      <c r="K75" s="203" t="n"/>
    </row>
    <row r="76" ht="15.75" customFormat="1" customHeight="1" s="299">
      <c r="A76" s="345" t="n"/>
      <c r="B76" s="345" t="n"/>
      <c r="C76" s="344" t="inlineStr">
        <is>
          <t>Сметная прибыль</t>
        </is>
      </c>
      <c r="D76" s="272">
        <f>ROUND(G76/(G$17+$G$14),2)</f>
        <v/>
      </c>
      <c r="E76" s="346" t="n"/>
      <c r="F76" s="347" t="n"/>
      <c r="G76" s="266">
        <f>221734.97+288563.43+1403.49</f>
        <v/>
      </c>
      <c r="H76" s="348" t="n"/>
      <c r="I76" s="347" t="n"/>
      <c r="J76" s="266">
        <f>ROUND(59.22%*(J14+J17),2)</f>
        <v/>
      </c>
      <c r="K76" s="203" t="n"/>
    </row>
    <row r="77" ht="28.15" customFormat="1" customHeight="1" s="299">
      <c r="A77" s="345" t="n"/>
      <c r="B77" s="345" t="n"/>
      <c r="C77" s="344" t="inlineStr">
        <is>
          <t>Сметная прибыль 
(с коэффициентом на демонтаж 0,7)</t>
        </is>
      </c>
      <c r="D77" s="271">
        <f>D76</f>
        <v/>
      </c>
      <c r="E77" s="271" t="n"/>
      <c r="F77" s="347" t="n"/>
      <c r="G77" s="266">
        <f>G76*0.7</f>
        <v/>
      </c>
      <c r="H77" s="360" t="n"/>
      <c r="I77" s="266" t="n"/>
      <c r="J77" s="266">
        <f>J76*0.7</f>
        <v/>
      </c>
      <c r="K77" s="203" t="n"/>
    </row>
    <row r="78" ht="27.6" customFormat="1" customHeight="1" s="299">
      <c r="A78" s="345" t="n"/>
      <c r="B78" s="345" t="n"/>
      <c r="C78" s="344" t="inlineStr">
        <is>
          <t>Итого СМР (с НР и СП) 
(с коэффициентом на демонтаж 0,7)</t>
        </is>
      </c>
      <c r="D78" s="345" t="n"/>
      <c r="E78" s="346" t="n"/>
      <c r="F78" s="347" t="n"/>
      <c r="G78" s="266">
        <f>G73+G75+G77</f>
        <v/>
      </c>
      <c r="H78" s="348" t="n"/>
      <c r="I78" s="347" t="n"/>
      <c r="J78" s="266">
        <f>J73+J75+J77</f>
        <v/>
      </c>
      <c r="L78" s="204" t="n"/>
    </row>
    <row r="79" ht="28.15" customFormat="1" customHeight="1" s="299">
      <c r="A79" s="345" t="n"/>
      <c r="B79" s="345" t="n"/>
      <c r="C79" s="344" t="inlineStr">
        <is>
          <t>ВСЕГО СМР + ОБОРУДОВАНИЕ 
(с коэффициентом на демонтаж 0,7)</t>
        </is>
      </c>
      <c r="D79" s="345" t="n"/>
      <c r="E79" s="346" t="n"/>
      <c r="F79" s="347" t="n"/>
      <c r="G79" s="266">
        <f>G78</f>
        <v/>
      </c>
      <c r="H79" s="348" t="n"/>
      <c r="I79" s="347" t="n"/>
      <c r="J79" s="266">
        <f>J78</f>
        <v/>
      </c>
      <c r="K79" s="204" t="n"/>
      <c r="L79" s="203" t="n"/>
    </row>
    <row r="80" ht="14.25" customFormat="1" customHeight="1" s="299">
      <c r="A80" s="345" t="n"/>
      <c r="B80" s="345" t="n"/>
      <c r="C80" s="344" t="inlineStr">
        <is>
          <t>ИТОГО ПОКАЗАТЕЛЬ НА ЕД. ИЗМ.</t>
        </is>
      </c>
      <c r="D80" s="345" t="inlineStr">
        <is>
          <t>ячейка</t>
        </is>
      </c>
      <c r="E80" s="256" t="n">
        <v>8</v>
      </c>
      <c r="F80" s="347" t="n"/>
      <c r="G80" s="266">
        <f>G79/E80</f>
        <v/>
      </c>
      <c r="H80" s="348" t="n"/>
      <c r="I80" s="347" t="n"/>
      <c r="J80" s="266">
        <f>J79/E80</f>
        <v/>
      </c>
      <c r="K80" s="204" t="n"/>
      <c r="L80" s="203" t="n"/>
    </row>
    <row r="81" ht="14.25" customFormat="1" customHeight="1" s="299">
      <c r="A81" s="300" t="n"/>
    </row>
    <row r="82" ht="14.25" customFormat="1" customHeight="1" s="299">
      <c r="A82" s="301" t="inlineStr">
        <is>
          <t>Составил ______________________        А.Р. Маркова</t>
        </is>
      </c>
    </row>
    <row r="83" ht="14.25" customFormat="1" customHeight="1" s="299">
      <c r="A83" s="298" t="inlineStr">
        <is>
          <t xml:space="preserve">                         (подпись, инициалы, фамилия)</t>
        </is>
      </c>
    </row>
    <row r="84" ht="14.25" customFormat="1" customHeight="1" s="299">
      <c r="A84" s="301" t="n"/>
    </row>
    <row r="85" ht="14.25" customFormat="1" customHeight="1" s="299">
      <c r="A85" s="301" t="inlineStr">
        <is>
          <t>Проверил ______________________        А.В. Костянецкая</t>
        </is>
      </c>
    </row>
    <row r="86" ht="14.25" customFormat="1" customHeight="1" s="299">
      <c r="A86" s="298" t="inlineStr">
        <is>
          <t xml:space="preserve">                        (подпись, инициалы, фамилия)</t>
        </is>
      </c>
    </row>
  </sheetData>
  <mergeCells count="21">
    <mergeCell ref="A5:J5"/>
    <mergeCell ref="H9:H10"/>
    <mergeCell ref="B67:J67"/>
    <mergeCell ref="B61:J61"/>
    <mergeCell ref="B68:H68"/>
    <mergeCell ref="H2:J2"/>
    <mergeCell ref="B20:H20"/>
    <mergeCell ref="C9:C10"/>
    <mergeCell ref="E9:E10"/>
    <mergeCell ref="B16:H16"/>
    <mergeCell ref="B9:B10"/>
    <mergeCell ref="D9:D10"/>
    <mergeCell ref="B12:H12"/>
    <mergeCell ref="D6:J6"/>
    <mergeCell ref="A8:H8"/>
    <mergeCell ref="F9:G9"/>
    <mergeCell ref="B62:J62"/>
    <mergeCell ref="A4:H4"/>
    <mergeCell ref="A9:A10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19"/>
  <sheetViews>
    <sheetView view="pageBreakPreview" zoomScale="85" workbookViewId="0">
      <selection activeCell="D15" sqref="D15"/>
    </sheetView>
  </sheetViews>
  <sheetFormatPr baseColWidth="8" defaultRowHeight="15"/>
  <cols>
    <col width="5.7109375" customWidth="1" style="302" min="1" max="1"/>
    <col width="14.85546875" customWidth="1" style="302" min="2" max="2"/>
    <col width="39.140625" customWidth="1" style="302" min="3" max="3"/>
    <col width="8.28515625" customWidth="1" style="302" min="4" max="4"/>
    <col width="13.5703125" customWidth="1" style="302" min="5" max="5"/>
    <col width="12.42578125" customWidth="1" style="302" min="6" max="6"/>
    <col width="14.140625" customWidth="1" style="302" min="7" max="7"/>
  </cols>
  <sheetData>
    <row r="1">
      <c r="A1" s="366" t="inlineStr">
        <is>
          <t>Приложение №6</t>
        </is>
      </c>
    </row>
    <row r="2" ht="21.75" customHeight="1" s="302">
      <c r="A2" s="366" t="n"/>
      <c r="B2" s="366" t="n"/>
      <c r="C2" s="366" t="n"/>
      <c r="D2" s="366" t="n"/>
      <c r="E2" s="366" t="n"/>
      <c r="F2" s="366" t="n"/>
      <c r="G2" s="366" t="n"/>
    </row>
    <row r="3">
      <c r="A3" s="319" t="inlineStr">
        <is>
          <t>Расчет стоимости оборудования</t>
        </is>
      </c>
    </row>
    <row r="4" ht="25.5" customHeight="1" s="302">
      <c r="A4" s="322" t="inlineStr">
        <is>
          <t>Наименование разрабатываемого показателя УНЦ — Демонтаж ячейки выключателя НУ 220кВ</t>
        </is>
      </c>
    </row>
    <row r="5">
      <c r="A5" s="301" t="n"/>
      <c r="B5" s="301" t="n"/>
      <c r="C5" s="301" t="n"/>
      <c r="D5" s="301" t="n"/>
      <c r="E5" s="301" t="n"/>
      <c r="F5" s="301" t="n"/>
      <c r="G5" s="301" t="n"/>
    </row>
    <row r="6" ht="30" customHeight="1" s="302">
      <c r="A6" s="367" t="inlineStr">
        <is>
          <t>№ пп.</t>
        </is>
      </c>
      <c r="B6" s="367" t="inlineStr">
        <is>
          <t>Код ресурса</t>
        </is>
      </c>
      <c r="C6" s="367" t="inlineStr">
        <is>
          <t>Наименование</t>
        </is>
      </c>
      <c r="D6" s="367" t="inlineStr">
        <is>
          <t>Ед. изм.</t>
        </is>
      </c>
      <c r="E6" s="345" t="inlineStr">
        <is>
          <t>Кол-во единиц по проектным данным</t>
        </is>
      </c>
      <c r="F6" s="367" t="inlineStr">
        <is>
          <t>Сметная стоимость в ценах на 01.01.2000 (руб.)</t>
        </is>
      </c>
      <c r="G6" s="421" t="n"/>
    </row>
    <row r="7">
      <c r="A7" s="423" t="n"/>
      <c r="B7" s="423" t="n"/>
      <c r="C7" s="423" t="n"/>
      <c r="D7" s="423" t="n"/>
      <c r="E7" s="423" t="n"/>
      <c r="F7" s="345" t="inlineStr">
        <is>
          <t>на ед. изм.</t>
        </is>
      </c>
      <c r="G7" s="345" t="inlineStr">
        <is>
          <t>общая</t>
        </is>
      </c>
    </row>
    <row r="8">
      <c r="A8" s="345" t="n">
        <v>1</v>
      </c>
      <c r="B8" s="345" t="n">
        <v>2</v>
      </c>
      <c r="C8" s="345" t="n">
        <v>3</v>
      </c>
      <c r="D8" s="345" t="n">
        <v>4</v>
      </c>
      <c r="E8" s="345" t="n">
        <v>5</v>
      </c>
      <c r="F8" s="345" t="n">
        <v>6</v>
      </c>
      <c r="G8" s="345" t="n">
        <v>7</v>
      </c>
    </row>
    <row r="9" ht="15" customHeight="1" s="302">
      <c r="A9" s="227" t="n"/>
      <c r="B9" s="344" t="inlineStr">
        <is>
          <t>ИНЖЕНЕРНОЕ ОБОРУДОВАНИЕ</t>
        </is>
      </c>
      <c r="C9" s="420" t="n"/>
      <c r="D9" s="420" t="n"/>
      <c r="E9" s="420" t="n"/>
      <c r="F9" s="420" t="n"/>
      <c r="G9" s="421" t="n"/>
    </row>
    <row r="10" ht="27" customHeight="1" s="302">
      <c r="A10" s="345" t="n"/>
      <c r="B10" s="337" t="n"/>
      <c r="C10" s="344" t="inlineStr">
        <is>
          <t>ИТОГО ИНЖЕНЕРНОЕ ОБОРУДОВАНИЕ</t>
        </is>
      </c>
      <c r="D10" s="337" t="n"/>
      <c r="E10" s="142" t="n"/>
      <c r="F10" s="347" t="n"/>
      <c r="G10" s="347" t="n">
        <v>0</v>
      </c>
    </row>
    <row r="11">
      <c r="A11" s="345" t="n"/>
      <c r="B11" s="344" t="inlineStr">
        <is>
          <t>ТЕХНОЛОГИЧЕСКОЕ ОБОРУДОВАНИЕ</t>
        </is>
      </c>
      <c r="C11" s="420" t="n"/>
      <c r="D11" s="420" t="n"/>
      <c r="E11" s="420" t="n"/>
      <c r="F11" s="420" t="n"/>
      <c r="G11" s="421" t="n"/>
    </row>
    <row r="12" ht="25.5" customHeight="1" s="302">
      <c r="A12" s="345" t="n"/>
      <c r="B12" s="165" t="n"/>
      <c r="C12" s="165" t="inlineStr">
        <is>
          <t>ИТОГО ТЕХНОЛОГИЧЕСКОЕ ОБОРУДОВАНИЕ</t>
        </is>
      </c>
      <c r="D12" s="165" t="n"/>
      <c r="E12" s="166" t="n"/>
      <c r="F12" s="347" t="n"/>
      <c r="G12" s="266" t="n">
        <v>0</v>
      </c>
    </row>
    <row r="13" ht="19.5" customHeight="1" s="302">
      <c r="A13" s="345" t="n"/>
      <c r="B13" s="344" t="n"/>
      <c r="C13" s="344" t="inlineStr">
        <is>
          <t>Всего по разделу «Оборудование»</t>
        </is>
      </c>
      <c r="D13" s="344" t="n"/>
      <c r="E13" s="365" t="n"/>
      <c r="F13" s="347" t="n"/>
      <c r="G13" s="266">
        <f>G10+G12</f>
        <v/>
      </c>
    </row>
    <row r="14">
      <c r="A14" s="300" t="n"/>
      <c r="B14" s="296" t="n"/>
      <c r="C14" s="300" t="n"/>
      <c r="D14" s="300" t="n"/>
      <c r="E14" s="300" t="n"/>
      <c r="F14" s="300" t="n"/>
      <c r="G14" s="300" t="n"/>
    </row>
    <row r="15">
      <c r="A15" s="301" t="inlineStr">
        <is>
          <t>Составил ______________________        А.Р. Маркова</t>
        </is>
      </c>
      <c r="B15" s="299" t="n"/>
      <c r="C15" s="299" t="n"/>
      <c r="D15" s="300" t="n"/>
      <c r="E15" s="300" t="n"/>
      <c r="F15" s="300" t="n"/>
      <c r="G15" s="300" t="n"/>
    </row>
    <row r="16">
      <c r="A16" s="298" t="inlineStr">
        <is>
          <t xml:space="preserve">                         (подпись, инициалы, фамилия)</t>
        </is>
      </c>
      <c r="B16" s="299" t="n"/>
      <c r="C16" s="299" t="n"/>
      <c r="D16" s="300" t="n"/>
      <c r="E16" s="300" t="n"/>
      <c r="F16" s="300" t="n"/>
      <c r="G16" s="300" t="n"/>
    </row>
    <row r="17">
      <c r="A17" s="301" t="n"/>
      <c r="B17" s="299" t="n"/>
      <c r="C17" s="299" t="n"/>
      <c r="D17" s="300" t="n"/>
      <c r="E17" s="300" t="n"/>
      <c r="F17" s="300" t="n"/>
      <c r="G17" s="300" t="n"/>
    </row>
    <row r="18">
      <c r="A18" s="301" t="inlineStr">
        <is>
          <t>Проверил ______________________        А.В. Костянецкая</t>
        </is>
      </c>
      <c r="B18" s="299" t="n"/>
      <c r="C18" s="299" t="n"/>
      <c r="D18" s="300" t="n"/>
      <c r="E18" s="300" t="n"/>
      <c r="F18" s="300" t="n"/>
      <c r="G18" s="300" t="n"/>
    </row>
    <row r="19">
      <c r="A19" s="298" t="inlineStr">
        <is>
          <t xml:space="preserve">                        (подпись, инициалы, фамилия)</t>
        </is>
      </c>
      <c r="B19" s="299" t="n"/>
      <c r="C19" s="299" t="n"/>
      <c r="D19" s="300" t="n"/>
      <c r="E19" s="300" t="n"/>
      <c r="F19" s="300" t="n"/>
      <c r="G19" s="3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zoomScale="115" workbookViewId="0">
      <selection activeCell="D13" sqref="D13"/>
    </sheetView>
  </sheetViews>
  <sheetFormatPr baseColWidth="8" defaultRowHeight="15"/>
  <cols>
    <col width="13.85546875" customWidth="1" style="302" min="1" max="1"/>
    <col width="28.28515625" customWidth="1" style="302" min="2" max="2"/>
    <col width="38.5703125" customWidth="1" style="302" min="3" max="3"/>
    <col width="28" customWidth="1" style="302" min="4" max="4"/>
  </cols>
  <sheetData>
    <row r="1">
      <c r="B1" s="301" t="n"/>
      <c r="C1" s="301" t="n"/>
      <c r="D1" s="366" t="inlineStr">
        <is>
          <t>Приложение №7</t>
        </is>
      </c>
    </row>
    <row r="2">
      <c r="A2" s="366" t="n"/>
      <c r="B2" s="366" t="n"/>
      <c r="C2" s="366" t="n"/>
      <c r="D2" s="366" t="n"/>
    </row>
    <row r="3">
      <c r="A3" s="319" t="inlineStr">
        <is>
          <t>Расчет показателя УНЦ</t>
        </is>
      </c>
    </row>
    <row r="4">
      <c r="A4" s="319" t="n"/>
      <c r="B4" s="319" t="n"/>
      <c r="C4" s="319" t="n"/>
      <c r="D4" s="319" t="n"/>
    </row>
    <row r="5" ht="54.75" customHeight="1" s="302">
      <c r="A5" s="322" t="inlineStr">
        <is>
          <t xml:space="preserve">Наименование разрабатываемого показателя УНЦ - </t>
        </is>
      </c>
      <c r="D5" s="322">
        <f>'Прил.5 Расчет СМР и ОБ'!D6:J6</f>
        <v/>
      </c>
    </row>
    <row r="6">
      <c r="A6" s="322" t="inlineStr">
        <is>
          <t>Единица измерения  — 1 ячейка</t>
        </is>
      </c>
      <c r="D6" s="322" t="n"/>
    </row>
    <row r="7">
      <c r="A7" s="301" t="n"/>
      <c r="B7" s="301" t="n"/>
      <c r="C7" s="301" t="n"/>
      <c r="D7" s="301" t="n"/>
    </row>
    <row r="8">
      <c r="A8" s="333" t="inlineStr">
        <is>
          <t>Код показателя</t>
        </is>
      </c>
      <c r="B8" s="333" t="inlineStr">
        <is>
          <t>Наименование показателя</t>
        </is>
      </c>
      <c r="C8" s="333" t="inlineStr">
        <is>
          <t>Наименование РМ, входящих в состав показателя</t>
        </is>
      </c>
      <c r="D8" s="333" t="inlineStr">
        <is>
          <t>Норматив цены на 01.01.2023, тыс.руб.</t>
        </is>
      </c>
    </row>
    <row r="9">
      <c r="A9" s="423" t="n"/>
      <c r="B9" s="423" t="n"/>
      <c r="C9" s="423" t="n"/>
      <c r="D9" s="423" t="n"/>
    </row>
    <row r="10">
      <c r="A10" s="345" t="n">
        <v>1</v>
      </c>
      <c r="B10" s="345" t="n">
        <v>2</v>
      </c>
      <c r="C10" s="345" t="n">
        <v>3</v>
      </c>
      <c r="D10" s="345" t="n">
        <v>4</v>
      </c>
    </row>
    <row r="11" ht="25.5" customHeight="1" s="302">
      <c r="A11" s="345" t="inlineStr">
        <is>
          <t>М6-01-3</t>
        </is>
      </c>
      <c r="B11" s="345" t="inlineStr">
        <is>
          <t>УНЦ на демонтажные работы ПС</t>
        </is>
      </c>
      <c r="C11" s="293" t="inlineStr">
        <is>
          <t>Демонтаж ячейки выключателя НУ 220кВ</t>
        </is>
      </c>
      <c r="D11" s="294">
        <f>'Прил.4 РМ'!C42/1000</f>
        <v/>
      </c>
    </row>
    <row r="12">
      <c r="A12" s="300" t="n"/>
      <c r="B12" s="296" t="n"/>
      <c r="C12" s="300" t="n"/>
      <c r="D12" s="300" t="n"/>
    </row>
    <row r="13">
      <c r="A13" s="301" t="inlineStr">
        <is>
          <t>Составил ______________________      А.Р. Маркова</t>
        </is>
      </c>
      <c r="B13" s="299" t="n"/>
      <c r="C13" s="299" t="n"/>
      <c r="D13" s="300" t="n"/>
    </row>
    <row r="14">
      <c r="A14" s="298" t="inlineStr">
        <is>
          <t xml:space="preserve">                         (подпись, инициалы, фамилия)</t>
        </is>
      </c>
      <c r="B14" s="299" t="n"/>
      <c r="C14" s="299" t="n"/>
      <c r="D14" s="300" t="n"/>
    </row>
    <row r="15">
      <c r="A15" s="301" t="n"/>
      <c r="B15" s="299" t="n"/>
      <c r="C15" s="299" t="n"/>
      <c r="D15" s="300" t="n"/>
    </row>
    <row r="16">
      <c r="A16" s="301" t="inlineStr">
        <is>
          <t>Проверил ______________________        А.В. Костянецкая</t>
        </is>
      </c>
      <c r="B16" s="299" t="n"/>
      <c r="C16" s="299" t="n"/>
      <c r="D16" s="300" t="n"/>
    </row>
    <row r="17">
      <c r="A17" s="298" t="inlineStr">
        <is>
          <t xml:space="preserve">                        (подпись, инициалы, фамилия)</t>
        </is>
      </c>
      <c r="B17" s="299" t="n"/>
      <c r="C17" s="299" t="n"/>
      <c r="D17" s="30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0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A4:D27"/>
  <sheetViews>
    <sheetView view="pageBreakPreview" topLeftCell="A16" zoomScale="60" zoomScaleNormal="100" workbookViewId="0">
      <selection activeCell="B23" sqref="B23"/>
    </sheetView>
  </sheetViews>
  <sheetFormatPr baseColWidth="8" defaultRowHeight="15"/>
  <cols>
    <col width="40.7109375" customWidth="1" style="302" min="2" max="2"/>
    <col width="37" customWidth="1" style="302" min="3" max="3"/>
    <col width="32" customWidth="1" style="302" min="4" max="4"/>
  </cols>
  <sheetData>
    <row r="4" ht="15.75" customHeight="1" s="302">
      <c r="B4" s="326" t="inlineStr">
        <is>
          <t>Приложение № 10</t>
        </is>
      </c>
    </row>
    <row r="5" ht="18.75" customHeight="1" s="302">
      <c r="B5" s="180" t="n"/>
    </row>
    <row r="6" ht="15.75" customHeight="1" s="302">
      <c r="B6" s="332" t="inlineStr">
        <is>
          <t>Используемые индексы изменений сметной стоимости и нормы сопутствующих затрат</t>
        </is>
      </c>
    </row>
    <row r="7">
      <c r="A7" s="343" t="n"/>
    </row>
    <row r="8" ht="18.75" customHeight="1" s="302">
      <c r="B8" s="182" t="n"/>
    </row>
    <row r="9" ht="47.25" customHeight="1" s="302">
      <c r="B9" s="333" t="inlineStr">
        <is>
          <t>Наименование индекса / норм сопутствующих затрат</t>
        </is>
      </c>
      <c r="C9" s="333" t="inlineStr">
        <is>
          <t>Дата применения и обоснование индекса / норм сопутствующих затрат</t>
        </is>
      </c>
      <c r="D9" s="333" t="inlineStr">
        <is>
          <t>Размер индекса / норма сопутствующих затрат</t>
        </is>
      </c>
    </row>
    <row r="10" ht="15.75" customHeight="1" s="302">
      <c r="B10" s="333" t="n">
        <v>1</v>
      </c>
      <c r="C10" s="333" t="n">
        <v>2</v>
      </c>
      <c r="D10" s="333" t="n">
        <v>3</v>
      </c>
    </row>
    <row r="11" ht="45" customHeight="1" s="302">
      <c r="B11" s="333" t="inlineStr">
        <is>
          <t xml:space="preserve">Индекс изменения сметной стоимости на 1 квартал 2023 года. ОЗП </t>
        </is>
      </c>
      <c r="C11" s="333" t="inlineStr">
        <is>
          <t>Письмо Минстроя России от 30.03.2023г. №17106-ИФ/09  прил.1</t>
        </is>
      </c>
      <c r="D11" s="333" t="n">
        <v>44.29</v>
      </c>
    </row>
    <row r="12" ht="29.25" customHeight="1" s="302">
      <c r="B12" s="333" t="inlineStr">
        <is>
          <t>Индекс изменения сметной стоимости на 1 квартал 2023 года. ЭМ</t>
        </is>
      </c>
      <c r="C12" s="333" t="inlineStr">
        <is>
          <t>Письмо Минстроя России от 30.03.2023г. №17106-ИФ/09  прил.1</t>
        </is>
      </c>
      <c r="D12" s="333" t="n">
        <v>13.47</v>
      </c>
    </row>
    <row r="13" ht="29.25" customHeight="1" s="302">
      <c r="B13" s="333" t="inlineStr">
        <is>
          <t>Индекс изменения сметной стоимости на 1 квартал 2023 года. МАТ</t>
        </is>
      </c>
      <c r="C13" s="333" t="inlineStr">
        <is>
          <t>Письмо Минстроя России от 30.03.2023г. №17106-ИФ/09  прил.1</t>
        </is>
      </c>
      <c r="D13" s="333" t="n">
        <v>8.039999999999999</v>
      </c>
    </row>
    <row r="14" ht="30.75" customHeight="1" s="302">
      <c r="B14" s="333" t="inlineStr">
        <is>
          <t>Индекс изменения сметной стоимости на 1 квартал 2023 года. ОБ</t>
        </is>
      </c>
      <c r="C14" s="221" t="inlineStr">
        <is>
          <t>Письмо Минстроя России от 23.02.2023г. №9791-ИФ/09 прил.6</t>
        </is>
      </c>
      <c r="D14" s="333" t="n">
        <v>6.26</v>
      </c>
    </row>
    <row r="15" ht="89.25" customHeight="1" s="302">
      <c r="B15" s="333" t="inlineStr">
        <is>
          <t>Временные здания и сооружения</t>
        </is>
      </c>
      <c r="C15" s="33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3" t="n">
        <v>0.039</v>
      </c>
    </row>
    <row r="16" ht="78.75" customHeight="1" s="302">
      <c r="B16" s="333" t="inlineStr">
        <is>
          <t>Дополнительные затраты при производстве строительно-монтажных работ в зимнее время</t>
        </is>
      </c>
      <c r="C16" s="3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3" t="n">
        <v>0.021</v>
      </c>
    </row>
    <row r="17" ht="34.5" customHeight="1" s="302">
      <c r="B17" s="333" t="n"/>
      <c r="C17" s="333" t="n"/>
      <c r="D17" s="333" t="n"/>
    </row>
    <row r="18" ht="31.5" customHeight="1" s="302">
      <c r="B18" s="333" t="inlineStr">
        <is>
          <t>Строительный контроль</t>
        </is>
      </c>
      <c r="C18" s="333" t="inlineStr">
        <is>
          <t>Постановление Правительства РФ от 21.06.10 г. № 468</t>
        </is>
      </c>
      <c r="D18" s="223" t="n">
        <v>0.0214</v>
      </c>
    </row>
    <row r="19" ht="31.5" customHeight="1" s="302">
      <c r="B19" s="333" t="inlineStr">
        <is>
          <t>Авторский надзор - 0,2%</t>
        </is>
      </c>
      <c r="C19" s="333" t="inlineStr">
        <is>
          <t>Приказ от 4.08.2020 № 421/пр п.173</t>
        </is>
      </c>
      <c r="D19" s="223" t="n">
        <v>0.002</v>
      </c>
    </row>
    <row r="20" ht="24" customHeight="1" s="302">
      <c r="B20" s="333" t="inlineStr">
        <is>
          <t>Непредвиденные расходы</t>
        </is>
      </c>
      <c r="C20" s="333" t="inlineStr">
        <is>
          <t>Приказ от 4.08.2020 № 421/пр п.179</t>
        </is>
      </c>
      <c r="D20" s="223" t="n">
        <v>0.03</v>
      </c>
    </row>
    <row r="23">
      <c r="B23" s="301" t="inlineStr">
        <is>
          <t>Составил ______________________        А.Р. Маркова</t>
        </is>
      </c>
      <c r="C23" s="299" t="n"/>
    </row>
    <row r="24">
      <c r="B24" s="298" t="inlineStr">
        <is>
          <t xml:space="preserve">                         (подпись, инициалы, фамилия)</t>
        </is>
      </c>
      <c r="C24" s="299" t="n"/>
    </row>
    <row r="25">
      <c r="B25" s="301" t="n"/>
      <c r="C25" s="299" t="n"/>
    </row>
    <row r="26">
      <c r="B26" s="301" t="inlineStr">
        <is>
          <t>Проверил ______________________        А.В. Костянецкая</t>
        </is>
      </c>
      <c r="C26" s="299" t="n"/>
    </row>
    <row r="27">
      <c r="B27" s="298" t="inlineStr">
        <is>
          <t xml:space="preserve">                        (подпись, инициалы, фамилия)</t>
        </is>
      </c>
      <c r="C27" s="299" t="n"/>
    </row>
  </sheetData>
  <mergeCells count="3">
    <mergeCell ref="A7:D7"/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2" min="2" max="2"/>
    <col width="13" customWidth="1" style="302" min="3" max="3"/>
    <col width="22.85546875" customWidth="1" style="302" min="4" max="4"/>
    <col width="21.5703125" customWidth="1" style="302" min="5" max="5"/>
    <col width="53.7109375" bestFit="1" customWidth="1" style="302" min="6" max="6"/>
  </cols>
  <sheetData>
    <row r="1" s="302"/>
    <row r="2" ht="17.25" customHeight="1" s="302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3" s="302"/>
    <row r="4" ht="18" customHeight="1" s="302">
      <c r="A4" s="303" t="inlineStr">
        <is>
          <t>Составлен в уровне цен на 01.01.2023 г.</t>
        </is>
      </c>
      <c r="B4" s="304" t="n"/>
      <c r="C4" s="304" t="n"/>
      <c r="D4" s="304" t="n"/>
      <c r="E4" s="304" t="n"/>
      <c r="F4" s="304" t="n"/>
      <c r="G4" s="304" t="n"/>
    </row>
    <row r="5" ht="15.75" customHeight="1" s="302">
      <c r="A5" s="305" t="inlineStr">
        <is>
          <t>№ пп.</t>
        </is>
      </c>
      <c r="B5" s="305" t="inlineStr">
        <is>
          <t>Наименование элемента</t>
        </is>
      </c>
      <c r="C5" s="305" t="inlineStr">
        <is>
          <t>Обозначение</t>
        </is>
      </c>
      <c r="D5" s="305" t="inlineStr">
        <is>
          <t>Формула</t>
        </is>
      </c>
      <c r="E5" s="305" t="inlineStr">
        <is>
          <t>Величина элемента</t>
        </is>
      </c>
      <c r="F5" s="305" t="inlineStr">
        <is>
          <t>Наименования обосновывающих документов</t>
        </is>
      </c>
      <c r="G5" s="304" t="n"/>
    </row>
    <row r="6" ht="15.75" customHeight="1" s="302">
      <c r="A6" s="305" t="n">
        <v>1</v>
      </c>
      <c r="B6" s="305" t="n">
        <v>2</v>
      </c>
      <c r="C6" s="305" t="n">
        <v>3</v>
      </c>
      <c r="D6" s="305" t="n">
        <v>4</v>
      </c>
      <c r="E6" s="305" t="n">
        <v>5</v>
      </c>
      <c r="F6" s="305" t="n">
        <v>6</v>
      </c>
      <c r="G6" s="304" t="n"/>
    </row>
    <row r="7" ht="110.25" customHeight="1" s="302">
      <c r="A7" s="306" t="inlineStr">
        <is>
          <t>1.1</t>
        </is>
      </c>
      <c r="B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3" t="inlineStr">
        <is>
          <t>С1ср</t>
        </is>
      </c>
      <c r="D7" s="333" t="inlineStr">
        <is>
          <t>-</t>
        </is>
      </c>
      <c r="E7" s="309" t="n">
        <v>47872.94</v>
      </c>
      <c r="F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4" t="n"/>
    </row>
    <row r="8" ht="31.5" customHeight="1" s="302">
      <c r="A8" s="306" t="inlineStr">
        <is>
          <t>1.2</t>
        </is>
      </c>
      <c r="B8" s="311" t="inlineStr">
        <is>
          <t>Среднегодовое нормативное число часов работы одного рабочего в месяц, часы (ч.)</t>
        </is>
      </c>
      <c r="C8" s="333" t="inlineStr">
        <is>
          <t>tср</t>
        </is>
      </c>
      <c r="D8" s="333" t="inlineStr">
        <is>
          <t>1973ч/12мес.</t>
        </is>
      </c>
      <c r="E8" s="310">
        <f>1973/12</f>
        <v/>
      </c>
      <c r="F8" s="311" t="inlineStr">
        <is>
          <t>Производственный календарь 2023 год
(40-часов.неделя)</t>
        </is>
      </c>
      <c r="G8" s="313" t="n"/>
    </row>
    <row r="9" ht="15.75" customHeight="1" s="302">
      <c r="A9" s="306" t="inlineStr">
        <is>
          <t>1.3</t>
        </is>
      </c>
      <c r="B9" s="311" t="inlineStr">
        <is>
          <t>Коэффициент увеличения</t>
        </is>
      </c>
      <c r="C9" s="333" t="inlineStr">
        <is>
          <t>Кув</t>
        </is>
      </c>
      <c r="D9" s="333" t="inlineStr">
        <is>
          <t>-</t>
        </is>
      </c>
      <c r="E9" s="310" t="n">
        <v>1</v>
      </c>
      <c r="F9" s="311" t="n"/>
      <c r="G9" s="313" t="n"/>
    </row>
    <row r="10" ht="15.75" customHeight="1" s="302">
      <c r="A10" s="306" t="inlineStr">
        <is>
          <t>1.4</t>
        </is>
      </c>
      <c r="B10" s="311" t="inlineStr">
        <is>
          <t>Средний разряд работ</t>
        </is>
      </c>
      <c r="C10" s="333" t="n"/>
      <c r="D10" s="333" t="n"/>
      <c r="E10" s="435" t="n">
        <v>4.4</v>
      </c>
      <c r="F10" s="311" t="inlineStr">
        <is>
          <t>РТМ</t>
        </is>
      </c>
      <c r="G10" s="313" t="n"/>
    </row>
    <row r="11" ht="78.75" customHeight="1" s="302">
      <c r="A11" s="306" t="inlineStr">
        <is>
          <t>1.5</t>
        </is>
      </c>
      <c r="B11" s="311" t="inlineStr">
        <is>
          <t>Тарифный коэффициент среднего разряда работ</t>
        </is>
      </c>
      <c r="C11" s="333" t="inlineStr">
        <is>
          <t>КТ</t>
        </is>
      </c>
      <c r="D11" s="333" t="inlineStr">
        <is>
          <t>-</t>
        </is>
      </c>
      <c r="E11" s="436" t="n">
        <v>1.42</v>
      </c>
      <c r="F11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4" t="n"/>
    </row>
    <row r="12" ht="78.75" customHeight="1" s="302">
      <c r="A12" s="316" t="inlineStr">
        <is>
          <t>1.6</t>
        </is>
      </c>
      <c r="B12" s="412" t="inlineStr">
        <is>
          <t>Коэффициент инфляции, определяемый поквартально</t>
        </is>
      </c>
      <c r="C12" s="317" t="inlineStr">
        <is>
          <t>Кинф</t>
        </is>
      </c>
      <c r="D12" s="317" t="inlineStr">
        <is>
          <t>-</t>
        </is>
      </c>
      <c r="E12" s="437" t="n">
        <v>1.139</v>
      </c>
      <c r="F12" s="4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2">
      <c r="A13" s="415" t="inlineStr">
        <is>
          <t>1.7</t>
        </is>
      </c>
      <c r="B13" s="416" t="inlineStr">
        <is>
          <t>Размер средств на оплату труда рабочих-строителей в текущем уровне цен (ФОТр.тек.), руб/чел.-ч</t>
        </is>
      </c>
      <c r="C13" s="417" t="inlineStr">
        <is>
          <t>ФОТр.тек.</t>
        </is>
      </c>
      <c r="D13" s="417" t="inlineStr">
        <is>
          <t>(С1ср/tср*КТ*Т*Кув)*Кинф</t>
        </is>
      </c>
      <c r="E13" s="418">
        <f>((E7*E9/E8)*E11)*E12</f>
        <v/>
      </c>
      <c r="F13" s="4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2025-01-24T12:11:31Z</dcterms:modified>
  <cp:lastModifiedBy>Николай Трофименко</cp:lastModifiedBy>
  <cp:lastPrinted>2023-11-29T08:30:07Z</cp:lastPrinted>
</cp:coreProperties>
</file>