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ОБ'!$A$1:$J$91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.0\ _₽_-;\-* #,##0.0\ _₽_-;_-* &quot;-&quot;??\ _₽_-;_-@_-"/>
    <numFmt numFmtId="165" formatCode="0.0_ ;\-0.0\ "/>
    <numFmt numFmtId="166" formatCode="#,##0.00_ ;\-#,##0.00\ "/>
    <numFmt numFmtId="167" formatCode="#,##0.0000"/>
    <numFmt numFmtId="168" formatCode="#,##0.00000"/>
    <numFmt numFmtId="169" formatCode="0.0000"/>
    <numFmt numFmtId="170" formatCode="#,##0.0"/>
    <numFmt numFmtId="171" formatCode="#,##0.000"/>
  </numFmts>
  <fonts count="22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Times New Roman"/>
      <color rgb="FF000000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2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43" fontId="2" fillId="0" borderId="1" applyAlignment="1" pivotButton="0" quotePrefix="0" xfId="0">
      <alignment horizontal="right" vertical="top" wrapText="1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4" fontId="8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14" fontId="9" fillId="0" borderId="1" applyAlignment="1" pivotButton="0" quotePrefix="0" xfId="0">
      <alignment horizontal="center" vertical="center" wrapText="1"/>
    </xf>
    <xf numFmtId="165" fontId="10" fillId="2" borderId="0" pivotButton="0" quotePrefix="0" xfId="0"/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vertical="center"/>
    </xf>
    <xf numFmtId="166" fontId="12" fillId="0" borderId="0" pivotButton="0" quotePrefix="0" xfId="0"/>
    <xf numFmtId="0" fontId="0" fillId="0" borderId="0" pivotButton="0" quotePrefix="0" xfId="0"/>
    <xf numFmtId="0" fontId="13" fillId="0" borderId="1" applyAlignment="1" pivotButton="0" quotePrefix="0" xfId="0">
      <alignment vertical="center" wrapText="1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164" fontId="10" fillId="0" borderId="0" pivotButton="0" quotePrefix="0" xfId="0"/>
    <xf numFmtId="49" fontId="2" fillId="0" borderId="1" applyAlignment="1" pivotButton="0" quotePrefix="0" xfId="0">
      <alignment horizontal="left" vertical="center" wrapText="1"/>
    </xf>
    <xf numFmtId="43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center" wrapText="1"/>
    </xf>
    <xf numFmtId="2" fontId="9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67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68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14" fillId="0" borderId="1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" fontId="2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center" vertical="top" wrapText="1"/>
    </xf>
    <xf numFmtId="0" fontId="15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1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70" fontId="6" fillId="0" borderId="1" applyAlignment="1" pivotButton="0" quotePrefix="0" xfId="0">
      <alignment horizontal="center" vertical="center"/>
    </xf>
    <xf numFmtId="171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vertical="center" wrapText="1"/>
    </xf>
    <xf numFmtId="16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17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17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5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/>
    </xf>
    <xf numFmtId="10" fontId="2" fillId="0" borderId="4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0" fillId="0" borderId="5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4" fontId="8" fillId="2" borderId="0" pivotButton="0" quotePrefix="0" xfId="0"/>
    <xf numFmtId="43" fontId="3" fillId="0" borderId="1" applyAlignment="1" pivotButton="0" quotePrefix="0" xfId="0">
      <alignment vertical="center" wrapText="1"/>
    </xf>
    <xf numFmtId="165" fontId="10" fillId="2" borderId="0" pivotButton="0" quotePrefix="0" xfId="0"/>
    <xf numFmtId="164" fontId="10" fillId="0" borderId="0" pivotButton="0" quotePrefix="0" xfId="0"/>
    <xf numFmtId="43" fontId="2" fillId="0" borderId="1" applyAlignment="1" pivotButton="0" quotePrefix="0" xfId="0">
      <alignment horizontal="right" vertical="top" wrapText="1"/>
    </xf>
    <xf numFmtId="166" fontId="12" fillId="0" borderId="0" pivotButton="0" quotePrefix="0" xfId="0"/>
    <xf numFmtId="43" fontId="0" fillId="0" borderId="0" pivotButton="0" quotePrefix="0" xfId="0"/>
    <xf numFmtId="169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70" fontId="6" fillId="0" borderId="1" applyAlignment="1" pivotButton="0" quotePrefix="0" xfId="0">
      <alignment horizontal="center" vertical="center"/>
    </xf>
    <xf numFmtId="171" fontId="6" fillId="0" borderId="1" applyAlignment="1" pivotButton="0" quotePrefix="0" xfId="0">
      <alignment horizontal="center" vertical="center"/>
    </xf>
    <xf numFmtId="169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5"/>
  <sheetViews>
    <sheetView tabSelected="1" view="pageBreakPreview" topLeftCell="A10" zoomScale="60" zoomScaleNormal="85" workbookViewId="0">
      <selection activeCell="D31" sqref="D31"/>
    </sheetView>
  </sheetViews>
  <sheetFormatPr baseColWidth="8" defaultRowHeight="15"/>
  <cols>
    <col width="36.85546875" customWidth="1" style="172" min="3" max="3"/>
    <col width="40.5703125" customWidth="1" style="172" min="4" max="4"/>
    <col width="14.28515625" customWidth="1" style="172" min="7" max="7"/>
    <col width="15" customWidth="1" style="172" min="10" max="10"/>
  </cols>
  <sheetData>
    <row r="3" ht="15.75" customHeight="1" s="172">
      <c r="B3" s="199" t="inlineStr">
        <is>
          <t>Приложение № 1</t>
        </is>
      </c>
    </row>
    <row r="4" ht="18.75" customHeight="1" s="172">
      <c r="B4" s="200" t="inlineStr">
        <is>
          <t>Сравнительная таблица отбора объекта-представителя</t>
        </is>
      </c>
    </row>
    <row r="5" ht="84" customHeight="1" s="172">
      <c r="B5" s="20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71" t="n"/>
      <c r="C6" s="71" t="n"/>
      <c r="D6" s="71" t="n"/>
    </row>
    <row r="7" ht="64.5" customHeight="1" s="172">
      <c r="B7" s="198" t="inlineStr">
        <is>
          <t>Наименование разрабатываемого показателя УНЦ — Демонтаж ячейки выключателя НУ 500кВ</t>
        </is>
      </c>
    </row>
    <row r="8" ht="31.5" customHeight="1" s="172">
      <c r="B8" s="198" t="inlineStr">
        <is>
          <t>Сопоставимый уровень цен: 01.01.2001</t>
        </is>
      </c>
    </row>
    <row r="9" ht="15.75" customHeight="1" s="172">
      <c r="B9" s="198" t="inlineStr">
        <is>
          <t>Единица измерения  — 1 ячейка</t>
        </is>
      </c>
    </row>
    <row r="10" ht="18.75" customHeight="1" s="172">
      <c r="B10" s="63" t="n"/>
    </row>
    <row r="11" ht="15.75" customHeight="1" s="172">
      <c r="B11" s="204" t="inlineStr">
        <is>
          <t>№ п/п</t>
        </is>
      </c>
      <c r="C11" s="204" t="inlineStr">
        <is>
          <t>Параметр</t>
        </is>
      </c>
      <c r="D11" s="204" t="inlineStr">
        <is>
          <t xml:space="preserve">Объект-представитель </t>
        </is>
      </c>
    </row>
    <row r="12" ht="31.5" customHeight="1" s="172">
      <c r="B12" s="204" t="n">
        <v>1</v>
      </c>
      <c r="C12" s="75" t="inlineStr">
        <is>
          <t>Наименование объекта-представителя</t>
        </is>
      </c>
      <c r="D12" s="204" t="inlineStr">
        <is>
          <t>ПС Святогор (МЭС Западная Сибирь)</t>
        </is>
      </c>
    </row>
    <row r="13" ht="49.9" customHeight="1" s="172">
      <c r="B13" s="204" t="n">
        <v>2</v>
      </c>
      <c r="C13" s="75" t="inlineStr">
        <is>
          <t>Наименование субъекта Российской Федерации</t>
        </is>
      </c>
      <c r="D13" s="204" t="inlineStr">
        <is>
          <t>Тюменская область 
ХМАО — Югра
Нефтеюганский район</t>
        </is>
      </c>
    </row>
    <row r="14" ht="15.75" customHeight="1" s="172">
      <c r="B14" s="204" t="n">
        <v>3</v>
      </c>
      <c r="C14" s="75" t="inlineStr">
        <is>
          <t>Климатический район и подрайон</t>
        </is>
      </c>
      <c r="D14" s="204" t="inlineStr">
        <is>
          <t>IД</t>
        </is>
      </c>
    </row>
    <row r="15" ht="15.75" customHeight="1" s="172">
      <c r="B15" s="204" t="n">
        <v>4</v>
      </c>
      <c r="C15" s="75" t="inlineStr">
        <is>
          <t>Мощность объекта</t>
        </is>
      </c>
      <c r="D15" s="204" t="n">
        <v>1</v>
      </c>
    </row>
    <row r="16" ht="94.5" customHeight="1" s="172">
      <c r="B16" s="204" t="n">
        <v>5</v>
      </c>
      <c r="C16" s="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4" t="inlineStr">
        <is>
          <t>Схема РУ 500-7 "Четырехугольник" 
тип выключателя- элегазовый колонковый
I откл. (кА)/I ном (А) - 63/4000</t>
        </is>
      </c>
    </row>
    <row r="17" ht="78.75" customHeight="1" s="172">
      <c r="B17" s="204" t="n">
        <v>6</v>
      </c>
      <c r="C17" s="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9">
        <f>D18+D19</f>
        <v/>
      </c>
    </row>
    <row r="18" ht="15.75" customHeight="1" s="172">
      <c r="B18" s="72" t="inlineStr">
        <is>
          <t>6.1</t>
        </is>
      </c>
      <c r="C18" s="75" t="inlineStr">
        <is>
          <t>строительно-монтажные работы</t>
        </is>
      </c>
      <c r="D18" s="99">
        <f>'Прил.2 Расч стоим'!F12</f>
        <v/>
      </c>
    </row>
    <row r="19" ht="15.75" customHeight="1" s="172">
      <c r="B19" s="72" t="inlineStr">
        <is>
          <t>6.2</t>
        </is>
      </c>
      <c r="C19" s="75" t="inlineStr">
        <is>
          <t>оборудование и инвентарь</t>
        </is>
      </c>
      <c r="D19" s="99" t="n">
        <v>0</v>
      </c>
    </row>
    <row r="20" ht="15.75" customHeight="1" s="172">
      <c r="B20" s="72" t="inlineStr">
        <is>
          <t>6.3</t>
        </is>
      </c>
      <c r="C20" s="75" t="inlineStr">
        <is>
          <t>пусконаладочные работы</t>
        </is>
      </c>
      <c r="D20" s="99" t="n"/>
    </row>
    <row r="21" ht="15.75" customHeight="1" s="172">
      <c r="B21" s="72" t="inlineStr">
        <is>
          <t>6.4</t>
        </is>
      </c>
      <c r="C21" s="75" t="inlineStr">
        <is>
          <t>прочие и лимитированные затраты</t>
        </is>
      </c>
      <c r="D21" s="99" t="n"/>
    </row>
    <row r="22" ht="15.75" customHeight="1" s="172">
      <c r="B22" s="204" t="n">
        <v>7</v>
      </c>
      <c r="C22" s="75" t="inlineStr">
        <is>
          <t>Сопоставимый уровень цен</t>
        </is>
      </c>
      <c r="D22" s="67" t="inlineStr">
        <is>
          <t>4 квартал 2014</t>
        </is>
      </c>
      <c r="G22" s="83" t="n"/>
    </row>
    <row r="23" ht="110.25" customHeight="1" s="172">
      <c r="B23" s="204" t="n">
        <v>8</v>
      </c>
      <c r="C23" s="6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9">
        <f>D17</f>
        <v/>
      </c>
    </row>
    <row r="24" ht="47.25" customHeight="1" s="172">
      <c r="B24" s="204" t="n">
        <v>9</v>
      </c>
      <c r="C24" s="66" t="inlineStr">
        <is>
          <t>Приведенная сметная стоимость на единицу мощности, тыс. руб. (строка 8/строку 4)</t>
        </is>
      </c>
      <c r="D24" s="99">
        <f>D17/D15</f>
        <v/>
      </c>
      <c r="G24" s="83" t="n"/>
    </row>
    <row r="25" hidden="1" ht="110.25" customHeight="1" s="172">
      <c r="B25" s="204" t="n">
        <v>10</v>
      </c>
      <c r="C25" s="75" t="inlineStr">
        <is>
          <t>Примечание</t>
        </is>
      </c>
      <c r="D25" s="7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2">
      <c r="B26" s="76" t="n"/>
      <c r="C26" s="77" t="n"/>
      <c r="D26" s="77" t="n"/>
    </row>
    <row r="27" hidden="1" s="172">
      <c r="B27" s="164" t="inlineStr">
        <is>
          <t>Составил ______________________        Е.А. Князева</t>
        </is>
      </c>
      <c r="C27" s="170" t="n"/>
    </row>
    <row r="28" hidden="1" s="172">
      <c r="B28" s="171" t="inlineStr">
        <is>
          <t xml:space="preserve">                         (подпись, инициалы, фамилия)</t>
        </is>
      </c>
      <c r="C28" s="170" t="n"/>
    </row>
    <row r="29" hidden="1" s="172">
      <c r="B29" s="171" t="n"/>
      <c r="C29" s="170" t="n"/>
    </row>
    <row r="30">
      <c r="B30" s="164" t="inlineStr">
        <is>
          <t>Составил ______________________        А.Р. Маркова</t>
        </is>
      </c>
      <c r="C30" s="170" t="n"/>
    </row>
    <row r="31">
      <c r="B31" s="171" t="inlineStr">
        <is>
          <t xml:space="preserve">                         (подпись, инициалы, фамилия)</t>
        </is>
      </c>
      <c r="C31" s="170" t="n"/>
    </row>
    <row r="32">
      <c r="B32" s="164" t="n"/>
      <c r="C32" s="170" t="n"/>
    </row>
    <row r="33">
      <c r="B33" s="164" t="inlineStr">
        <is>
          <t>Проверил ______________________        А.В. Костянецкая</t>
        </is>
      </c>
      <c r="C33" s="170" t="n"/>
    </row>
    <row r="34">
      <c r="B34" s="171" t="inlineStr">
        <is>
          <t xml:space="preserve">                        (подпись, инициалы, фамилия)</t>
        </is>
      </c>
      <c r="C34" s="170" t="n"/>
    </row>
    <row r="35" ht="15.75" customHeight="1" s="172">
      <c r="B35" s="77" t="n"/>
      <c r="C35" s="77" t="n"/>
      <c r="D35" s="7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18" sqref="C18"/>
    </sheetView>
  </sheetViews>
  <sheetFormatPr baseColWidth="8" defaultRowHeight="15"/>
  <cols>
    <col width="5.5703125" customWidth="1" style="172" min="1" max="1"/>
    <col width="35.28515625" customWidth="1" style="172" min="3" max="3"/>
    <col width="13.85546875" customWidth="1" style="172" min="4" max="4"/>
    <col width="17.42578125" customWidth="1" style="172" min="5" max="5"/>
    <col width="12.7109375" customWidth="1" style="172" min="6" max="6"/>
    <col width="14.85546875" customWidth="1" style="172" min="7" max="7"/>
    <col width="16.7109375" customWidth="1" style="172" min="8" max="8"/>
    <col width="13" customWidth="1" style="172" min="9" max="10"/>
    <col width="18" customWidth="1" style="172" min="11" max="11"/>
  </cols>
  <sheetData>
    <row r="3" ht="15.75" customHeight="1" s="172">
      <c r="B3" s="199" t="inlineStr">
        <is>
          <t>Приложение № 2</t>
        </is>
      </c>
    </row>
    <row r="4" ht="15.75" customHeight="1" s="172">
      <c r="B4" s="202" t="inlineStr">
        <is>
          <t>Расчет стоимости основных видов работ для выбора объекта-представителя</t>
        </is>
      </c>
    </row>
    <row r="5" ht="15.75" customHeight="1" s="172"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</row>
    <row r="6" ht="15.75" customHeight="1" s="172">
      <c r="B6" s="198">
        <f>'Прил.1 Сравнит табл'!B7</f>
        <v/>
      </c>
    </row>
    <row r="7" ht="15.75" customHeight="1" s="172">
      <c r="B7" s="198">
        <f>'Прил.1 Сравнит табл'!B9</f>
        <v/>
      </c>
    </row>
    <row r="8" ht="18.75" customHeight="1" s="172">
      <c r="B8" s="63" t="n"/>
    </row>
    <row r="9" ht="15.75" customHeight="1" s="172">
      <c r="B9" s="204" t="inlineStr">
        <is>
          <t>№ п/п</t>
        </is>
      </c>
      <c r="C9" s="2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4" t="inlineStr">
        <is>
          <t>Объект-представитель 1</t>
        </is>
      </c>
      <c r="E9" s="240" t="n"/>
      <c r="F9" s="240" t="n"/>
      <c r="G9" s="240" t="n"/>
      <c r="H9" s="240" t="n"/>
      <c r="I9" s="240" t="n"/>
      <c r="J9" s="241" t="n"/>
    </row>
    <row r="10" ht="15.75" customHeight="1" s="172">
      <c r="B10" s="242" t="n"/>
      <c r="C10" s="242" t="n"/>
      <c r="D10" s="204" t="inlineStr">
        <is>
          <t>Номер сметы</t>
        </is>
      </c>
      <c r="E10" s="204" t="inlineStr">
        <is>
          <t>Наименование сметы</t>
        </is>
      </c>
      <c r="F10" s="204" t="inlineStr">
        <is>
          <t>Сметная стоимость в уровне цен 4 кв. 2014г., тыс. руб.</t>
        </is>
      </c>
      <c r="G10" s="240" t="n"/>
      <c r="H10" s="240" t="n"/>
      <c r="I10" s="240" t="n"/>
      <c r="J10" s="241" t="n"/>
    </row>
    <row r="11" ht="31.5" customHeight="1" s="172">
      <c r="B11" s="243" t="n"/>
      <c r="C11" s="243" t="n"/>
      <c r="D11" s="243" t="n"/>
      <c r="E11" s="243" t="n"/>
      <c r="F11" s="204" t="inlineStr">
        <is>
          <t>Строительные работы</t>
        </is>
      </c>
      <c r="G11" s="204" t="inlineStr">
        <is>
          <t>Монтажные работы</t>
        </is>
      </c>
      <c r="H11" s="204" t="inlineStr">
        <is>
          <t>Оборудование</t>
        </is>
      </c>
      <c r="I11" s="204" t="inlineStr">
        <is>
          <t>Прочее</t>
        </is>
      </c>
      <c r="J11" s="204" t="inlineStr">
        <is>
          <t>Всего</t>
        </is>
      </c>
    </row>
    <row r="12" ht="31.5" customHeight="1" s="172">
      <c r="B12" s="204" t="n"/>
      <c r="C12" s="204" t="inlineStr">
        <is>
          <t>Демонтаж ячейки выключателя НУ 500кВ</t>
        </is>
      </c>
      <c r="D12" s="204" t="n"/>
      <c r="E12" s="204" t="n"/>
      <c r="F12" s="204" t="n">
        <v>13734.508260247</v>
      </c>
      <c r="G12" s="241" t="n"/>
      <c r="H12" s="204" t="n">
        <v>0</v>
      </c>
      <c r="I12" s="204" t="n"/>
      <c r="J12" s="204" t="n">
        <v>13734.508260247</v>
      </c>
    </row>
    <row r="13" ht="15.75" customHeight="1" s="172">
      <c r="B13" s="203" t="inlineStr">
        <is>
          <t>Всего по объекту:</t>
        </is>
      </c>
      <c r="C13" s="240" t="n"/>
      <c r="D13" s="240" t="n"/>
      <c r="E13" s="241" t="n"/>
      <c r="F13" s="82" t="n"/>
      <c r="G13" s="82" t="n"/>
      <c r="H13" s="82" t="n"/>
      <c r="I13" s="82" t="n"/>
      <c r="J13" s="82" t="n"/>
    </row>
    <row r="14" ht="15.75" customHeight="1" s="172">
      <c r="B14" s="203" t="inlineStr">
        <is>
          <t>Всего по объекту в сопоставимом уровне цен 4кв. 2014г:</t>
        </is>
      </c>
      <c r="C14" s="240" t="n"/>
      <c r="D14" s="240" t="n"/>
      <c r="E14" s="241" t="n"/>
      <c r="F14" s="244">
        <f>F12</f>
        <v/>
      </c>
      <c r="G14" s="241" t="n"/>
      <c r="H14" s="82">
        <f>H12</f>
        <v/>
      </c>
      <c r="I14" s="82" t="n"/>
      <c r="J14" s="82">
        <f>J12</f>
        <v/>
      </c>
    </row>
    <row r="18">
      <c r="C18" s="164" t="inlineStr">
        <is>
          <t>Составил ______________________        А.Р. Маркова</t>
        </is>
      </c>
      <c r="D18" s="170" t="n"/>
    </row>
    <row r="19">
      <c r="C19" s="171" t="inlineStr">
        <is>
          <t xml:space="preserve">                         (подпись, инициалы, фамилия)</t>
        </is>
      </c>
      <c r="D19" s="170" t="n"/>
    </row>
    <row r="20">
      <c r="C20" s="164" t="n"/>
      <c r="D20" s="170" t="n"/>
    </row>
    <row r="21">
      <c r="C21" s="164" t="inlineStr">
        <is>
          <t>Проверил ______________________        А.В. Костянецкая</t>
        </is>
      </c>
      <c r="D21" s="170" t="n"/>
    </row>
    <row r="22">
      <c r="C22" s="171" t="inlineStr">
        <is>
          <t xml:space="preserve">                        (подпись, инициалы, фамилия)</t>
        </is>
      </c>
      <c r="D22" s="170" t="n"/>
    </row>
  </sheetData>
  <mergeCells count="14">
    <mergeCell ref="F12:G12"/>
    <mergeCell ref="D10:D11"/>
    <mergeCell ref="B4:K4"/>
    <mergeCell ref="D9:J9"/>
    <mergeCell ref="B13:E13"/>
    <mergeCell ref="F10:J10"/>
    <mergeCell ref="B9:B11"/>
    <mergeCell ref="B7:K7"/>
    <mergeCell ref="F14:G14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4"/>
  <sheetViews>
    <sheetView view="pageBreakPreview" topLeftCell="A150" zoomScale="70" workbookViewId="0">
      <selection activeCell="D173" sqref="D173"/>
    </sheetView>
  </sheetViews>
  <sheetFormatPr baseColWidth="8" defaultRowHeight="15"/>
  <cols>
    <col width="12.5703125" customWidth="1" style="172" min="2" max="2"/>
    <col width="17" customWidth="1" style="172" min="3" max="3"/>
    <col width="49.7109375" customWidth="1" style="172" min="4" max="4"/>
    <col width="16.28515625" customWidth="1" style="172" min="5" max="5"/>
    <col width="20.7109375" customWidth="1" style="172" min="6" max="6"/>
    <col width="16.140625" customWidth="1" style="172" min="7" max="7"/>
    <col width="16.7109375" customWidth="1" style="172" min="8" max="8"/>
    <col width="4.5703125" customWidth="1" style="172" min="9" max="9"/>
    <col width="12.42578125" customWidth="1" style="172" min="10" max="10"/>
    <col width="13" customWidth="1" style="172" min="11" max="11"/>
    <col width="9.140625" customWidth="1" style="172" min="12" max="12"/>
  </cols>
  <sheetData>
    <row r="2" ht="15.75" customHeight="1" s="172">
      <c r="A2" s="199" t="inlineStr">
        <is>
          <t xml:space="preserve">Приложение № 3 </t>
        </is>
      </c>
    </row>
    <row r="3" ht="18.75" customHeight="1" s="172">
      <c r="A3" s="200" t="inlineStr">
        <is>
          <t>Объектная ресурсная ведомость</t>
        </is>
      </c>
    </row>
    <row r="4" ht="18.75" customHeight="1" s="172">
      <c r="A4" s="200" t="n"/>
      <c r="B4" s="200" t="n"/>
      <c r="C4" s="213" t="n"/>
    </row>
    <row r="5" ht="18.75" customHeight="1" s="172">
      <c r="A5" s="63" t="n"/>
    </row>
    <row r="6" ht="32.25" customHeight="1" s="172">
      <c r="A6" s="210">
        <f>'Прил.1 Сравнит табл'!B7</f>
        <v/>
      </c>
    </row>
    <row r="7" ht="32.25" customHeight="1" s="172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15.75" customHeight="1" s="172">
      <c r="A8" s="27" t="n"/>
      <c r="B8" s="27" t="n"/>
      <c r="C8" s="27" t="n"/>
      <c r="D8" s="27" t="n"/>
      <c r="E8" s="27" t="n"/>
      <c r="F8" s="27" t="n"/>
      <c r="G8" s="27" t="n"/>
      <c r="H8" s="245" t="n"/>
    </row>
    <row r="9" ht="38.25" customHeight="1" s="172">
      <c r="A9" s="204" t="inlineStr">
        <is>
          <t>п/п</t>
        </is>
      </c>
      <c r="B9" s="204" t="inlineStr">
        <is>
          <t>№ЛСР</t>
        </is>
      </c>
      <c r="C9" s="204" t="inlineStr">
        <is>
          <t>Код ресурса</t>
        </is>
      </c>
      <c r="D9" s="204" t="inlineStr">
        <is>
          <t>Наименование ресурса</t>
        </is>
      </c>
      <c r="E9" s="204" t="inlineStr">
        <is>
          <t>Ед. изм.</t>
        </is>
      </c>
      <c r="F9" s="204" t="inlineStr">
        <is>
          <t>Кол-во единиц по данным объекта-представителя</t>
        </is>
      </c>
      <c r="G9" s="204" t="inlineStr">
        <is>
          <t>Сметная стоимость в ценах на 01.01.2000 (руб.)</t>
        </is>
      </c>
      <c r="H9" s="241" t="n"/>
    </row>
    <row r="10" ht="40.5" customHeight="1" s="172">
      <c r="A10" s="243" t="n"/>
      <c r="B10" s="243" t="n"/>
      <c r="C10" s="243" t="n"/>
      <c r="D10" s="243" t="n"/>
      <c r="E10" s="243" t="n"/>
      <c r="F10" s="243" t="n"/>
      <c r="G10" s="204" t="inlineStr">
        <is>
          <t>на ед.изм.</t>
        </is>
      </c>
      <c r="H10" s="204" t="inlineStr">
        <is>
          <t>общая</t>
        </is>
      </c>
    </row>
    <row r="11" ht="15.75" customHeight="1" s="172">
      <c r="A11" s="204" t="n">
        <v>1</v>
      </c>
      <c r="B11" s="38" t="n"/>
      <c r="C11" s="204" t="n">
        <v>2</v>
      </c>
      <c r="D11" s="204" t="inlineStr">
        <is>
          <t>З</t>
        </is>
      </c>
      <c r="E11" s="204" t="n">
        <v>4</v>
      </c>
      <c r="F11" s="204" t="n">
        <v>5</v>
      </c>
      <c r="G11" s="38" t="n">
        <v>6</v>
      </c>
      <c r="H11" s="38" t="n">
        <v>7</v>
      </c>
    </row>
    <row r="12" ht="15" customHeight="1" s="172">
      <c r="A12" s="211" t="inlineStr">
        <is>
          <t>Затраты труда рабочих</t>
        </is>
      </c>
      <c r="B12" s="240" t="n"/>
      <c r="C12" s="240" t="n"/>
      <c r="D12" s="240" t="n"/>
      <c r="E12" s="240" t="n"/>
      <c r="F12" s="246" t="n">
        <v>36674.666666666</v>
      </c>
      <c r="G12" s="149" t="n"/>
      <c r="H12" s="246">
        <f>SUM(H13:H24)</f>
        <v/>
      </c>
      <c r="J12" s="247" t="n"/>
      <c r="K12" s="85" t="n"/>
    </row>
    <row r="13">
      <c r="A13" s="156" t="n">
        <v>1</v>
      </c>
      <c r="B13" s="61" t="n"/>
      <c r="C13" s="156" t="inlineStr">
        <is>
          <t>1-4-0</t>
        </is>
      </c>
      <c r="D13" s="153" t="inlineStr">
        <is>
          <t>Затраты труда рабочих (средний разряд работы 4,0)</t>
        </is>
      </c>
      <c r="E13" s="239" t="inlineStr">
        <is>
          <t>чел.-ч</t>
        </is>
      </c>
      <c r="F13" s="97" t="n">
        <v>17534.647741313</v>
      </c>
      <c r="G13" s="155" t="n">
        <v>10.959639811524</v>
      </c>
      <c r="H13" s="100" t="n">
        <v>192173.42346674</v>
      </c>
      <c r="J13" s="248" t="n"/>
    </row>
    <row r="14">
      <c r="A14" s="151">
        <f>A13+1</f>
        <v/>
      </c>
      <c r="B14" s="61" t="n"/>
      <c r="C14" s="156" t="inlineStr">
        <is>
          <t>1-4-9</t>
        </is>
      </c>
      <c r="D14" s="153" t="inlineStr">
        <is>
          <t>Затраты труда рабочих (средний разряд работы 4,9)</t>
        </is>
      </c>
      <c r="E14" s="239" t="inlineStr">
        <is>
          <t>чел.-ч</t>
        </is>
      </c>
      <c r="F14" s="97" t="n">
        <v>7571.3585981867</v>
      </c>
      <c r="G14" s="155" t="n">
        <v>12.46345733244</v>
      </c>
      <c r="H14" s="100" t="n">
        <v>94365.30483710401</v>
      </c>
    </row>
    <row r="15">
      <c r="A15" s="151">
        <f>A14+1</f>
        <v/>
      </c>
      <c r="B15" s="61" t="n"/>
      <c r="C15" s="156" t="inlineStr">
        <is>
          <t>1-4-3</t>
        </is>
      </c>
      <c r="D15" s="153" t="inlineStr">
        <is>
          <t>Затраты труда рабочих (средний разряд работы 4,3)</t>
        </is>
      </c>
      <c r="E15" s="239" t="inlineStr">
        <is>
          <t>чел.-ч</t>
        </is>
      </c>
      <c r="F15" s="97" t="n">
        <v>5518.8679307313</v>
      </c>
      <c r="G15" s="155" t="n">
        <v>11.460912318496</v>
      </c>
      <c r="H15" s="100" t="n">
        <v>63251.261451469</v>
      </c>
    </row>
    <row r="16">
      <c r="A16" s="151">
        <f>A15+1</f>
        <v/>
      </c>
      <c r="B16" s="61" t="n"/>
      <c r="C16" s="156" t="inlineStr">
        <is>
          <t>1-3-9</t>
        </is>
      </c>
      <c r="D16" s="153" t="inlineStr">
        <is>
          <t>Затраты труда рабочих (средний разряд работы 3,9)</t>
        </is>
      </c>
      <c r="E16" s="239" t="inlineStr">
        <is>
          <t>чел.-ч</t>
        </is>
      </c>
      <c r="F16" s="97" t="n">
        <v>4556.9324818568</v>
      </c>
      <c r="G16" s="155" t="n">
        <v>10.834321684781</v>
      </c>
      <c r="H16" s="100" t="n">
        <v>49371.272404263</v>
      </c>
    </row>
    <row r="17">
      <c r="A17" s="151">
        <f>A16+1</f>
        <v/>
      </c>
      <c r="B17" s="61" t="n"/>
      <c r="C17" s="156" t="inlineStr">
        <is>
          <t>1-4-1</t>
        </is>
      </c>
      <c r="D17" s="153" t="inlineStr">
        <is>
          <t>Затраты труда рабочих (средний разряд работы 4,1)</t>
        </is>
      </c>
      <c r="E17" s="239" t="inlineStr">
        <is>
          <t>чел.-ч</t>
        </is>
      </c>
      <c r="F17" s="97" t="n">
        <v>590.44701421593</v>
      </c>
      <c r="G17" s="155" t="n">
        <v>11.119135609197</v>
      </c>
      <c r="H17" s="100" t="n">
        <v>6565.2604211123</v>
      </c>
    </row>
    <row r="18">
      <c r="A18" s="151">
        <f>A17+1</f>
        <v/>
      </c>
      <c r="B18" s="61" t="n"/>
      <c r="C18" s="156" t="inlineStr">
        <is>
          <t>1-3-8</t>
        </is>
      </c>
      <c r="D18" s="153" t="inlineStr">
        <is>
          <t>Затраты труда рабочих (средний разряд работы 3,8)</t>
        </is>
      </c>
      <c r="E18" s="239" t="inlineStr">
        <is>
          <t>чел.-ч</t>
        </is>
      </c>
      <c r="F18" s="97" t="n">
        <v>349.43122573717</v>
      </c>
      <c r="G18" s="155" t="n">
        <v>10.709003558038</v>
      </c>
      <c r="H18" s="100" t="n">
        <v>3742.0602397088</v>
      </c>
    </row>
    <row r="19">
      <c r="A19" s="151">
        <f>A18+1</f>
        <v/>
      </c>
      <c r="B19" s="61" t="n"/>
      <c r="C19" s="156" t="inlineStr">
        <is>
          <t>1-3-6</t>
        </is>
      </c>
      <c r="D19" s="153" t="inlineStr">
        <is>
          <t>Затраты труда рабочих (средний разряд работы 3,6)</t>
        </is>
      </c>
      <c r="E19" s="239" t="inlineStr">
        <is>
          <t>чел.-ч</t>
        </is>
      </c>
      <c r="F19" s="97" t="n">
        <v>193.57683151011</v>
      </c>
      <c r="G19" s="155" t="n">
        <v>10.458367304552</v>
      </c>
      <c r="H19" s="100" t="n">
        <v>2024.4976055841</v>
      </c>
    </row>
    <row r="20">
      <c r="A20" s="151">
        <f>A19+1</f>
        <v/>
      </c>
      <c r="B20" s="61" t="n"/>
      <c r="C20" s="156" t="inlineStr">
        <is>
          <t>1-1-5</t>
        </is>
      </c>
      <c r="D20" s="153" t="inlineStr">
        <is>
          <t>Затраты труда рабочих (средний разряд работы 1,5)</t>
        </is>
      </c>
      <c r="E20" s="239" t="inlineStr">
        <is>
          <t>чел.-ч</t>
        </is>
      </c>
      <c r="F20" s="97" t="n">
        <v>169.51603367551</v>
      </c>
      <c r="G20" s="155" t="n">
        <v>8.5444177324769</v>
      </c>
      <c r="H20" s="100" t="n">
        <v>1448.4158040762</v>
      </c>
    </row>
    <row r="21">
      <c r="A21" s="151">
        <f>A20+1</f>
        <v/>
      </c>
      <c r="B21" s="61" t="n"/>
      <c r="C21" s="156" t="inlineStr">
        <is>
          <t>1-4-7</t>
        </is>
      </c>
      <c r="D21" s="153" t="inlineStr">
        <is>
          <t>Затраты труда рабочих (средний разряд работы 4,7)</t>
        </is>
      </c>
      <c r="E21" s="239" t="inlineStr">
        <is>
          <t>чел.-ч</t>
        </is>
      </c>
      <c r="F21" s="97" t="n">
        <v>143.50483955366</v>
      </c>
      <c r="G21" s="155" t="n">
        <v>12.133073180117</v>
      </c>
      <c r="H21" s="100" t="n">
        <v>1741.1547200055</v>
      </c>
    </row>
    <row r="22">
      <c r="A22" s="151">
        <f>A21+1</f>
        <v/>
      </c>
      <c r="B22" s="61" t="n"/>
      <c r="C22" s="156" t="inlineStr">
        <is>
          <t>1-3-5</t>
        </is>
      </c>
      <c r="D22" s="153" t="inlineStr">
        <is>
          <t>Затраты труда рабочих (средний разряд работы 3,5)</t>
        </is>
      </c>
      <c r="E22" s="239" t="inlineStr">
        <is>
          <t>чел.-ч</t>
        </is>
      </c>
      <c r="F22" s="97" t="n">
        <v>33.378372825077</v>
      </c>
      <c r="G22" s="155" t="n">
        <v>10.333049177809</v>
      </c>
      <c r="H22" s="100" t="n">
        <v>344.90036787676</v>
      </c>
    </row>
    <row r="23">
      <c r="A23" s="151">
        <f>A22+1</f>
        <v/>
      </c>
      <c r="B23" s="61" t="n"/>
      <c r="C23" s="156" t="inlineStr">
        <is>
          <t>1-4-2</t>
        </is>
      </c>
      <c r="D23" s="153" t="inlineStr">
        <is>
          <t>Затраты труда рабочих (средний разряд работы 4,2)</t>
        </is>
      </c>
      <c r="E23" s="239" t="inlineStr">
        <is>
          <t>чел.-ч</t>
        </is>
      </c>
      <c r="F23" s="97" t="n">
        <v>8.2271261571507</v>
      </c>
      <c r="G23" s="155" t="n">
        <v>11.301416520823</v>
      </c>
      <c r="H23" s="100" t="n">
        <v>92.978179471316</v>
      </c>
    </row>
    <row r="24">
      <c r="A24" s="151">
        <f>A23+1</f>
        <v/>
      </c>
      <c r="B24" s="61" t="n"/>
      <c r="C24" s="156" t="inlineStr">
        <is>
          <t>1-2-0</t>
        </is>
      </c>
      <c r="D24" s="153" t="inlineStr">
        <is>
          <t>Затраты труда рабочих (средний разряд работы 2,0)</t>
        </is>
      </c>
      <c r="E24" s="239" t="inlineStr">
        <is>
          <t>чел.-ч</t>
        </is>
      </c>
      <c r="F24" s="97" t="n">
        <v>4.778470903776</v>
      </c>
      <c r="G24" s="155" t="n">
        <v>8.8861944417761</v>
      </c>
      <c r="H24" s="100" t="n">
        <v>42.462421585323</v>
      </c>
    </row>
    <row r="25" ht="15" customHeight="1" s="172">
      <c r="A25" s="209" t="inlineStr">
        <is>
          <t>Затраты труда машинистов</t>
        </is>
      </c>
      <c r="B25" s="240" t="n"/>
      <c r="C25" s="240" t="n"/>
      <c r="D25" s="240" t="n"/>
      <c r="E25" s="241" t="n"/>
      <c r="F25" s="149" t="n"/>
      <c r="G25" s="149" t="n"/>
      <c r="H25" s="246">
        <f>H26</f>
        <v/>
      </c>
    </row>
    <row r="26">
      <c r="A26" s="151">
        <f>A24+1</f>
        <v/>
      </c>
      <c r="B26" s="61" t="n"/>
      <c r="C26" s="156" t="n">
        <v>2</v>
      </c>
      <c r="D26" s="153" t="inlineStr">
        <is>
          <t>Затраты труда машинистов</t>
        </is>
      </c>
      <c r="E26" s="239" t="inlineStr">
        <is>
          <t>чел.-ч</t>
        </is>
      </c>
      <c r="F26" s="156" t="n">
        <v>10722.2408</v>
      </c>
      <c r="G26" s="155" t="n"/>
      <c r="H26" s="249" t="n">
        <v>202972.018</v>
      </c>
      <c r="L26" s="31" t="n"/>
    </row>
    <row r="27" ht="15" customHeight="1" s="172">
      <c r="A27" s="209" t="inlineStr">
        <is>
          <t>Машины и механизмы</t>
        </is>
      </c>
      <c r="B27" s="240" t="n"/>
      <c r="C27" s="240" t="n"/>
      <c r="D27" s="240" t="n"/>
      <c r="E27" s="241" t="n"/>
      <c r="F27" s="149" t="n"/>
      <c r="G27" s="149" t="n"/>
      <c r="H27" s="246">
        <f>SUM(H28:H63)</f>
        <v/>
      </c>
      <c r="K27" s="85" t="n"/>
    </row>
    <row r="28" ht="25.5" customHeight="1" s="172">
      <c r="A28" s="156">
        <f>A26+1</f>
        <v/>
      </c>
      <c r="B28" s="61" t="n"/>
      <c r="C28" s="156" t="inlineStr">
        <is>
          <t>91.02.02-001</t>
        </is>
      </c>
      <c r="D28" s="153" t="inlineStr">
        <is>
          <t>Агрегаты копровые без дизель-молота на базе трактора мощностью 80 кВт (108 л.с.)</t>
        </is>
      </c>
      <c r="E28" s="239" t="inlineStr">
        <is>
          <t>маш.-ч</t>
        </is>
      </c>
      <c r="F28" s="156" t="n">
        <v>1334.4</v>
      </c>
      <c r="G28" s="93" t="n">
        <v>239.25</v>
      </c>
      <c r="H28" s="249">
        <f>F28*G28</f>
        <v/>
      </c>
    </row>
    <row r="29" ht="25.5" customHeight="1" s="172">
      <c r="A29" s="156">
        <f>A28+1</f>
        <v/>
      </c>
      <c r="B29" s="61" t="n"/>
      <c r="C29" s="156" t="inlineStr">
        <is>
          <t>91.05.05-014</t>
        </is>
      </c>
      <c r="D29" s="153" t="inlineStr">
        <is>
          <t>Краны на автомобильном ходу, грузоподъемность 10 т</t>
        </is>
      </c>
      <c r="E29" s="239" t="inlineStr">
        <is>
          <t>маш.-ч</t>
        </is>
      </c>
      <c r="F29" s="97" t="n">
        <v>1784.3666666667</v>
      </c>
      <c r="G29" s="93" t="n">
        <v>111.99</v>
      </c>
      <c r="H29" s="249">
        <f>F29*G29</f>
        <v/>
      </c>
    </row>
    <row r="30" ht="38.25" customHeight="1" s="172">
      <c r="A30" s="156">
        <f>A29+1</f>
        <v/>
      </c>
      <c r="B30" s="61" t="n"/>
      <c r="C30" s="156" t="inlineStr">
        <is>
          <t>91.04.01-021</t>
        </is>
      </c>
      <c r="D30" s="153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0" s="239" t="inlineStr">
        <is>
          <t>маш.-ч</t>
        </is>
      </c>
      <c r="F30" s="156" t="n">
        <v>1847.0866666667</v>
      </c>
      <c r="G30" s="93" t="n">
        <v>87.59999999999999</v>
      </c>
      <c r="H30" s="249">
        <f>F30*G30</f>
        <v/>
      </c>
    </row>
    <row r="31">
      <c r="A31" s="156">
        <f>A30+1</f>
        <v/>
      </c>
      <c r="B31" s="61" t="n"/>
      <c r="C31" s="156" t="inlineStr">
        <is>
          <t>91.14.02-004</t>
        </is>
      </c>
      <c r="D31" s="153" t="inlineStr">
        <is>
          <t>Автомобили бортовые, грузоподъемность до 15 т</t>
        </is>
      </c>
      <c r="E31" s="239" t="inlineStr">
        <is>
          <t>маш.-ч</t>
        </is>
      </c>
      <c r="F31" s="156" t="n">
        <v>2695</v>
      </c>
      <c r="G31" s="93" t="n">
        <v>92.94</v>
      </c>
      <c r="H31" s="249">
        <f>F31*G31</f>
        <v/>
      </c>
    </row>
    <row r="32">
      <c r="A32" s="156">
        <f>A31+1</f>
        <v/>
      </c>
      <c r="B32" s="61" t="n"/>
      <c r="C32" s="156" t="inlineStr">
        <is>
          <t>91.21.22-447</t>
        </is>
      </c>
      <c r="D32" s="153" t="inlineStr">
        <is>
          <t>Установки электрометаллизационные</t>
        </is>
      </c>
      <c r="E32" s="239" t="inlineStr">
        <is>
          <t>маш.-ч</t>
        </is>
      </c>
      <c r="F32" s="156" t="n">
        <v>1914.2066666667</v>
      </c>
      <c r="G32" s="93" t="n">
        <v>74.23999999999999</v>
      </c>
      <c r="H32" s="249">
        <f>F32*G32</f>
        <v/>
      </c>
    </row>
    <row r="33">
      <c r="A33" s="156">
        <f>A32+1</f>
        <v/>
      </c>
      <c r="B33" s="61" t="n"/>
      <c r="C33" s="156" t="inlineStr">
        <is>
          <t>91.02.03-024</t>
        </is>
      </c>
      <c r="D33" s="153" t="inlineStr">
        <is>
          <t>Дизель-молоты 2,5 т</t>
        </is>
      </c>
      <c r="E33" s="239" t="inlineStr">
        <is>
          <t>маш.-ч</t>
        </is>
      </c>
      <c r="F33" s="156" t="n">
        <v>1334.4</v>
      </c>
      <c r="G33" s="93" t="n">
        <v>70.67</v>
      </c>
      <c r="H33" s="249">
        <f>F33*G33</f>
        <v/>
      </c>
    </row>
    <row r="34" ht="25.5" customHeight="1" s="172">
      <c r="A34" s="156">
        <f>A33+1</f>
        <v/>
      </c>
      <c r="B34" s="61" t="n"/>
      <c r="C34" s="156" t="inlineStr">
        <is>
          <t>91.10.05-005</t>
        </is>
      </c>
      <c r="D34" s="153" t="inlineStr">
        <is>
          <t>Трубоукладчики для труб диаметром до 700 мм, грузоподъемность 12,5 т</t>
        </is>
      </c>
      <c r="E34" s="239" t="inlineStr">
        <is>
          <t>маш.-ч</t>
        </is>
      </c>
      <c r="F34" s="156" t="n">
        <v>512.40666666667</v>
      </c>
      <c r="G34" s="93" t="n">
        <v>152.5</v>
      </c>
      <c r="H34" s="249">
        <f>F34*G34</f>
        <v/>
      </c>
    </row>
    <row r="35">
      <c r="A35" s="156">
        <f>A34+1</f>
        <v/>
      </c>
      <c r="B35" s="61" t="n"/>
      <c r="C35" s="156" t="n">
        <v>150102</v>
      </c>
      <c r="D35" s="153" t="inlineStr">
        <is>
          <t>Агрегаты наполнительно-опрессовочные до 300 м3/ч</t>
        </is>
      </c>
      <c r="E35" s="239" t="inlineStr">
        <is>
          <t>маш.час</t>
        </is>
      </c>
      <c r="F35" s="156" t="n">
        <v>111.61333333333</v>
      </c>
      <c r="G35" s="93" t="n">
        <v>287.99</v>
      </c>
      <c r="H35" s="249">
        <f>F35*G35</f>
        <v/>
      </c>
    </row>
    <row r="36">
      <c r="A36" s="156">
        <f>A35+1</f>
        <v/>
      </c>
      <c r="B36" s="61" t="n"/>
      <c r="C36" s="156" t="n">
        <v>400001</v>
      </c>
      <c r="D36" s="153" t="inlineStr">
        <is>
          <t>Автомобили бортовые, грузоподъемность до 5 т</t>
        </is>
      </c>
      <c r="E36" s="239" t="inlineStr">
        <is>
          <t>маш.час</t>
        </is>
      </c>
      <c r="F36" s="156" t="n">
        <v>291.36</v>
      </c>
      <c r="G36" s="93" t="n">
        <v>87.17</v>
      </c>
      <c r="H36" s="249">
        <f>F36*G36</f>
        <v/>
      </c>
    </row>
    <row r="37">
      <c r="A37" s="156">
        <f>A36+1</f>
        <v/>
      </c>
      <c r="B37" s="61" t="n"/>
      <c r="C37" s="156" t="n">
        <v>31004</v>
      </c>
      <c r="D37" s="153" t="inlineStr">
        <is>
          <t>Автогидроподъемники высотой подъема 28 м</t>
        </is>
      </c>
      <c r="E37" s="239" t="inlineStr">
        <is>
          <t>маш.час</t>
        </is>
      </c>
      <c r="F37" s="156" t="n">
        <v>98.166666666667</v>
      </c>
      <c r="G37" s="93" t="n">
        <v>243.49</v>
      </c>
      <c r="H37" s="249">
        <f>F37*G37</f>
        <v/>
      </c>
    </row>
    <row r="38">
      <c r="A38" s="156">
        <f>A37+1</f>
        <v/>
      </c>
      <c r="B38" s="61" t="n"/>
      <c r="C38" s="156" t="n">
        <v>30902</v>
      </c>
      <c r="D38" s="153" t="inlineStr">
        <is>
          <t>Подъемники гидравлические высотой подъема 10 м</t>
        </is>
      </c>
      <c r="E38" s="239" t="inlineStr">
        <is>
          <t>маш.час</t>
        </is>
      </c>
      <c r="F38" s="156" t="n">
        <v>720.16666666667</v>
      </c>
      <c r="G38" s="93" t="n">
        <v>29.6</v>
      </c>
      <c r="H38" s="249">
        <f>F38*G38</f>
        <v/>
      </c>
    </row>
    <row r="39" ht="25.5" customHeight="1" s="172">
      <c r="A39" s="156">
        <f>A38+1</f>
        <v/>
      </c>
      <c r="B39" s="61" t="n"/>
      <c r="C39" s="156" t="n">
        <v>21143</v>
      </c>
      <c r="D39" s="153" t="inlineStr">
        <is>
          <t>Краны на автомобильном ходу при работе на других видах строительства 16 т</t>
        </is>
      </c>
      <c r="E39" s="239" t="inlineStr">
        <is>
          <t>маш.час</t>
        </is>
      </c>
      <c r="F39" s="156" t="n">
        <v>104.29333333333</v>
      </c>
      <c r="G39" s="93" t="n">
        <v>115.4</v>
      </c>
      <c r="H39" s="249">
        <f>F39*G39</f>
        <v/>
      </c>
    </row>
    <row r="40">
      <c r="A40" s="156">
        <f>A39+1</f>
        <v/>
      </c>
      <c r="B40" s="61" t="n"/>
      <c r="C40" s="156" t="inlineStr">
        <is>
          <t>91.14.02-001</t>
        </is>
      </c>
      <c r="D40" s="153" t="inlineStr">
        <is>
          <t>Автомобили бортовые, грузоподъемность: до 5 т</t>
        </is>
      </c>
      <c r="E40" s="239" t="inlineStr">
        <is>
          <t>маш.час</t>
        </is>
      </c>
      <c r="F40" s="156" t="n">
        <v>147.24666666667</v>
      </c>
      <c r="G40" s="93" t="n">
        <v>65.70999999999999</v>
      </c>
      <c r="H40" s="249">
        <f>F40*G40</f>
        <v/>
      </c>
    </row>
    <row r="41" ht="38.25" customHeight="1" s="172">
      <c r="A41" s="156">
        <f>A40+1</f>
        <v/>
      </c>
      <c r="B41" s="61" t="n"/>
      <c r="C41" s="156" t="inlineStr">
        <is>
          <t>03-21-01-025</t>
        </is>
      </c>
      <c r="D41" s="153" t="inlineStr">
        <is>
          <t>Перевозка грузов автомобилями-самосвалами грузоподъемностью 10 т, работающих вне карьера, на расстояние: до 25 км I класс груза</t>
        </is>
      </c>
      <c r="E41" s="239" t="inlineStr">
        <is>
          <t>1 т груза</t>
        </is>
      </c>
      <c r="F41" s="156" t="n">
        <v>464.1</v>
      </c>
      <c r="G41" s="93" t="n">
        <v>17.32</v>
      </c>
      <c r="H41" s="249">
        <f>F41*G41</f>
        <v/>
      </c>
    </row>
    <row r="42">
      <c r="A42" s="156">
        <f>A41+1</f>
        <v/>
      </c>
      <c r="B42" s="61" t="n"/>
      <c r="C42" s="156" t="n">
        <v>400101</v>
      </c>
      <c r="D42" s="153" t="inlineStr">
        <is>
          <t>Тягачи седельные, грузоподъемность 12 т</t>
        </is>
      </c>
      <c r="E42" s="239" t="inlineStr">
        <is>
          <t>маш.час</t>
        </is>
      </c>
      <c r="F42" s="156" t="n">
        <v>53.373333333333</v>
      </c>
      <c r="G42" s="93" t="n">
        <v>127.82</v>
      </c>
      <c r="H42" s="249">
        <f>F42*G42</f>
        <v/>
      </c>
    </row>
    <row r="43" ht="25.5" customHeight="1" s="172">
      <c r="A43" s="156">
        <f>A42+1</f>
        <v/>
      </c>
      <c r="B43" s="61" t="n"/>
      <c r="C43" s="156" t="n">
        <v>40202</v>
      </c>
      <c r="D43" s="153" t="inlineStr">
        <is>
          <t>Агрегаты сварочные передвижные с номинальным сварочным током 250-400 А с дизельным двигателем</t>
        </is>
      </c>
      <c r="E43" s="239" t="inlineStr">
        <is>
          <t>маш.час</t>
        </is>
      </c>
      <c r="F43" s="156" t="n">
        <v>375.64</v>
      </c>
      <c r="G43" s="93" t="n">
        <v>14</v>
      </c>
      <c r="H43" s="249">
        <f>F43*G43</f>
        <v/>
      </c>
    </row>
    <row r="44" ht="25.5" customHeight="1" s="172">
      <c r="A44" s="156">
        <f>A43+1</f>
        <v/>
      </c>
      <c r="B44" s="61" t="n"/>
      <c r="C44" s="156" t="n">
        <v>30408</v>
      </c>
      <c r="D44" s="153" t="inlineStr">
        <is>
          <t>Лебедки электрические тяговым усилием 156,96 кН (16 т)</t>
        </is>
      </c>
      <c r="E44" s="239" t="inlineStr">
        <is>
          <t>маш.час</t>
        </is>
      </c>
      <c r="F44" s="156" t="n">
        <v>38.453333333333</v>
      </c>
      <c r="G44" s="93" t="n">
        <v>131.44</v>
      </c>
      <c r="H44" s="249">
        <f>F44*G44</f>
        <v/>
      </c>
    </row>
    <row r="45">
      <c r="A45" s="156">
        <f>A44+1</f>
        <v/>
      </c>
      <c r="B45" s="61" t="n"/>
      <c r="C45" s="156" t="inlineStr">
        <is>
          <t>91.06.05-011</t>
        </is>
      </c>
      <c r="D45" s="153" t="inlineStr">
        <is>
          <t>Погрузчик, грузоподъемность 5 т</t>
        </is>
      </c>
      <c r="E45" s="239" t="inlineStr">
        <is>
          <t>маш.час</t>
        </is>
      </c>
      <c r="F45" s="156" t="n">
        <v>49.08</v>
      </c>
      <c r="G45" s="93" t="n">
        <v>89.98999999999999</v>
      </c>
      <c r="H45" s="249">
        <f>F45*G45</f>
        <v/>
      </c>
    </row>
    <row r="46" ht="25.5" customHeight="1" s="172">
      <c r="A46" s="156">
        <f>A45+1</f>
        <v/>
      </c>
      <c r="B46" s="61" t="n"/>
      <c r="C46" s="156" t="n">
        <v>21243</v>
      </c>
      <c r="D46" s="153" t="inlineStr">
        <is>
          <t>Краны на гусеничном ходу при работе на других видах строительства до 16 т</t>
        </is>
      </c>
      <c r="E46" s="239" t="inlineStr">
        <is>
          <t>маш.час</t>
        </is>
      </c>
      <c r="F46" s="156" t="n">
        <v>38.566666666667</v>
      </c>
      <c r="G46" s="93" t="n">
        <v>96.89</v>
      </c>
      <c r="H46" s="249">
        <f>F46*G46</f>
        <v/>
      </c>
    </row>
    <row r="47" ht="25.5" customHeight="1" s="172">
      <c r="A47" s="156">
        <f>A46+1</f>
        <v/>
      </c>
      <c r="B47" s="61" t="n"/>
      <c r="C47" s="156" t="n">
        <v>40502</v>
      </c>
      <c r="D47" s="153" t="inlineStr">
        <is>
          <t>Установки для сварки ручной дуговой (постоянного тока)</t>
        </is>
      </c>
      <c r="E47" s="239" t="inlineStr">
        <is>
          <t>маш.час</t>
        </is>
      </c>
      <c r="F47" s="156" t="n">
        <v>215.28666666667</v>
      </c>
      <c r="G47" s="93" t="n">
        <v>8.1</v>
      </c>
      <c r="H47" s="249">
        <f>F47*G47</f>
        <v/>
      </c>
    </row>
    <row r="48" ht="25.5" customHeight="1" s="172">
      <c r="A48" s="156">
        <f>A47+1</f>
        <v/>
      </c>
      <c r="B48" s="61" t="n"/>
      <c r="C48" s="156" t="n">
        <v>400111</v>
      </c>
      <c r="D48" s="153" t="inlineStr">
        <is>
          <t>Полуприцепы общего назначения, грузоподъемность 12 т</t>
        </is>
      </c>
      <c r="E48" s="239" t="inlineStr">
        <is>
          <t>маш.час</t>
        </is>
      </c>
      <c r="F48" s="156" t="n">
        <v>53.373333333333</v>
      </c>
      <c r="G48" s="93" t="n">
        <v>12</v>
      </c>
      <c r="H48" s="249">
        <f>F48*G48</f>
        <v/>
      </c>
    </row>
    <row r="49" ht="25.5" customHeight="1" s="172">
      <c r="A49" s="156">
        <f>A48+1</f>
        <v/>
      </c>
      <c r="B49" s="61" t="n"/>
      <c r="C49" s="156" t="n">
        <v>41000</v>
      </c>
      <c r="D49" s="153" t="inlineStr">
        <is>
          <t>Преобразователи сварочные с номинальным сварочным током 315-500 А</t>
        </is>
      </c>
      <c r="E49" s="239" t="inlineStr">
        <is>
          <t>маш.час</t>
        </is>
      </c>
      <c r="F49" s="156" t="n">
        <v>36.506666666667</v>
      </c>
      <c r="G49" s="93" t="n">
        <v>12.31</v>
      </c>
      <c r="H49" s="249">
        <f>F49*G49</f>
        <v/>
      </c>
    </row>
    <row r="50">
      <c r="A50" s="156">
        <f>A49+1</f>
        <v/>
      </c>
      <c r="B50" s="61" t="n"/>
      <c r="C50" s="156" t="n">
        <v>400002</v>
      </c>
      <c r="D50" s="153" t="inlineStr">
        <is>
          <t>Автомобили бортовые, грузоподъемность до 8 т</t>
        </is>
      </c>
      <c r="E50" s="239" t="inlineStr">
        <is>
          <t>маш.час</t>
        </is>
      </c>
      <c r="F50" s="156" t="n">
        <v>3.6666666666667</v>
      </c>
      <c r="G50" s="93" t="n">
        <v>107.3</v>
      </c>
      <c r="H50" s="249">
        <f>F50*G50</f>
        <v/>
      </c>
    </row>
    <row r="51" ht="25.5" customHeight="1" s="172">
      <c r="A51" s="156">
        <f>A50+1</f>
        <v/>
      </c>
      <c r="B51" s="61" t="n"/>
      <c r="C51" s="156" t="n">
        <v>30203</v>
      </c>
      <c r="D51" s="153" t="inlineStr">
        <is>
          <t>Домкраты гидравлические грузоподъемностью 63-100 т</t>
        </is>
      </c>
      <c r="E51" s="239" t="inlineStr">
        <is>
          <t>маш.час</t>
        </is>
      </c>
      <c r="F51" s="156" t="n">
        <v>269.11333333333</v>
      </c>
      <c r="G51" s="93" t="n">
        <v>0.9</v>
      </c>
      <c r="H51" s="249">
        <f>F51*G51</f>
        <v/>
      </c>
    </row>
    <row r="52" ht="25.5" customHeight="1" s="172">
      <c r="A52" s="156">
        <f>A51+1</f>
        <v/>
      </c>
      <c r="B52" s="61" t="n"/>
      <c r="C52" s="156" t="n">
        <v>340101</v>
      </c>
      <c r="D52" s="153" t="inlineStr">
        <is>
          <t>Агрегаты окрасочные высокого давления для окраски поверхностей конструкций мощностью 1 кВт</t>
        </is>
      </c>
      <c r="E52" s="239" t="inlineStr">
        <is>
          <t>маш.час</t>
        </is>
      </c>
      <c r="F52" s="156" t="n">
        <v>29.366666666667</v>
      </c>
      <c r="G52" s="93" t="n">
        <v>6.82</v>
      </c>
      <c r="H52" s="249">
        <f>F52*G52</f>
        <v/>
      </c>
    </row>
    <row r="53" ht="25.5" customHeight="1" s="172">
      <c r="A53" s="156">
        <f>A52+1</f>
        <v/>
      </c>
      <c r="B53" s="61" t="n"/>
      <c r="C53" s="156" t="n">
        <v>70149</v>
      </c>
      <c r="D53" s="153" t="inlineStr">
        <is>
          <t>Бульдозеры при работе на других видах строительства 79 кВт (108 л.с.)</t>
        </is>
      </c>
      <c r="E53" s="239" t="inlineStr">
        <is>
          <t>маш.час</t>
        </is>
      </c>
      <c r="F53" s="156" t="n">
        <v>0.77333333333333</v>
      </c>
      <c r="G53" s="93" t="n">
        <v>79.06999999999999</v>
      </c>
      <c r="H53" s="249">
        <f>F53*G53</f>
        <v/>
      </c>
    </row>
    <row r="54" ht="25.5" customHeight="1" s="172">
      <c r="A54" s="156">
        <f>A53+1</f>
        <v/>
      </c>
      <c r="B54" s="61" t="n"/>
      <c r="C54" s="156" t="n">
        <v>20403</v>
      </c>
      <c r="D54" s="153" t="inlineStr">
        <is>
          <t>Краны козловые при работе на монтаже технологического оборудования 32 т</t>
        </is>
      </c>
      <c r="E54" s="239" t="inlineStr">
        <is>
          <t>маш.час</t>
        </is>
      </c>
      <c r="F54" s="156" t="n">
        <v>0.46</v>
      </c>
      <c r="G54" s="93" t="n">
        <v>120.52</v>
      </c>
      <c r="H54" s="249">
        <f>F54*G54</f>
        <v/>
      </c>
    </row>
    <row r="55">
      <c r="A55" s="156">
        <f>A54+1</f>
        <v/>
      </c>
      <c r="B55" s="61" t="n"/>
      <c r="C55" s="156" t="n">
        <v>30101</v>
      </c>
      <c r="D55" s="153" t="inlineStr">
        <is>
          <t>Автопогрузчики 5 т</t>
        </is>
      </c>
      <c r="E55" s="239" t="inlineStr">
        <is>
          <t>маш.час</t>
        </is>
      </c>
      <c r="F55" s="156" t="n">
        <v>0.3</v>
      </c>
      <c r="G55" s="93" t="n">
        <v>89.98999999999999</v>
      </c>
      <c r="H55" s="249">
        <f>F55*G55</f>
        <v/>
      </c>
    </row>
    <row r="56" ht="25.5" customHeight="1" s="172">
      <c r="A56" s="156">
        <f>A55+1</f>
        <v/>
      </c>
      <c r="B56" s="61" t="n"/>
      <c r="C56" s="156" t="n">
        <v>20129</v>
      </c>
      <c r="D56" s="153" t="inlineStr">
        <is>
          <t>Краны башенные при работе на других видах строительства 8 т</t>
        </is>
      </c>
      <c r="E56" s="239" t="inlineStr">
        <is>
          <t>маш.час</t>
        </is>
      </c>
      <c r="F56" s="156" t="n">
        <v>0.28666666666667</v>
      </c>
      <c r="G56" s="93" t="n">
        <v>86.40000000000001</v>
      </c>
      <c r="H56" s="249">
        <f>F56*G56</f>
        <v/>
      </c>
    </row>
    <row r="57">
      <c r="A57" s="156">
        <f>A56+1</f>
        <v/>
      </c>
      <c r="B57" s="61" t="n"/>
      <c r="C57" s="156" t="n">
        <v>331451</v>
      </c>
      <c r="D57" s="153" t="inlineStr">
        <is>
          <t>Перфораторы электрические</t>
        </is>
      </c>
      <c r="E57" s="239" t="inlineStr">
        <is>
          <t>маш.час</t>
        </is>
      </c>
      <c r="F57" s="156" t="n">
        <v>7.88</v>
      </c>
      <c r="G57" s="93" t="n">
        <v>2.08</v>
      </c>
      <c r="H57" s="249">
        <f>F57*G57</f>
        <v/>
      </c>
    </row>
    <row r="58" ht="38.25" customHeight="1" s="172">
      <c r="A58" s="156">
        <f>A57+1</f>
        <v/>
      </c>
      <c r="B58" s="61" t="n"/>
      <c r="C58" s="156" t="n">
        <v>41400</v>
      </c>
      <c r="D58" s="153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58" s="239" t="inlineStr">
        <is>
          <t>маш.час</t>
        </is>
      </c>
      <c r="F58" s="156" t="n">
        <v>1.7333333333333</v>
      </c>
      <c r="G58" s="93" t="n">
        <v>6.7</v>
      </c>
      <c r="H58" s="249">
        <f>F58*G58</f>
        <v/>
      </c>
    </row>
    <row r="59">
      <c r="A59" s="156">
        <f>A58+1</f>
        <v/>
      </c>
      <c r="B59" s="61" t="n"/>
      <c r="C59" s="156" t="n">
        <v>40504</v>
      </c>
      <c r="D59" s="153" t="inlineStr">
        <is>
          <t>Аппарат для газовой сварки и резки</t>
        </is>
      </c>
      <c r="E59" s="239" t="inlineStr">
        <is>
          <t>маш.час</t>
        </is>
      </c>
      <c r="F59" s="156" t="n">
        <v>8.08</v>
      </c>
      <c r="G59" s="93" t="n">
        <v>1.2</v>
      </c>
      <c r="H59" s="249">
        <f>F59*G59</f>
        <v/>
      </c>
    </row>
    <row r="60">
      <c r="A60" s="156">
        <f>A59+1</f>
        <v/>
      </c>
      <c r="B60" s="61" t="n"/>
      <c r="C60" s="156" t="n">
        <v>330301</v>
      </c>
      <c r="D60" s="153" t="inlineStr">
        <is>
          <t>Машины шлифовальные электрические</t>
        </is>
      </c>
      <c r="E60" s="239" t="inlineStr">
        <is>
          <t>маш.час</t>
        </is>
      </c>
      <c r="F60" s="156" t="n">
        <v>1.4266666666667</v>
      </c>
      <c r="G60" s="93" t="n">
        <v>5.13</v>
      </c>
      <c r="H60" s="249">
        <f>F60*G60</f>
        <v/>
      </c>
    </row>
    <row r="61">
      <c r="A61" s="156">
        <f>A60+1</f>
        <v/>
      </c>
      <c r="B61" s="61" t="n"/>
      <c r="C61" s="156" t="n">
        <v>400051</v>
      </c>
      <c r="D61" s="153" t="inlineStr">
        <is>
          <t>Автомобиль-самосвал, грузоподъемность до 7 т</t>
        </is>
      </c>
      <c r="E61" s="239" t="inlineStr">
        <is>
          <t>маш.час</t>
        </is>
      </c>
      <c r="F61" s="156" t="n">
        <v>0.013333333333333</v>
      </c>
      <c r="G61" s="93" t="n">
        <v>111</v>
      </c>
      <c r="H61" s="249">
        <f>F61*G61</f>
        <v/>
      </c>
    </row>
    <row r="62" ht="25.5" customHeight="1" s="172">
      <c r="A62" s="156">
        <f>A61+1</f>
        <v/>
      </c>
      <c r="B62" s="61" t="n"/>
      <c r="C62" s="156" t="n">
        <v>30401</v>
      </c>
      <c r="D62" s="153" t="inlineStr">
        <is>
          <t>Лебедки электрические тяговым усилием до 5,79 кН (0,59 т)</t>
        </is>
      </c>
      <c r="E62" s="239" t="inlineStr">
        <is>
          <t>маш.час</t>
        </is>
      </c>
      <c r="F62" s="156" t="n">
        <v>0.3</v>
      </c>
      <c r="G62" s="93" t="n">
        <v>1.7</v>
      </c>
      <c r="H62" s="249">
        <f>F62*G62</f>
        <v/>
      </c>
    </row>
    <row r="63">
      <c r="A63" s="156">
        <f>A62+1</f>
        <v/>
      </c>
      <c r="B63" s="61" t="n"/>
      <c r="C63" s="156" t="n">
        <v>111301</v>
      </c>
      <c r="D63" s="153" t="inlineStr">
        <is>
          <t>Вибратор поверхностный</t>
        </is>
      </c>
      <c r="E63" s="239" t="inlineStr">
        <is>
          <t>маш.час</t>
        </is>
      </c>
      <c r="F63" s="156" t="n">
        <v>0.76666666666667</v>
      </c>
      <c r="G63" s="93" t="n">
        <v>0.5</v>
      </c>
      <c r="H63" s="249">
        <f>F63*G63</f>
        <v/>
      </c>
    </row>
    <row r="64" ht="15" customHeight="1" s="172">
      <c r="A64" s="209" t="inlineStr">
        <is>
          <t>Оборудование</t>
        </is>
      </c>
      <c r="B64" s="240" t="n"/>
      <c r="C64" s="240" t="n"/>
      <c r="D64" s="240" t="n"/>
      <c r="E64" s="241" t="n"/>
      <c r="F64" s="149" t="n"/>
      <c r="G64" s="149" t="n"/>
      <c r="H64" s="246">
        <f>SUM(H65:H71)</f>
        <v/>
      </c>
    </row>
    <row r="65" s="172">
      <c r="A65" s="151">
        <f>A63+1</f>
        <v/>
      </c>
      <c r="B65" s="209" t="n"/>
      <c r="C65" s="159" t="inlineStr">
        <is>
          <t>Прайс из СД ОП</t>
        </is>
      </c>
      <c r="D65" s="153" t="inlineStr">
        <is>
          <t xml:space="preserve">   - Выключатель электрогазовый колон. GL317 </t>
        </is>
      </c>
      <c r="E65" s="239" t="inlineStr">
        <is>
          <t>комп</t>
        </is>
      </c>
      <c r="F65" s="239" t="n">
        <v>4</v>
      </c>
      <c r="G65" s="155" t="n">
        <v>2783994.8</v>
      </c>
      <c r="H65" s="155">
        <f>F65*G65</f>
        <v/>
      </c>
    </row>
    <row r="66" s="172">
      <c r="A66" s="151">
        <f>A65+1</f>
        <v/>
      </c>
      <c r="B66" s="209" t="n"/>
      <c r="C66" s="159" t="inlineStr">
        <is>
          <t>Прайс из СД ОП</t>
        </is>
      </c>
      <c r="D66" s="153" t="inlineStr">
        <is>
          <t xml:space="preserve">   - Разъединитель S2DA2T</t>
        </is>
      </c>
      <c r="E66" s="239" t="inlineStr">
        <is>
          <t>комп</t>
        </is>
      </c>
      <c r="F66" s="239" t="n">
        <v>8</v>
      </c>
      <c r="G66" s="155" t="n">
        <v>894855.47</v>
      </c>
      <c r="H66" s="155">
        <f>F66*G66</f>
        <v/>
      </c>
    </row>
    <row r="67" s="172">
      <c r="A67" s="151">
        <f>A66+1</f>
        <v/>
      </c>
      <c r="B67" s="209" t="n"/>
      <c r="C67" s="159" t="inlineStr">
        <is>
          <t>Прайс из СД ОП</t>
        </is>
      </c>
      <c r="D67" s="153" t="inlineStr">
        <is>
          <t xml:space="preserve">   - Трансформаторы тока OTCF-550 </t>
        </is>
      </c>
      <c r="E67" s="239" t="inlineStr">
        <is>
          <t>комп</t>
        </is>
      </c>
      <c r="F67" s="239" t="n">
        <v>16</v>
      </c>
      <c r="G67" s="155" t="n">
        <v>347999.35</v>
      </c>
      <c r="H67" s="155">
        <f>F67*G67</f>
        <v/>
      </c>
    </row>
    <row r="68" ht="25.5" customHeight="1" s="172">
      <c r="A68" s="151">
        <f>A67+1</f>
        <v/>
      </c>
      <c r="B68" s="209" t="n"/>
      <c r="C68" s="159" t="inlineStr">
        <is>
          <t>Прайс из СД ОП</t>
        </is>
      </c>
      <c r="D68" s="153" t="inlineStr">
        <is>
          <t xml:space="preserve">   - Трансформаторы тока OSKF-550 0.2/10P/10P/10P/10P </t>
        </is>
      </c>
      <c r="E68" s="239" t="inlineStr">
        <is>
          <t>комп</t>
        </is>
      </c>
      <c r="F68" s="239" t="n">
        <v>12</v>
      </c>
      <c r="G68" s="155" t="n">
        <v>347999.35</v>
      </c>
      <c r="H68" s="155">
        <f>F68*G68</f>
        <v/>
      </c>
    </row>
    <row r="69" s="172">
      <c r="A69" s="151">
        <f>A68+1</f>
        <v/>
      </c>
      <c r="B69" s="209" t="n"/>
      <c r="C69" s="159" t="inlineStr">
        <is>
          <t>Прайс из СД ОП</t>
        </is>
      </c>
      <c r="D69" s="153" t="inlineStr">
        <is>
          <t xml:space="preserve">   - Разъединитель S2DAT </t>
        </is>
      </c>
      <c r="E69" s="239" t="inlineStr">
        <is>
          <t>комп</t>
        </is>
      </c>
      <c r="F69" s="239" t="n">
        <v>3</v>
      </c>
      <c r="G69" s="155" t="n">
        <v>894855.47</v>
      </c>
      <c r="H69" s="155">
        <f>F69*G69</f>
        <v/>
      </c>
    </row>
    <row r="70" ht="25.5" customHeight="1" s="172">
      <c r="A70" s="151">
        <f>A69+1</f>
        <v/>
      </c>
      <c r="B70" s="209" t="n"/>
      <c r="C70" s="159" t="inlineStr">
        <is>
          <t>Прайс из СД ОП</t>
        </is>
      </c>
      <c r="D70" s="153" t="inlineStr">
        <is>
          <t xml:space="preserve">   - Трансформаторы тока OSKF-550 0.2S/0.2/10P/10P/10P </t>
        </is>
      </c>
      <c r="E70" s="239" t="inlineStr">
        <is>
          <t>комп</t>
        </is>
      </c>
      <c r="F70" s="239" t="n">
        <v>6</v>
      </c>
      <c r="G70" s="155" t="n">
        <v>347999.35</v>
      </c>
      <c r="H70" s="155">
        <f>F70*G70</f>
        <v/>
      </c>
    </row>
    <row r="71" ht="25.5" customHeight="1" s="172">
      <c r="A71" s="151">
        <f>A70+1</f>
        <v/>
      </c>
      <c r="B71" s="209" t="n"/>
      <c r="C71" s="159" t="inlineStr">
        <is>
          <t>Прайс из СД ОП</t>
        </is>
      </c>
      <c r="D71" s="153" t="inlineStr">
        <is>
          <t xml:space="preserve">Ограничитель перенапряжения 500 кВ. ОПН-500/333-20/1240-1600 </t>
        </is>
      </c>
      <c r="E71" s="239" t="inlineStr">
        <is>
          <t>шт</t>
        </is>
      </c>
      <c r="F71" s="239" t="n">
        <v>9</v>
      </c>
      <c r="G71" s="155" t="n">
        <v>123142.22</v>
      </c>
      <c r="H71" s="155">
        <f>F71*G71</f>
        <v/>
      </c>
    </row>
    <row r="72" ht="15" customHeight="1" s="172">
      <c r="A72" s="209" t="inlineStr">
        <is>
          <t>Материалы</t>
        </is>
      </c>
      <c r="B72" s="240" t="n"/>
      <c r="C72" s="240" t="n"/>
      <c r="D72" s="240" t="n"/>
      <c r="E72" s="241" t="n"/>
      <c r="F72" s="149" t="n"/>
      <c r="G72" s="149" t="n"/>
      <c r="H72" s="246">
        <f>SUM(H73:H168)</f>
        <v/>
      </c>
      <c r="K72" s="85" t="n"/>
    </row>
    <row r="73" ht="25.5" customHeight="1" s="172">
      <c r="A73" s="151">
        <f>A71+1</f>
        <v/>
      </c>
      <c r="B73" s="61" t="n"/>
      <c r="C73" s="156" t="inlineStr">
        <is>
          <t>05.1.05.16-0040</t>
        </is>
      </c>
      <c r="D73" s="153" t="inlineStr">
        <is>
          <t>Сваи железобетонные С35-1-12-1 (бетон B22,5, расход арматуры 185 кг)</t>
        </is>
      </c>
      <c r="E73" s="239" t="inlineStr">
        <is>
          <t>м3</t>
        </is>
      </c>
      <c r="F73" s="239" t="inlineStr">
        <is>
          <t>1617</t>
        </is>
      </c>
      <c r="G73" s="155" t="n">
        <v>5337.26</v>
      </c>
      <c r="H73" s="155">
        <f>F73*G73</f>
        <v/>
      </c>
    </row>
    <row r="74" s="172">
      <c r="A74" s="151">
        <f>A73+1</f>
        <v/>
      </c>
      <c r="B74" s="61" t="n"/>
      <c r="C74" s="156" t="inlineStr">
        <is>
          <t>22.2.02.07-0003</t>
        </is>
      </c>
      <c r="D74" s="153" t="inlineStr">
        <is>
          <t>Конструкции стальные порталов ОРУ</t>
        </is>
      </c>
      <c r="E74" s="239" t="inlineStr">
        <is>
          <t>т</t>
        </is>
      </c>
      <c r="F74" s="239" t="n">
        <v>183.314</v>
      </c>
      <c r="G74" s="155" t="n">
        <v>12500</v>
      </c>
      <c r="H74" s="155">
        <f>F74*G74</f>
        <v/>
      </c>
    </row>
    <row r="75" ht="25.5" customHeight="1" s="172">
      <c r="A75" s="151">
        <f>A74+1</f>
        <v/>
      </c>
      <c r="B75" s="61" t="n"/>
      <c r="C75" s="156" t="inlineStr">
        <is>
          <t>04.1.02.05-0063</t>
        </is>
      </c>
      <c r="D75" s="153" t="inlineStr">
        <is>
          <t>Смеси бетонные тяжелого бетона (БСТ), крупность заполнителя 40 мм, класс В25 (М350)</t>
        </is>
      </c>
      <c r="E75" s="239" t="inlineStr">
        <is>
          <t>м3</t>
        </is>
      </c>
      <c r="F75" s="239" t="n">
        <v>1617</v>
      </c>
      <c r="G75" s="155" t="n">
        <v>700</v>
      </c>
      <c r="H75" s="155">
        <f>F75*G75</f>
        <v/>
      </c>
    </row>
    <row r="76" ht="25.5" customHeight="1" s="172">
      <c r="A76" s="151">
        <f>A75+1</f>
        <v/>
      </c>
      <c r="B76" s="61" t="n"/>
      <c r="C76" s="156" t="inlineStr">
        <is>
          <t>21.2.01.02-0101</t>
        </is>
      </c>
      <c r="D76" s="153" t="inlineStr">
        <is>
          <t>Провод неизолированный для воздушных линий электропередачи АС 500/26</t>
        </is>
      </c>
      <c r="E76" s="239" t="inlineStr">
        <is>
          <t>т</t>
        </is>
      </c>
      <c r="F76" s="156" t="inlineStr">
        <is>
          <t>31,320283</t>
        </is>
      </c>
      <c r="G76" s="155" t="n">
        <v>34240.97</v>
      </c>
      <c r="H76" s="155">
        <f>F76*G76</f>
        <v/>
      </c>
    </row>
    <row r="77" s="172">
      <c r="A77" s="151">
        <f>A76+1</f>
        <v/>
      </c>
      <c r="B77" s="61" t="n"/>
      <c r="C77" s="156" t="inlineStr">
        <is>
          <t>22.2.02.07-0041</t>
        </is>
      </c>
      <c r="D77" s="153" t="inlineStr">
        <is>
          <t>Ростверки стальные массой до 0,2т</t>
        </is>
      </c>
      <c r="E77" s="239" t="inlineStr">
        <is>
          <t>т</t>
        </is>
      </c>
      <c r="F77" s="239" t="inlineStr">
        <is>
          <t>71,13</t>
        </is>
      </c>
      <c r="G77" s="155" t="n">
        <v>8200</v>
      </c>
      <c r="H77" s="155">
        <f>F77*G77</f>
        <v/>
      </c>
    </row>
    <row r="78" ht="38.25" customHeight="1" s="172">
      <c r="A78" s="151">
        <f>A77+1</f>
        <v/>
      </c>
      <c r="B78" s="61" t="n"/>
      <c r="C78" s="156" t="inlineStr">
        <is>
          <t>10.1.02.02-0138</t>
        </is>
      </c>
      <c r="D78" s="153" t="inlineStr">
        <is>
          <t>Листы алюминиевые, марка АД0, АД1, А5, ширина 1200-1500 мм, длина 2000-5000 мм, толщина 1,6-2,0 мм</t>
        </is>
      </c>
      <c r="E78" s="239" t="inlineStr">
        <is>
          <t>т</t>
        </is>
      </c>
      <c r="F78" s="156" t="inlineStr">
        <is>
          <t>7,956</t>
        </is>
      </c>
      <c r="G78" s="155" t="n">
        <v>50115.5</v>
      </c>
      <c r="H78" s="155">
        <f>F78*G78</f>
        <v/>
      </c>
    </row>
    <row r="79" s="172">
      <c r="A79" s="151">
        <f>A78+1</f>
        <v/>
      </c>
      <c r="B79" s="61" t="n"/>
      <c r="C79" s="156" t="inlineStr">
        <is>
          <t>25.2.01.07-0001</t>
        </is>
      </c>
      <c r="D79" s="153" t="inlineStr">
        <is>
          <t>Изоляторы</t>
        </is>
      </c>
      <c r="E79" s="239" t="inlineStr">
        <is>
          <t>шт.</t>
        </is>
      </c>
      <c r="F79" s="156" t="n">
        <v>7240</v>
      </c>
      <c r="G79" s="155" t="n">
        <v>51.5</v>
      </c>
      <c r="H79" s="155">
        <f>F79*G79</f>
        <v/>
      </c>
    </row>
    <row r="80" s="172">
      <c r="A80" s="151">
        <f>A79+1</f>
        <v/>
      </c>
      <c r="B80" s="61" t="n"/>
      <c r="C80" s="156" t="inlineStr">
        <is>
          <t>113-0442</t>
        </is>
      </c>
      <c r="D80" s="153" t="inlineStr">
        <is>
          <t>Краска "Цинол"</t>
        </is>
      </c>
      <c r="E80" s="239" t="inlineStr">
        <is>
          <t>кг</t>
        </is>
      </c>
      <c r="F80" s="156" t="n">
        <v>1249.844</v>
      </c>
      <c r="G80" s="155" t="n">
        <v>238.48</v>
      </c>
      <c r="H80" s="155">
        <f>F80*G80</f>
        <v/>
      </c>
    </row>
    <row r="81" ht="38.25" customHeight="1" s="172">
      <c r="A81" s="151">
        <f>A80+1</f>
        <v/>
      </c>
      <c r="B81" s="61" t="n"/>
      <c r="C81" s="156" t="inlineStr">
        <is>
          <t>201-0755</t>
        </is>
      </c>
      <c r="D81" s="15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81" s="239" t="inlineStr">
        <is>
          <t>т</t>
        </is>
      </c>
      <c r="F81" s="156" t="n">
        <v>35.158</v>
      </c>
      <c r="G81" s="155" t="n">
        <v>8060</v>
      </c>
      <c r="H81" s="155">
        <f>F81*G81</f>
        <v/>
      </c>
    </row>
    <row r="82" s="172">
      <c r="A82" s="151">
        <f>A81+1</f>
        <v/>
      </c>
      <c r="B82" s="61" t="n"/>
      <c r="C82" s="156" t="inlineStr">
        <is>
          <t>109-0148</t>
        </is>
      </c>
      <c r="D82" s="153" t="inlineStr">
        <is>
          <t>Шнек диаметром 135 мм</t>
        </is>
      </c>
      <c r="E82" s="239" t="inlineStr">
        <is>
          <t>шт.</t>
        </is>
      </c>
      <c r="F82" s="156" t="n">
        <v>393.19</v>
      </c>
      <c r="G82" s="155" t="n">
        <v>597</v>
      </c>
      <c r="H82" s="155">
        <f>F82*G82</f>
        <v/>
      </c>
    </row>
    <row r="83" s="172">
      <c r="A83" s="151">
        <f>A82+1</f>
        <v/>
      </c>
      <c r="B83" s="61" t="n"/>
      <c r="C83" s="156" t="inlineStr">
        <is>
          <t>22.2.01.07-0002</t>
        </is>
      </c>
      <c r="D83" s="153" t="inlineStr">
        <is>
          <t>Опора шинная ШО-220.II-1 УХЛ1 (ШО-500.II-8 УХЛ)</t>
        </is>
      </c>
      <c r="E83" s="239" t="inlineStr">
        <is>
          <t>шт</t>
        </is>
      </c>
      <c r="F83" s="156" t="n">
        <v>18</v>
      </c>
      <c r="G83" s="155" t="n">
        <v>12466.73</v>
      </c>
      <c r="H83" s="155">
        <f>F83*G83</f>
        <v/>
      </c>
    </row>
    <row r="84" ht="25.5" customHeight="1" s="172">
      <c r="A84" s="151">
        <f>A83+1</f>
        <v/>
      </c>
      <c r="B84" s="61" t="n"/>
      <c r="C84" s="156" t="inlineStr">
        <is>
          <t>10.1.02.03-0001</t>
        </is>
      </c>
      <c r="D84" s="153" t="inlineStr">
        <is>
          <t>Проволока алюминиевая (АМЦ) диаметром 1,4-1,8 мм</t>
        </is>
      </c>
      <c r="E84" s="239" t="inlineStr">
        <is>
          <t>т</t>
        </is>
      </c>
      <c r="F84" s="156" t="n">
        <v>4.491</v>
      </c>
      <c r="G84" s="155" t="n">
        <v>30090</v>
      </c>
      <c r="H84" s="155">
        <f>F84*G84</f>
        <v/>
      </c>
    </row>
    <row r="85" ht="38.25" customHeight="1" s="172">
      <c r="A85" s="151">
        <f>A84+1</f>
        <v/>
      </c>
      <c r="B85" s="61" t="n"/>
      <c r="C85" s="156" t="inlineStr">
        <is>
          <t>509-0458</t>
        </is>
      </c>
      <c r="D85" s="153" t="inlineStr">
        <is>
          <t>Зажимы натяжные болтовые НБН алюминиевые для крепления многопроволочных проводов сечением 95-120 мм2</t>
        </is>
      </c>
      <c r="E85" s="239" t="inlineStr">
        <is>
          <t>шт.</t>
        </is>
      </c>
      <c r="F85" s="156" t="n">
        <v>297</v>
      </c>
      <c r="G85" s="155" t="n">
        <v>389.85</v>
      </c>
      <c r="H85" s="155">
        <f>F85*G85</f>
        <v/>
      </c>
    </row>
    <row r="86" ht="51" customHeight="1" s="172">
      <c r="A86" s="151">
        <f>A85+1</f>
        <v/>
      </c>
      <c r="B86" s="61" t="n"/>
      <c r="C86" s="156" t="inlineStr">
        <is>
          <t>201-0763</t>
        </is>
      </c>
      <c r="D86" s="153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86" s="239" t="inlineStr">
        <is>
          <t>т</t>
        </is>
      </c>
      <c r="F86" s="156" t="n">
        <v>8.6518</v>
      </c>
      <c r="G86" s="155" t="n">
        <v>11255</v>
      </c>
      <c r="H86" s="155">
        <f>F86*G86</f>
        <v/>
      </c>
    </row>
    <row r="87" s="172">
      <c r="A87" s="151">
        <f>A86+1</f>
        <v/>
      </c>
      <c r="B87" s="61" t="n"/>
      <c r="C87" s="156" t="inlineStr">
        <is>
          <t>509-0244</t>
        </is>
      </c>
      <c r="D87" s="153" t="inlineStr">
        <is>
          <t>Распорка 125-1</t>
        </is>
      </c>
      <c r="E87" s="239" t="inlineStr">
        <is>
          <t>шт.</t>
        </is>
      </c>
      <c r="F87" s="156" t="n">
        <v>1926</v>
      </c>
      <c r="G87" s="155" t="n">
        <v>36.61</v>
      </c>
      <c r="H87" s="155">
        <f>F87*G87</f>
        <v/>
      </c>
    </row>
    <row r="88" ht="38.25" customHeight="1" s="172">
      <c r="A88" s="151">
        <f>A87+1</f>
        <v/>
      </c>
      <c r="B88" s="61" t="n"/>
      <c r="C88" s="156" t="inlineStr">
        <is>
          <t>201-0599</t>
        </is>
      </c>
      <c r="D88" s="153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88" s="239" t="inlineStr">
        <is>
          <t>т</t>
        </is>
      </c>
      <c r="F88" s="156" t="n">
        <v>5.804874</v>
      </c>
      <c r="G88" s="155" t="n">
        <v>11879.77</v>
      </c>
      <c r="H88" s="155">
        <f>F88*G88</f>
        <v/>
      </c>
    </row>
    <row r="89" s="172">
      <c r="A89" s="151">
        <f>A88+1</f>
        <v/>
      </c>
      <c r="B89" s="61" t="n"/>
      <c r="C89" s="156" t="inlineStr">
        <is>
          <t>20.2.04.04-0052</t>
        </is>
      </c>
      <c r="D89" s="153" t="inlineStr">
        <is>
          <t>Короб электротехнический стальной: КП-0,1/0,2-2У1</t>
        </is>
      </c>
      <c r="E89" s="239" t="inlineStr">
        <is>
          <t>шт</t>
        </is>
      </c>
      <c r="F89" s="156" t="n">
        <v>215</v>
      </c>
      <c r="G89" s="155" t="n">
        <v>317.02</v>
      </c>
      <c r="H89" s="155">
        <f>F89*G89</f>
        <v/>
      </c>
    </row>
    <row r="90" s="172">
      <c r="A90" s="151">
        <f>A89+1</f>
        <v/>
      </c>
      <c r="B90" s="61" t="n"/>
      <c r="C90" s="156" t="inlineStr">
        <is>
          <t>509-0024</t>
        </is>
      </c>
      <c r="D90" s="153" t="inlineStr">
        <is>
          <t>Зажим хомутовый 039</t>
        </is>
      </c>
      <c r="E90" s="239" t="inlineStr">
        <is>
          <t>шт.</t>
        </is>
      </c>
      <c r="F90" s="156" t="n">
        <v>904</v>
      </c>
      <c r="G90" s="155" t="n">
        <v>57.5</v>
      </c>
      <c r="H90" s="155">
        <f>F90*G90</f>
        <v/>
      </c>
    </row>
    <row r="91" s="172">
      <c r="A91" s="151">
        <f>A90+1</f>
        <v/>
      </c>
      <c r="B91" s="61" t="n"/>
      <c r="C91" s="156" t="inlineStr">
        <is>
          <t>22.2.01.07-0002</t>
        </is>
      </c>
      <c r="D91" s="153" t="inlineStr">
        <is>
          <t>Опора шинная ШО-220.II-1 УХЛ1  (ШО-500.II-5 УХЛ)</t>
        </is>
      </c>
      <c r="E91" s="239" t="inlineStr">
        <is>
          <t>шт</t>
        </is>
      </c>
      <c r="F91" s="156" t="n">
        <v>4</v>
      </c>
      <c r="G91" s="155" t="n">
        <v>12466.73</v>
      </c>
      <c r="H91" s="155">
        <f>F91*G91</f>
        <v/>
      </c>
    </row>
    <row r="92" s="172">
      <c r="A92" s="151">
        <f>A91+1</f>
        <v/>
      </c>
      <c r="B92" s="61" t="n"/>
      <c r="C92" s="156" t="inlineStr">
        <is>
          <t>509-0417</t>
        </is>
      </c>
      <c r="D92" s="153" t="inlineStr">
        <is>
          <t>Зажим фиксирующий 049-5 (КС-329)</t>
        </is>
      </c>
      <c r="E92" s="239" t="inlineStr">
        <is>
          <t>шт.</t>
        </is>
      </c>
      <c r="F92" s="156" t="n">
        <v>635</v>
      </c>
      <c r="G92" s="155" t="n">
        <v>66.68000000000001</v>
      </c>
      <c r="H92" s="155">
        <f>F92*G92</f>
        <v/>
      </c>
    </row>
    <row r="93" ht="25.5" customHeight="1" s="172">
      <c r="A93" s="151">
        <f>A92+1</f>
        <v/>
      </c>
      <c r="B93" s="61" t="n"/>
      <c r="C93" s="156" t="inlineStr">
        <is>
          <t>201-0843</t>
        </is>
      </c>
      <c r="D93" s="153" t="inlineStr">
        <is>
          <t>Конструкции стальные индивидуальные решетчатые сварные массой до 0,1 т</t>
        </is>
      </c>
      <c r="E93" s="239" t="inlineStr">
        <is>
          <t>т</t>
        </is>
      </c>
      <c r="F93" s="156" t="n">
        <v>3.592</v>
      </c>
      <c r="G93" s="155" t="n">
        <v>11500</v>
      </c>
      <c r="H93" s="155">
        <f>F93*G93</f>
        <v/>
      </c>
    </row>
    <row r="94" ht="25.5" customHeight="1" s="172">
      <c r="A94" s="151">
        <f>A93+1</f>
        <v/>
      </c>
      <c r="B94" s="61" t="n"/>
      <c r="C94" s="156" t="inlineStr">
        <is>
          <t>101-2065</t>
        </is>
      </c>
      <c r="D94" s="153" t="inlineStr">
        <is>
          <t>Болты с гайками и шайбами оцинкованные, диаметр 24 мм</t>
        </is>
      </c>
      <c r="E94" s="239" t="inlineStr">
        <is>
          <t>кг</t>
        </is>
      </c>
      <c r="F94" s="156" t="n">
        <v>1380</v>
      </c>
      <c r="G94" s="155" t="n">
        <v>24.79</v>
      </c>
      <c r="H94" s="155">
        <f>F94*G94</f>
        <v/>
      </c>
    </row>
    <row r="95" s="172">
      <c r="A95" s="151">
        <f>A94+1</f>
        <v/>
      </c>
      <c r="B95" s="61" t="n"/>
      <c r="C95" s="156" t="inlineStr">
        <is>
          <t>401-0052</t>
        </is>
      </c>
      <c r="D95" s="153" t="inlineStr">
        <is>
          <t>Надбавка на W8 для М450 3%           (700,00х0,03)</t>
        </is>
      </c>
      <c r="E95" s="239" t="inlineStr">
        <is>
          <t>м3</t>
        </is>
      </c>
      <c r="F95" s="156" t="n">
        <v>1617</v>
      </c>
      <c r="G95" s="155" t="n">
        <v>21</v>
      </c>
      <c r="H95" s="155">
        <f>F95*G95</f>
        <v/>
      </c>
    </row>
    <row r="96" ht="25.5" customHeight="1" s="172">
      <c r="A96" s="151">
        <f>A95+1</f>
        <v/>
      </c>
      <c r="B96" s="61" t="n"/>
      <c r="C96" s="156" t="inlineStr">
        <is>
          <t>113-0561</t>
        </is>
      </c>
      <c r="D96" s="153" t="inlineStr">
        <is>
          <t>Композиция "Алпол" (на основе термопластичных полимеров)</t>
        </is>
      </c>
      <c r="E96" s="239" t="inlineStr">
        <is>
          <t>кг</t>
        </is>
      </c>
      <c r="F96" s="156" t="n">
        <v>594.438</v>
      </c>
      <c r="G96" s="155" t="n">
        <v>54.99</v>
      </c>
      <c r="H96" s="155">
        <f>F96*G96</f>
        <v/>
      </c>
    </row>
    <row r="97" s="172">
      <c r="A97" s="151">
        <f>A96+1</f>
        <v/>
      </c>
      <c r="B97" s="61" t="n"/>
      <c r="C97" s="156" t="inlineStr">
        <is>
          <t>509-0814</t>
        </is>
      </c>
      <c r="D97" s="153" t="inlineStr">
        <is>
          <t>Кожухи защитные</t>
        </is>
      </c>
      <c r="E97" s="239" t="inlineStr">
        <is>
          <t>шт.</t>
        </is>
      </c>
      <c r="F97" s="156" t="n">
        <v>198</v>
      </c>
      <c r="G97" s="155" t="n">
        <v>161.1</v>
      </c>
      <c r="H97" s="155">
        <f>F97*G97</f>
        <v/>
      </c>
    </row>
    <row r="98" ht="51" customHeight="1" s="172">
      <c r="A98" s="151">
        <f>A97+1</f>
        <v/>
      </c>
      <c r="B98" s="61" t="n"/>
      <c r="C98" s="156" t="inlineStr">
        <is>
          <t>201-0764</t>
        </is>
      </c>
      <c r="D98" s="153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98" s="239" t="inlineStr">
        <is>
          <t>т</t>
        </is>
      </c>
      <c r="F98" s="156" t="n">
        <v>2.7295</v>
      </c>
      <c r="G98" s="155" t="n">
        <v>10508</v>
      </c>
      <c r="H98" s="155">
        <f>F98*G98</f>
        <v/>
      </c>
    </row>
    <row r="99" s="172">
      <c r="A99" s="151">
        <f>A98+1</f>
        <v/>
      </c>
      <c r="B99" s="61" t="n"/>
      <c r="C99" s="156" t="inlineStr">
        <is>
          <t>509-1060</t>
        </is>
      </c>
      <c r="D99" s="153" t="inlineStr">
        <is>
          <t>Узел крепления фиксатора окрашенный</t>
        </is>
      </c>
      <c r="E99" s="239" t="inlineStr">
        <is>
          <t>шт.</t>
        </is>
      </c>
      <c r="F99" s="156" t="n">
        <v>406</v>
      </c>
      <c r="G99" s="155" t="n">
        <v>56.95</v>
      </c>
      <c r="H99" s="155">
        <f>F99*G99</f>
        <v/>
      </c>
    </row>
    <row r="100" ht="51" customHeight="1" s="172">
      <c r="A100" s="151">
        <f>A99+1</f>
        <v/>
      </c>
      <c r="B100" s="61" t="n"/>
      <c r="C100" s="156" t="inlineStr">
        <is>
          <t>508-0140</t>
        </is>
      </c>
      <c r="D100" s="153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E100" s="239" t="inlineStr">
        <is>
          <t>10 м</t>
        </is>
      </c>
      <c r="F100" s="156" t="n">
        <v>150</v>
      </c>
      <c r="G100" s="155" t="n">
        <v>130.75</v>
      </c>
      <c r="H100" s="155">
        <f>F100*G100</f>
        <v/>
      </c>
    </row>
    <row r="101" s="172">
      <c r="A101" s="151">
        <f>A100+1</f>
        <v/>
      </c>
      <c r="B101" s="61" t="n"/>
      <c r="C101" s="156" t="inlineStr">
        <is>
          <t>101-1513</t>
        </is>
      </c>
      <c r="D101" s="153" t="inlineStr">
        <is>
          <t>Электроды диаметром 4 мм Э42</t>
        </is>
      </c>
      <c r="E101" s="239" t="inlineStr">
        <is>
          <t>т</t>
        </is>
      </c>
      <c r="F101" s="156" t="n">
        <v>1.6493</v>
      </c>
      <c r="G101" s="155" t="n">
        <v>10315</v>
      </c>
      <c r="H101" s="155">
        <f>F101*G101</f>
        <v/>
      </c>
    </row>
    <row r="102" ht="51" customHeight="1" s="172">
      <c r="A102" s="151">
        <f>A101+1</f>
        <v/>
      </c>
      <c r="B102" s="61" t="n"/>
      <c r="C102" s="156" t="inlineStr">
        <is>
          <t>201-0756</t>
        </is>
      </c>
      <c r="D102" s="15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02" s="239" t="inlineStr">
        <is>
          <t>т</t>
        </is>
      </c>
      <c r="F102" s="156" t="n">
        <v>2.176</v>
      </c>
      <c r="G102" s="155" t="n">
        <v>7712</v>
      </c>
      <c r="H102" s="155">
        <f>F102*G102</f>
        <v/>
      </c>
    </row>
    <row r="103" ht="51" customHeight="1" s="172">
      <c r="A103" s="151">
        <f>A102+1</f>
        <v/>
      </c>
      <c r="B103" s="61" t="n"/>
      <c r="C103" s="156" t="inlineStr">
        <is>
          <t>508-0079</t>
        </is>
      </c>
      <c r="D103" s="153" t="inlineStr">
        <is>
          <t>Канат двойной свивки типа ТК, конструкции 6х19(1+6+12)+1 о.с., без покрытия из проволок марки В, маркировочная группа 1770 н/мм2, диаметром 3,3 мм</t>
        </is>
      </c>
      <c r="E103" s="239" t="inlineStr">
        <is>
          <t>10 м</t>
        </is>
      </c>
      <c r="F103" s="156" t="n">
        <v>358</v>
      </c>
      <c r="G103" s="155" t="n">
        <v>46.65</v>
      </c>
      <c r="H103" s="155">
        <f>F103*G103</f>
        <v/>
      </c>
    </row>
    <row r="104" ht="25.5" customHeight="1" s="172">
      <c r="A104" s="151">
        <f>A103+1</f>
        <v/>
      </c>
      <c r="B104" s="61" t="n"/>
      <c r="C104" s="156" t="inlineStr">
        <is>
          <t>509-0221</t>
        </is>
      </c>
      <c r="D104" s="153" t="inlineStr">
        <is>
          <t>Коромысло для анкеровки усиливающих и питающих проводов (КС-122)</t>
        </is>
      </c>
      <c r="E104" s="239" t="inlineStr">
        <is>
          <t>шт.</t>
        </is>
      </c>
      <c r="F104" s="156" t="n">
        <v>198</v>
      </c>
      <c r="G104" s="155" t="n">
        <v>81</v>
      </c>
      <c r="H104" s="155">
        <f>F104*G104</f>
        <v/>
      </c>
    </row>
    <row r="105" s="172">
      <c r="A105" s="151">
        <f>A104+1</f>
        <v/>
      </c>
      <c r="B105" s="61" t="n"/>
      <c r="C105" s="156" t="inlineStr">
        <is>
          <t>20.1.01.02-0068</t>
        </is>
      </c>
      <c r="D105" s="153" t="inlineStr">
        <is>
          <t>Зажим аппаратный прессуемый: А4А-600-2</t>
        </is>
      </c>
      <c r="E105" s="239" t="inlineStr">
        <is>
          <t>100 шт.</t>
        </is>
      </c>
      <c r="F105" s="156" t="n">
        <v>2.58</v>
      </c>
      <c r="G105" s="155" t="n">
        <v>6080</v>
      </c>
      <c r="H105" s="155">
        <f>F105*G105</f>
        <v/>
      </c>
    </row>
    <row r="106" ht="25.5" customHeight="1" s="172">
      <c r="A106" s="151">
        <f>A105+1</f>
        <v/>
      </c>
      <c r="B106" s="61" t="n"/>
      <c r="C106" s="156" t="inlineStr">
        <is>
          <t>201-0650</t>
        </is>
      </c>
      <c r="D106" s="153" t="inlineStr">
        <is>
          <t>Ограждения лестничных проемов, лестничные марши, пожарные лестницы</t>
        </is>
      </c>
      <c r="E106" s="239" t="inlineStr">
        <is>
          <t>т</t>
        </is>
      </c>
      <c r="F106" s="156" t="n">
        <v>1.87254</v>
      </c>
      <c r="G106" s="155" t="n">
        <v>7571</v>
      </c>
      <c r="H106" s="155">
        <f>F106*G106</f>
        <v/>
      </c>
    </row>
    <row r="107" s="172">
      <c r="A107" s="151">
        <f>A106+1</f>
        <v/>
      </c>
      <c r="B107" s="61" t="n"/>
      <c r="C107" s="156" t="inlineStr">
        <is>
          <t>101-3721</t>
        </is>
      </c>
      <c r="D107" s="153" t="inlineStr">
        <is>
          <t>Сталь полосовая 50х4 мм, марка Ст3сп</t>
        </is>
      </c>
      <c r="E107" s="239" t="inlineStr">
        <is>
          <t>т</t>
        </is>
      </c>
      <c r="F107" s="156" t="n">
        <v>1.64248</v>
      </c>
      <c r="G107" s="155" t="n">
        <v>7396.23</v>
      </c>
      <c r="H107" s="155">
        <f>F107*G107</f>
        <v/>
      </c>
    </row>
    <row r="108" s="172">
      <c r="A108" s="151">
        <f>A107+1</f>
        <v/>
      </c>
      <c r="B108" s="61" t="n"/>
      <c r="C108" s="156" t="inlineStr">
        <is>
          <t>509-0032</t>
        </is>
      </c>
      <c r="D108" s="153" t="inlineStr">
        <is>
          <t>Зажимы</t>
        </is>
      </c>
      <c r="E108" s="239" t="inlineStr">
        <is>
          <t>100 шт.</t>
        </is>
      </c>
      <c r="F108" s="156" t="n">
        <v>6.42</v>
      </c>
      <c r="G108" s="155" t="n">
        <v>1776</v>
      </c>
      <c r="H108" s="155">
        <f>F108*G108</f>
        <v/>
      </c>
    </row>
    <row r="109" s="172">
      <c r="A109" s="151">
        <f>A108+1</f>
        <v/>
      </c>
      <c r="B109" s="61" t="n"/>
      <c r="C109" s="156" t="inlineStr">
        <is>
          <t>14.5.09.11-0101</t>
        </is>
      </c>
      <c r="D109" s="153" t="inlineStr">
        <is>
          <t>Уайт-спирит</t>
        </is>
      </c>
      <c r="E109" s="239" t="inlineStr">
        <is>
          <t>т</t>
        </is>
      </c>
      <c r="F109" s="156" t="n">
        <v>1.472</v>
      </c>
      <c r="G109" s="155" t="n">
        <v>6667</v>
      </c>
      <c r="H109" s="155">
        <f>F109*G109</f>
        <v/>
      </c>
    </row>
    <row r="110" s="172">
      <c r="A110" s="151">
        <f>A109+1</f>
        <v/>
      </c>
      <c r="B110" s="61" t="n"/>
      <c r="C110" s="156" t="inlineStr">
        <is>
          <t>509-0067</t>
        </is>
      </c>
      <c r="D110" s="153" t="inlineStr">
        <is>
          <t>Профиль монтажный</t>
        </is>
      </c>
      <c r="E110" s="239" t="inlineStr">
        <is>
          <t>шт.</t>
        </is>
      </c>
      <c r="F110" s="156" t="n">
        <v>140</v>
      </c>
      <c r="G110" s="155" t="n">
        <v>66.81999999999999</v>
      </c>
      <c r="H110" s="155">
        <f>F110*G110</f>
        <v/>
      </c>
    </row>
    <row r="111" s="172">
      <c r="A111" s="151">
        <f>A110+1</f>
        <v/>
      </c>
      <c r="B111" s="61" t="n"/>
      <c r="C111" s="156" t="inlineStr">
        <is>
          <t>509-0129</t>
        </is>
      </c>
      <c r="D111" s="153" t="inlineStr">
        <is>
          <t>Ушко однолапчатое 012</t>
        </is>
      </c>
      <c r="E111" s="239" t="inlineStr">
        <is>
          <t>шт.</t>
        </is>
      </c>
      <c r="F111" s="156" t="n">
        <v>220</v>
      </c>
      <c r="G111" s="155" t="n">
        <v>38.79</v>
      </c>
      <c r="H111" s="155">
        <f>F111*G111</f>
        <v/>
      </c>
    </row>
    <row r="112" s="172">
      <c r="A112" s="151">
        <f>A111+1</f>
        <v/>
      </c>
      <c r="B112" s="61" t="n"/>
      <c r="C112" s="156" t="inlineStr">
        <is>
          <t>101-3687</t>
        </is>
      </c>
      <c r="D112" s="153" t="inlineStr">
        <is>
          <t>Швеллеры № 14 сталь марки Ст3пс</t>
        </is>
      </c>
      <c r="E112" s="239" t="inlineStr">
        <is>
          <t>т</t>
        </is>
      </c>
      <c r="F112" s="156" t="n">
        <v>1.6896</v>
      </c>
      <c r="G112" s="155" t="n">
        <v>4800</v>
      </c>
      <c r="H112" s="155">
        <f>F112*G112</f>
        <v/>
      </c>
    </row>
    <row r="113" s="172">
      <c r="A113" s="151">
        <f>A112+1</f>
        <v/>
      </c>
      <c r="B113" s="61" t="n"/>
      <c r="C113" s="156" t="inlineStr">
        <is>
          <t>509-0102</t>
        </is>
      </c>
      <c r="D113" s="153" t="inlineStr">
        <is>
          <t>Скобы</t>
        </is>
      </c>
      <c r="E113" s="239" t="inlineStr">
        <is>
          <t>10 шт.</t>
        </is>
      </c>
      <c r="F113" s="156" t="n">
        <v>107.5</v>
      </c>
      <c r="G113" s="155" t="n">
        <v>64.8</v>
      </c>
      <c r="H113" s="155">
        <f>F113*G113</f>
        <v/>
      </c>
    </row>
    <row r="114" s="172">
      <c r="A114" s="151">
        <f>A113+1</f>
        <v/>
      </c>
      <c r="B114" s="61" t="n"/>
      <c r="C114" s="156" t="inlineStr">
        <is>
          <t>102-8009</t>
        </is>
      </c>
      <c r="D114" s="153" t="inlineStr">
        <is>
          <t>Доски дубовые II сорта</t>
        </is>
      </c>
      <c r="E114" s="239" t="inlineStr">
        <is>
          <t>м3</t>
        </is>
      </c>
      <c r="F114" s="156" t="n">
        <v>4.804</v>
      </c>
      <c r="G114" s="155" t="n">
        <v>1410</v>
      </c>
      <c r="H114" s="155">
        <f>F114*G114</f>
        <v/>
      </c>
    </row>
    <row r="115" s="172">
      <c r="A115" s="151">
        <f>A114+1</f>
        <v/>
      </c>
      <c r="B115" s="61" t="n"/>
      <c r="C115" s="156" t="inlineStr">
        <is>
          <t>113-0226</t>
        </is>
      </c>
      <c r="D115" s="153" t="inlineStr">
        <is>
          <t>Эмаль ХВ-124 голубая</t>
        </is>
      </c>
      <c r="E115" s="239" t="inlineStr">
        <is>
          <t>т</t>
        </is>
      </c>
      <c r="F115" s="156" t="n">
        <v>0.2896</v>
      </c>
      <c r="G115" s="155" t="n">
        <v>22050</v>
      </c>
      <c r="H115" s="155">
        <f>F115*G115</f>
        <v/>
      </c>
    </row>
    <row r="116" s="172">
      <c r="A116" s="151">
        <f>A115+1</f>
        <v/>
      </c>
      <c r="B116" s="61" t="n"/>
      <c r="C116" s="156" t="inlineStr">
        <is>
          <t>101-2143</t>
        </is>
      </c>
      <c r="D116" s="153" t="inlineStr">
        <is>
          <t>Краска</t>
        </is>
      </c>
      <c r="E116" s="239" t="inlineStr">
        <is>
          <t>кг</t>
        </is>
      </c>
      <c r="F116" s="156" t="n">
        <v>213.728</v>
      </c>
      <c r="G116" s="155" t="n">
        <v>28.6</v>
      </c>
      <c r="H116" s="155">
        <f>F116*G116</f>
        <v/>
      </c>
    </row>
    <row r="117" s="172">
      <c r="A117" s="151">
        <f>A116+1</f>
        <v/>
      </c>
      <c r="B117" s="61" t="n"/>
      <c r="C117" s="156" t="inlineStr">
        <is>
          <t>113-0021</t>
        </is>
      </c>
      <c r="D117" s="153" t="inlineStr">
        <is>
          <t>Грунтовка ГФ-021 красно-коричневая</t>
        </is>
      </c>
      <c r="E117" s="239" t="inlineStr">
        <is>
          <t>т</t>
        </is>
      </c>
      <c r="F117" s="156" t="n">
        <v>0.3681</v>
      </c>
      <c r="G117" s="155" t="n">
        <v>15620</v>
      </c>
      <c r="H117" s="155">
        <f>F117*G117</f>
        <v/>
      </c>
    </row>
    <row r="118" s="172">
      <c r="A118" s="151">
        <f>A117+1</f>
        <v/>
      </c>
      <c r="B118" s="61" t="n"/>
      <c r="C118" s="156" t="inlineStr">
        <is>
          <t>101-2162</t>
        </is>
      </c>
      <c r="D118" s="153" t="inlineStr">
        <is>
          <t>Рукава металлические диаметром 27 мм РЗ-Ц-Х</t>
        </is>
      </c>
      <c r="E118" s="239" t="inlineStr">
        <is>
          <t>м</t>
        </is>
      </c>
      <c r="F118" s="156" t="n">
        <v>333</v>
      </c>
      <c r="G118" s="155" t="n">
        <v>13.56</v>
      </c>
      <c r="H118" s="155">
        <f>F118*G118</f>
        <v/>
      </c>
    </row>
    <row r="119" s="172">
      <c r="A119" s="151">
        <f>A118+1</f>
        <v/>
      </c>
      <c r="B119" s="61" t="n"/>
      <c r="C119" s="156" t="inlineStr">
        <is>
          <t>101-1977</t>
        </is>
      </c>
      <c r="D119" s="153" t="inlineStr">
        <is>
          <t>Болты с гайками и шайбами строительные</t>
        </is>
      </c>
      <c r="E119" s="239" t="inlineStr">
        <is>
          <t>кг</t>
        </is>
      </c>
      <c r="F119" s="156" t="n">
        <v>478.07</v>
      </c>
      <c r="G119" s="155" t="n">
        <v>9.039999999999999</v>
      </c>
      <c r="H119" s="155">
        <f>F119*G119</f>
        <v/>
      </c>
    </row>
    <row r="120" ht="25.5" customHeight="1" s="172">
      <c r="A120" s="151">
        <f>A119+1</f>
        <v/>
      </c>
      <c r="B120" s="61" t="n"/>
      <c r="C120" s="156" t="inlineStr">
        <is>
          <t>101-2343</t>
        </is>
      </c>
      <c r="D120" s="153" t="inlineStr">
        <is>
          <t>Смазка универсальная тугоплавкая УТ (консталин жировой)</t>
        </is>
      </c>
      <c r="E120" s="239" t="inlineStr">
        <is>
          <t>т</t>
        </is>
      </c>
      <c r="F120" s="156" t="n">
        <v>0.2328</v>
      </c>
      <c r="G120" s="155" t="n">
        <v>17500</v>
      </c>
      <c r="H120" s="155">
        <f>F120*G120</f>
        <v/>
      </c>
    </row>
    <row r="121" ht="25.5" customHeight="1" s="172">
      <c r="A121" s="151">
        <f>A120+1</f>
        <v/>
      </c>
      <c r="B121" s="61" t="n"/>
      <c r="C121" s="156" t="inlineStr">
        <is>
          <t>101-1755</t>
        </is>
      </c>
      <c r="D121" s="153" t="inlineStr">
        <is>
          <t>Сталь полосовая, марка стали Ст3сп шириной 50-200 мм толщиной 4-5 мм</t>
        </is>
      </c>
      <c r="E121" s="239" t="inlineStr">
        <is>
          <t>т</t>
        </is>
      </c>
      <c r="F121" s="156" t="n">
        <v>0.7986</v>
      </c>
      <c r="G121" s="155" t="n">
        <v>5000</v>
      </c>
      <c r="H121" s="155">
        <f>F121*G121</f>
        <v/>
      </c>
    </row>
    <row r="122" s="172">
      <c r="A122" s="151">
        <f>A121+1</f>
        <v/>
      </c>
      <c r="B122" s="61" t="n"/>
      <c r="C122" s="156" t="inlineStr">
        <is>
          <t>101-0113</t>
        </is>
      </c>
      <c r="D122" s="153" t="inlineStr">
        <is>
          <t>Бязь суровая арт. 6804</t>
        </is>
      </c>
      <c r="E122" s="239" t="inlineStr">
        <is>
          <t>10 м2</t>
        </is>
      </c>
      <c r="F122" s="156" t="n">
        <v>50.27</v>
      </c>
      <c r="G122" s="155" t="n">
        <v>79.09999999999999</v>
      </c>
      <c r="H122" s="155">
        <f>F122*G122</f>
        <v/>
      </c>
    </row>
    <row r="123" s="172">
      <c r="A123" s="151">
        <f>A122+1</f>
        <v/>
      </c>
      <c r="B123" s="61" t="n"/>
      <c r="C123" s="156" t="inlineStr">
        <is>
          <t>101-1924</t>
        </is>
      </c>
      <c r="D123" s="153" t="inlineStr">
        <is>
          <t>Электроды диаметром 4 мм Э42А</t>
        </is>
      </c>
      <c r="E123" s="239" t="inlineStr">
        <is>
          <t>кг</t>
        </is>
      </c>
      <c r="F123" s="156" t="n">
        <v>310.984</v>
      </c>
      <c r="G123" s="155" t="n">
        <v>10.57</v>
      </c>
      <c r="H123" s="155">
        <f>F123*G123</f>
        <v/>
      </c>
    </row>
    <row r="124" s="172">
      <c r="A124" s="151">
        <f>A123+1</f>
        <v/>
      </c>
      <c r="B124" s="61" t="n"/>
      <c r="C124" s="156" t="inlineStr">
        <is>
          <t>109-0145</t>
        </is>
      </c>
      <c r="D124" s="153" t="inlineStr">
        <is>
          <t>Коронки буровые типа К-100В</t>
        </is>
      </c>
      <c r="E124" s="239" t="inlineStr">
        <is>
          <t>шт.</t>
        </is>
      </c>
      <c r="F124" s="156" t="n">
        <v>16.6</v>
      </c>
      <c r="G124" s="155" t="n">
        <v>176.51</v>
      </c>
      <c r="H124" s="155">
        <f>F124*G124</f>
        <v/>
      </c>
    </row>
    <row r="125" ht="25.5" customHeight="1" s="172">
      <c r="A125" s="151">
        <f>A124+1</f>
        <v/>
      </c>
      <c r="B125" s="61" t="n"/>
      <c r="C125" s="156" t="inlineStr">
        <is>
          <t>999-9950</t>
        </is>
      </c>
      <c r="D125" s="153" t="inlineStr">
        <is>
          <t>Вспомогательные ненормируемые материальные ресурсы (2% от оплаты труда рабочих)</t>
        </is>
      </c>
      <c r="E125" s="239" t="inlineStr">
        <is>
          <t>руб.</t>
        </is>
      </c>
      <c r="F125" s="156" t="n">
        <v>2802.78</v>
      </c>
      <c r="G125" s="155" t="n">
        <v>1</v>
      </c>
      <c r="H125" s="155">
        <f>F125*G125</f>
        <v/>
      </c>
    </row>
    <row r="126" s="172">
      <c r="A126" s="151">
        <f>A125+1</f>
        <v/>
      </c>
      <c r="B126" s="61" t="n"/>
      <c r="C126" s="156" t="inlineStr">
        <is>
          <t>509-0237</t>
        </is>
      </c>
      <c r="D126" s="153" t="inlineStr">
        <is>
          <t>Серьга Ср-4,5 075</t>
        </is>
      </c>
      <c r="E126" s="239" t="inlineStr">
        <is>
          <t>шт.</t>
        </is>
      </c>
      <c r="F126" s="156" t="n">
        <v>220</v>
      </c>
      <c r="G126" s="155" t="n">
        <v>11.39</v>
      </c>
      <c r="H126" s="155">
        <f>F126*G126</f>
        <v/>
      </c>
    </row>
    <row r="127" s="172">
      <c r="A127" s="151">
        <f>A126+1</f>
        <v/>
      </c>
      <c r="B127" s="61" t="n"/>
      <c r="C127" s="156" t="inlineStr">
        <is>
          <t>101-2353</t>
        </is>
      </c>
      <c r="D127" s="153" t="inlineStr">
        <is>
          <t>Спирт этиловый ректификованный технический, сорт I</t>
        </is>
      </c>
      <c r="E127" s="239" t="inlineStr">
        <is>
          <t>т</t>
        </is>
      </c>
      <c r="F127" s="156" t="n">
        <v>0.064</v>
      </c>
      <c r="G127" s="155" t="n">
        <v>38890</v>
      </c>
      <c r="H127" s="155">
        <f>F127*G127</f>
        <v/>
      </c>
    </row>
    <row r="128" s="172">
      <c r="A128" s="151">
        <f>A127+1</f>
        <v/>
      </c>
      <c r="B128" s="61" t="n"/>
      <c r="C128" s="156" t="inlineStr">
        <is>
          <t>101-2355</t>
        </is>
      </c>
      <c r="D128" s="153" t="inlineStr">
        <is>
          <t>Бумага шлифовальная</t>
        </is>
      </c>
      <c r="E128" s="239" t="inlineStr">
        <is>
          <t>кг</t>
        </is>
      </c>
      <c r="F128" s="156" t="n">
        <v>49.28</v>
      </c>
      <c r="G128" s="155" t="n">
        <v>50</v>
      </c>
      <c r="H128" s="155">
        <f>F128*G128</f>
        <v/>
      </c>
    </row>
    <row r="129" s="172">
      <c r="A129" s="151">
        <f>A128+1</f>
        <v/>
      </c>
      <c r="B129" s="61" t="n"/>
      <c r="C129" s="156" t="inlineStr">
        <is>
          <t>509-1263</t>
        </is>
      </c>
      <c r="D129" s="153" t="inlineStr">
        <is>
          <t>Сжимы ответвительные У-731</t>
        </is>
      </c>
      <c r="E129" s="239" t="inlineStr">
        <is>
          <t>шт.</t>
        </is>
      </c>
      <c r="F129" s="156" t="n">
        <v>173</v>
      </c>
      <c r="G129" s="155" t="n">
        <v>10.26</v>
      </c>
      <c r="H129" s="155">
        <f>F129*G129</f>
        <v/>
      </c>
    </row>
    <row r="130" s="172">
      <c r="A130" s="151">
        <f>A129+1</f>
        <v/>
      </c>
      <c r="B130" s="61" t="n"/>
      <c r="C130" s="156" t="inlineStr">
        <is>
          <t>101-1805</t>
        </is>
      </c>
      <c r="D130" s="153" t="inlineStr">
        <is>
          <t>Гвозди строительные</t>
        </is>
      </c>
      <c r="E130" s="239" t="inlineStr">
        <is>
          <t>т</t>
        </is>
      </c>
      <c r="F130" s="156" t="n">
        <v>0.1282</v>
      </c>
      <c r="G130" s="155" t="n">
        <v>11978</v>
      </c>
      <c r="H130" s="155">
        <f>F130*G130</f>
        <v/>
      </c>
    </row>
    <row r="131" ht="25.5" customHeight="1" s="172">
      <c r="A131" s="151">
        <f>A130+1</f>
        <v/>
      </c>
      <c r="B131" s="61" t="n"/>
      <c r="C131" s="156" t="inlineStr">
        <is>
          <t>401-0064</t>
        </is>
      </c>
      <c r="D131" s="153" t="inlineStr">
        <is>
          <t>Бетон тяжелый, крупность заполнителя 20 мм, класс В10 (М150)</t>
        </is>
      </c>
      <c r="E131" s="239" t="inlineStr">
        <is>
          <t>м3</t>
        </is>
      </c>
      <c r="F131" s="156" t="n">
        <v>2.448</v>
      </c>
      <c r="G131" s="155" t="n">
        <v>542.24</v>
      </c>
      <c r="H131" s="155">
        <f>F131*G131</f>
        <v/>
      </c>
    </row>
    <row r="132" ht="25.5" customHeight="1" s="172">
      <c r="A132" s="151">
        <f>A131+1</f>
        <v/>
      </c>
      <c r="B132" s="61" t="n"/>
      <c r="C132" s="156" t="inlineStr">
        <is>
          <t>401-0061</t>
        </is>
      </c>
      <c r="D132" s="153" t="inlineStr">
        <is>
          <t>Бетон тяжелый, крупность заполнителя 20 мм, класс В3,5 (М50)</t>
        </is>
      </c>
      <c r="E132" s="239" t="inlineStr">
        <is>
          <t>м3</t>
        </is>
      </c>
      <c r="F132" s="156" t="n">
        <v>2.448</v>
      </c>
      <c r="G132" s="155" t="n">
        <v>520</v>
      </c>
      <c r="H132" s="155">
        <f>F132*G132</f>
        <v/>
      </c>
    </row>
    <row r="133" ht="63.75" customHeight="1" s="172">
      <c r="A133" s="151">
        <f>A132+1</f>
        <v/>
      </c>
      <c r="B133" s="61" t="n"/>
      <c r="C133" s="156" t="inlineStr">
        <is>
          <t>201-0774</t>
        </is>
      </c>
      <c r="D133" s="15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3" s="239" t="inlineStr">
        <is>
          <t>т</t>
        </is>
      </c>
      <c r="F133" s="156" t="n">
        <v>0.1121</v>
      </c>
      <c r="G133" s="155" t="n">
        <v>11255</v>
      </c>
      <c r="H133" s="155">
        <f>F133*G133</f>
        <v/>
      </c>
    </row>
    <row r="134" s="172">
      <c r="A134" s="151">
        <f>A133+1</f>
        <v/>
      </c>
      <c r="B134" s="61" t="n"/>
      <c r="C134" s="156" t="inlineStr">
        <is>
          <t>101-2467</t>
        </is>
      </c>
      <c r="D134" s="153" t="inlineStr">
        <is>
          <t>Растворитель марки Р-4</t>
        </is>
      </c>
      <c r="E134" s="239" t="inlineStr">
        <is>
          <t>т</t>
        </is>
      </c>
      <c r="F134" s="156" t="n">
        <v>0.1263</v>
      </c>
      <c r="G134" s="155" t="n">
        <v>9420</v>
      </c>
      <c r="H134" s="155">
        <f>F134*G134</f>
        <v/>
      </c>
    </row>
    <row r="135" s="172">
      <c r="A135" s="151">
        <f>A134+1</f>
        <v/>
      </c>
      <c r="B135" s="61" t="n"/>
      <c r="C135" s="156" t="inlineStr">
        <is>
          <t>301-0041</t>
        </is>
      </c>
      <c r="D135" s="153" t="inlineStr">
        <is>
          <t>Патрубки</t>
        </is>
      </c>
      <c r="E135" s="239" t="inlineStr">
        <is>
          <t>10 шт.</t>
        </is>
      </c>
      <c r="F135" s="156" t="n">
        <v>3.33</v>
      </c>
      <c r="G135" s="155" t="n">
        <v>277.5</v>
      </c>
      <c r="H135" s="155">
        <f>F135*G135</f>
        <v/>
      </c>
    </row>
    <row r="136" ht="25.5" customHeight="1" s="172">
      <c r="A136" s="151">
        <f>A135+1</f>
        <v/>
      </c>
      <c r="B136" s="61" t="n"/>
      <c r="C136" s="156" t="inlineStr">
        <is>
          <t>101-1614</t>
        </is>
      </c>
      <c r="D136" s="153" t="inlineStr">
        <is>
          <t>Сталь круглая углеродистая обыкновенного качества марки ВСт3пс5-1 диаметром 16 мм</t>
        </is>
      </c>
      <c r="E136" s="239" t="inlineStr">
        <is>
          <t>т</t>
        </is>
      </c>
      <c r="F136" s="156" t="n">
        <v>0.16632</v>
      </c>
      <c r="G136" s="155" t="n">
        <v>5230.01</v>
      </c>
      <c r="H136" s="155">
        <f>F136*G136</f>
        <v/>
      </c>
    </row>
    <row r="137" ht="25.5" customHeight="1" s="172">
      <c r="A137" s="151">
        <f>A136+1</f>
        <v/>
      </c>
      <c r="B137" s="61" t="n"/>
      <c r="C137" s="156" t="inlineStr">
        <is>
          <t>101-0388</t>
        </is>
      </c>
      <c r="D137" s="153" t="inlineStr">
        <is>
          <t>Краски масляные земляные марки МА-0115 мумия, сурик железный</t>
        </is>
      </c>
      <c r="E137" s="239" t="inlineStr">
        <is>
          <t>т</t>
        </is>
      </c>
      <c r="F137" s="156" t="n">
        <v>0.032</v>
      </c>
      <c r="G137" s="155" t="n">
        <v>15119</v>
      </c>
      <c r="H137" s="155">
        <f>F137*G137</f>
        <v/>
      </c>
    </row>
    <row r="138" s="172">
      <c r="A138" s="151">
        <f>A137+1</f>
        <v/>
      </c>
      <c r="B138" s="61" t="n"/>
      <c r="C138" s="156" t="inlineStr">
        <is>
          <t>113-0077</t>
        </is>
      </c>
      <c r="D138" s="153" t="inlineStr">
        <is>
          <t>Ксилол нефтяной марки А</t>
        </is>
      </c>
      <c r="E138" s="239" t="inlineStr">
        <is>
          <t>т</t>
        </is>
      </c>
      <c r="F138" s="156" t="n">
        <v>0.061</v>
      </c>
      <c r="G138" s="155" t="n">
        <v>7640</v>
      </c>
      <c r="H138" s="155">
        <f>F138*G138</f>
        <v/>
      </c>
    </row>
    <row r="139" s="172">
      <c r="A139" s="151">
        <f>A138+1</f>
        <v/>
      </c>
      <c r="B139" s="61" t="n"/>
      <c r="C139" s="156" t="inlineStr">
        <is>
          <t>110-0259</t>
        </is>
      </c>
      <c r="D139" s="153" t="inlineStr">
        <is>
          <t>Изоляторы опорные ИОР-10-375 УХЛ</t>
        </is>
      </c>
      <c r="E139" s="239" t="inlineStr">
        <is>
          <t>шт.</t>
        </is>
      </c>
      <c r="F139" s="156" t="n">
        <v>9</v>
      </c>
      <c r="G139" s="155" t="n">
        <v>41.1</v>
      </c>
      <c r="H139" s="155">
        <f>F139*G139</f>
        <v/>
      </c>
    </row>
    <row r="140" s="172">
      <c r="A140" s="151">
        <f>A139+1</f>
        <v/>
      </c>
      <c r="B140" s="61" t="n"/>
      <c r="C140" s="156" t="inlineStr">
        <is>
          <t>503-0544</t>
        </is>
      </c>
      <c r="D140" s="153" t="inlineStr">
        <is>
          <t>Бокс ЩРН-9 навесной (250х350х120)</t>
        </is>
      </c>
      <c r="E140" s="239" t="inlineStr">
        <is>
          <t>шт.</t>
        </is>
      </c>
      <c r="F140" s="156" t="n">
        <v>4</v>
      </c>
      <c r="G140" s="155" t="n">
        <v>92.25</v>
      </c>
      <c r="H140" s="155">
        <f>F140*G140</f>
        <v/>
      </c>
    </row>
    <row r="141" s="172">
      <c r="A141" s="151">
        <f>A140+1</f>
        <v/>
      </c>
      <c r="B141" s="61" t="n"/>
      <c r="C141" s="156" t="inlineStr">
        <is>
          <t>101-1515</t>
        </is>
      </c>
      <c r="D141" s="153" t="inlineStr">
        <is>
          <t>Электроды диаметром 4 мм Э46</t>
        </is>
      </c>
      <c r="E141" s="239" t="inlineStr">
        <is>
          <t>т</t>
        </is>
      </c>
      <c r="F141" s="156" t="n">
        <v>0.0295</v>
      </c>
      <c r="G141" s="155" t="n">
        <v>10749</v>
      </c>
      <c r="H141" s="155">
        <f>F141*G141</f>
        <v/>
      </c>
    </row>
    <row r="142" s="172">
      <c r="A142" s="151">
        <f>A141+1</f>
        <v/>
      </c>
      <c r="B142" s="61" t="n"/>
      <c r="C142" s="156" t="inlineStr">
        <is>
          <t>101-1728</t>
        </is>
      </c>
      <c r="D142" s="153" t="inlineStr">
        <is>
          <t>Дюбели распорные с гайкой</t>
        </is>
      </c>
      <c r="E142" s="239" t="inlineStr">
        <is>
          <t>100 шт.</t>
        </is>
      </c>
      <c r="F142" s="156" t="n">
        <v>2.826</v>
      </c>
      <c r="G142" s="155" t="n">
        <v>110</v>
      </c>
      <c r="H142" s="155">
        <f>F142*G142</f>
        <v/>
      </c>
    </row>
    <row r="143" ht="25.5" customHeight="1" s="172">
      <c r="A143" s="151">
        <f>A142+1</f>
        <v/>
      </c>
      <c r="B143" s="61" t="n"/>
      <c r="C143" s="156" t="inlineStr">
        <is>
          <t>101-1306</t>
        </is>
      </c>
      <c r="D143" s="153" t="inlineStr">
        <is>
          <t>Портландцемент общестроительного назначения бездобавочный, марки 500</t>
        </is>
      </c>
      <c r="E143" s="239" t="inlineStr">
        <is>
          <t>т</t>
        </is>
      </c>
      <c r="F143" s="156" t="n">
        <v>0.6358</v>
      </c>
      <c r="G143" s="155" t="n">
        <v>480</v>
      </c>
      <c r="H143" s="155">
        <f>F143*G143</f>
        <v/>
      </c>
    </row>
    <row r="144" ht="25.5" customHeight="1" s="172">
      <c r="A144" s="151">
        <f>A143+1</f>
        <v/>
      </c>
      <c r="B144" s="61" t="n"/>
      <c r="C144" s="156" t="inlineStr">
        <is>
          <t>101-1627</t>
        </is>
      </c>
      <c r="D144" s="153" t="inlineStr">
        <is>
          <t>Сталь листовая углеродистая обыкновенного качества марки ВСт3пс5 толщиной 4-6 мм</t>
        </is>
      </c>
      <c r="E144" s="239" t="inlineStr">
        <is>
          <t>т</t>
        </is>
      </c>
      <c r="F144" s="156" t="n">
        <v>0.0335</v>
      </c>
      <c r="G144" s="155" t="n">
        <v>5763</v>
      </c>
      <c r="H144" s="155">
        <f>F144*G144</f>
        <v/>
      </c>
    </row>
    <row r="145" ht="25.5" customHeight="1" s="172">
      <c r="A145" s="151">
        <f>A144+1</f>
        <v/>
      </c>
      <c r="B145" s="61" t="n"/>
      <c r="C145" s="156" t="inlineStr">
        <is>
          <t>102-0154</t>
        </is>
      </c>
      <c r="D145" s="153" t="inlineStr">
        <is>
          <t>Доски обрезные (береза, липа) длиной 4-6,5 м, все ширины, толщиной 19-22 мм, II сорта</t>
        </is>
      </c>
      <c r="E145" s="239" t="inlineStr">
        <is>
          <t>м3</t>
        </is>
      </c>
      <c r="F145" s="156" t="n">
        <v>0.08</v>
      </c>
      <c r="G145" s="155" t="n">
        <v>1784</v>
      </c>
      <c r="H145" s="155">
        <f>F145*G145</f>
        <v/>
      </c>
    </row>
    <row r="146" ht="25.5" customHeight="1" s="172">
      <c r="A146" s="151">
        <f>A145+1</f>
        <v/>
      </c>
      <c r="B146" s="61" t="n"/>
      <c r="C146" s="156" t="inlineStr">
        <is>
          <t>506-0641</t>
        </is>
      </c>
      <c r="D146" s="153" t="inlineStr">
        <is>
          <t>Проволока латунная марки Л68 круглая, твердая, нормальной точности, диаметром 0,50 мм</t>
        </is>
      </c>
      <c r="E146" s="239" t="inlineStr">
        <is>
          <t>т</t>
        </is>
      </c>
      <c r="F146" s="156" t="n">
        <v>0.002</v>
      </c>
      <c r="G146" s="155" t="n">
        <v>62000</v>
      </c>
      <c r="H146" s="155">
        <f>F146*G146</f>
        <v/>
      </c>
    </row>
    <row r="147" s="172">
      <c r="A147" s="151">
        <f>A146+1</f>
        <v/>
      </c>
      <c r="B147" s="61" t="n"/>
      <c r="C147" s="156" t="inlineStr">
        <is>
          <t>101-3914</t>
        </is>
      </c>
      <c r="D147" s="153" t="inlineStr">
        <is>
          <t>Дюбели распорные полипропиленовые</t>
        </is>
      </c>
      <c r="E147" s="239" t="inlineStr">
        <is>
          <t>100 шт.</t>
        </is>
      </c>
      <c r="F147" s="156" t="n">
        <v>1.12</v>
      </c>
      <c r="G147" s="155" t="n">
        <v>86</v>
      </c>
      <c r="H147" s="155">
        <f>F147*G147</f>
        <v/>
      </c>
    </row>
    <row r="148" s="172">
      <c r="A148" s="151">
        <f>A147+1</f>
        <v/>
      </c>
      <c r="B148" s="61" t="n"/>
      <c r="C148" s="156" t="inlineStr">
        <is>
          <t>101-0115</t>
        </is>
      </c>
      <c r="D148" s="153" t="inlineStr">
        <is>
          <t>Винты с полукруглой головкой длиной 50 мм</t>
        </is>
      </c>
      <c r="E148" s="239" t="inlineStr">
        <is>
          <t>т</t>
        </is>
      </c>
      <c r="F148" s="156" t="n">
        <v>0.0073</v>
      </c>
      <c r="G148" s="155" t="n">
        <v>12430</v>
      </c>
      <c r="H148" s="155">
        <f>F148*G148</f>
        <v/>
      </c>
    </row>
    <row r="149" s="172">
      <c r="A149" s="151">
        <f>A148+1</f>
        <v/>
      </c>
      <c r="B149" s="61" t="n"/>
      <c r="C149" s="156" t="inlineStr">
        <is>
          <t>101-0324</t>
        </is>
      </c>
      <c r="D149" s="153" t="inlineStr">
        <is>
          <t>Кислород технический газообразный</t>
        </is>
      </c>
      <c r="E149" s="239" t="inlineStr">
        <is>
          <t>м3</t>
        </is>
      </c>
      <c r="F149" s="156" t="n">
        <v>12.911</v>
      </c>
      <c r="G149" s="155" t="n">
        <v>6.22</v>
      </c>
      <c r="H149" s="155">
        <f>F149*G149</f>
        <v/>
      </c>
    </row>
    <row r="150" s="172">
      <c r="A150" s="151">
        <f>A149+1</f>
        <v/>
      </c>
      <c r="B150" s="61" t="n"/>
      <c r="C150" s="156" t="inlineStr">
        <is>
          <t>113-0307</t>
        </is>
      </c>
      <c r="D150" s="153" t="inlineStr">
        <is>
          <t>Пленка полиэтиленовая толщиной 0,2-0,5 мм</t>
        </is>
      </c>
      <c r="E150" s="239" t="inlineStr">
        <is>
          <t>т</t>
        </is>
      </c>
      <c r="F150" s="156" t="n">
        <v>0.0032</v>
      </c>
      <c r="G150" s="155" t="n">
        <v>23500</v>
      </c>
      <c r="H150" s="155">
        <f>F150*G150</f>
        <v/>
      </c>
    </row>
    <row r="151" s="172">
      <c r="A151" s="151">
        <f>A150+1</f>
        <v/>
      </c>
      <c r="B151" s="61" t="n"/>
      <c r="C151" s="156" t="inlineStr">
        <is>
          <t>101-1019</t>
        </is>
      </c>
      <c r="D151" s="153" t="inlineStr">
        <is>
          <t>Швеллеры № 40 из стали марки Ст0</t>
        </is>
      </c>
      <c r="E151" s="239" t="inlineStr">
        <is>
          <t>т</t>
        </is>
      </c>
      <c r="F151" s="156" t="n">
        <v>0.0143</v>
      </c>
      <c r="G151" s="155" t="n">
        <v>4920</v>
      </c>
      <c r="H151" s="155">
        <f>F151*G151</f>
        <v/>
      </c>
    </row>
    <row r="152" s="172">
      <c r="A152" s="151">
        <f>A151+1</f>
        <v/>
      </c>
      <c r="B152" s="61" t="n"/>
      <c r="C152" s="156" t="inlineStr">
        <is>
          <t>509-0090</t>
        </is>
      </c>
      <c r="D152" s="153" t="inlineStr">
        <is>
          <t>Перемычки гибкие, тип ПГС-50</t>
        </is>
      </c>
      <c r="E152" s="239" t="inlineStr">
        <is>
          <t>шт.</t>
        </is>
      </c>
      <c r="F152" s="156" t="n">
        <v>16.65</v>
      </c>
      <c r="G152" s="155" t="n">
        <v>3.9</v>
      </c>
      <c r="H152" s="155">
        <f>F152*G152</f>
        <v/>
      </c>
    </row>
    <row r="153" s="172">
      <c r="A153" s="151">
        <f>A152+1</f>
        <v/>
      </c>
      <c r="B153" s="61" t="n"/>
      <c r="C153" s="156" t="inlineStr">
        <is>
          <t>101-1668</t>
        </is>
      </c>
      <c r="D153" s="153" t="inlineStr">
        <is>
          <t>Рогожа</t>
        </is>
      </c>
      <c r="E153" s="239" t="inlineStr">
        <is>
          <t>м2</t>
        </is>
      </c>
      <c r="F153" s="156" t="n">
        <v>6</v>
      </c>
      <c r="G153" s="155" t="n">
        <v>10.2</v>
      </c>
      <c r="H153" s="155">
        <f>F153*G153</f>
        <v/>
      </c>
    </row>
    <row r="154" ht="51" customHeight="1" s="172">
      <c r="A154" s="151">
        <f>A153+1</f>
        <v/>
      </c>
      <c r="B154" s="61" t="n"/>
      <c r="C154" s="156" t="inlineStr">
        <is>
          <t>201-0756</t>
        </is>
      </c>
      <c r="D154" s="15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54" s="239" t="inlineStr">
        <is>
          <t>т</t>
        </is>
      </c>
      <c r="F154" s="156" t="n">
        <v>0.0074</v>
      </c>
      <c r="G154" s="155" t="n">
        <v>7712</v>
      </c>
      <c r="H154" s="155">
        <f>F154*G154</f>
        <v/>
      </c>
    </row>
    <row r="155" s="172">
      <c r="A155" s="151">
        <f>A154+1</f>
        <v/>
      </c>
      <c r="B155" s="61" t="n"/>
      <c r="C155" s="156" t="inlineStr">
        <is>
          <t>101-2357</t>
        </is>
      </c>
      <c r="D155" s="153" t="inlineStr">
        <is>
          <t>Бумага шлифовальная</t>
        </is>
      </c>
      <c r="E155" s="239" t="inlineStr">
        <is>
          <t>лист</t>
        </is>
      </c>
      <c r="F155" s="156" t="n">
        <v>15</v>
      </c>
      <c r="G155" s="155" t="n">
        <v>3.75</v>
      </c>
      <c r="H155" s="155">
        <f>F155*G155</f>
        <v/>
      </c>
    </row>
    <row r="156" s="172">
      <c r="A156" s="151">
        <f>A155+1</f>
        <v/>
      </c>
      <c r="B156" s="61" t="n"/>
      <c r="C156" s="156" t="inlineStr">
        <is>
          <t>101-2278</t>
        </is>
      </c>
      <c r="D156" s="153" t="inlineStr">
        <is>
          <t>Пропан-бутан, смесь техническая</t>
        </is>
      </c>
      <c r="E156" s="239" t="inlineStr">
        <is>
          <t>кг</t>
        </is>
      </c>
      <c r="F156" s="156" t="n">
        <v>7.026</v>
      </c>
      <c r="G156" s="155" t="n">
        <v>6.09</v>
      </c>
      <c r="H156" s="155">
        <f>F156*G156</f>
        <v/>
      </c>
    </row>
    <row r="157" ht="25.5" customHeight="1" s="172">
      <c r="A157" s="151">
        <f>A156+1</f>
        <v/>
      </c>
      <c r="B157" s="61" t="n"/>
      <c r="C157" s="156" t="inlineStr">
        <is>
          <t>408-0141</t>
        </is>
      </c>
      <c r="D157" s="153" t="inlineStr">
        <is>
          <t>Песок природный для строительных растворов средний</t>
        </is>
      </c>
      <c r="E157" s="239" t="inlineStr">
        <is>
          <t>м3</t>
        </is>
      </c>
      <c r="F157" s="156" t="n">
        <v>0.5298</v>
      </c>
      <c r="G157" s="155" t="n">
        <v>59.99</v>
      </c>
      <c r="H157" s="155">
        <f>F157*G157</f>
        <v/>
      </c>
    </row>
    <row r="158" s="172">
      <c r="A158" s="151">
        <f>A157+1</f>
        <v/>
      </c>
      <c r="B158" s="61" t="n"/>
      <c r="C158" s="156" t="inlineStr">
        <is>
          <t>101-0309</t>
        </is>
      </c>
      <c r="D158" s="153" t="inlineStr">
        <is>
          <t>Канаты пеньковые пропитанные</t>
        </is>
      </c>
      <c r="E158" s="239" t="inlineStr">
        <is>
          <t>т</t>
        </is>
      </c>
      <c r="F158" s="156" t="n">
        <v>0.0008</v>
      </c>
      <c r="G158" s="155" t="n">
        <v>37900</v>
      </c>
      <c r="H158" s="155">
        <f>F158*G158</f>
        <v/>
      </c>
    </row>
    <row r="159" s="172">
      <c r="A159" s="151">
        <f>A158+1</f>
        <v/>
      </c>
      <c r="B159" s="61" t="n"/>
      <c r="C159" s="156" t="inlineStr">
        <is>
          <t>101-0179</t>
        </is>
      </c>
      <c r="D159" s="153" t="inlineStr">
        <is>
          <t>Гвозди строительные с плоской головкой 1,6x50 мм</t>
        </is>
      </c>
      <c r="E159" s="239" t="inlineStr">
        <is>
          <t>т</t>
        </is>
      </c>
      <c r="F159" s="156" t="n">
        <v>0.0032</v>
      </c>
      <c r="G159" s="155" t="n">
        <v>8475</v>
      </c>
      <c r="H159" s="155">
        <f>F159*G159</f>
        <v/>
      </c>
    </row>
    <row r="160" s="172">
      <c r="A160" s="151">
        <f>A159+1</f>
        <v/>
      </c>
      <c r="B160" s="61" t="n"/>
      <c r="C160" s="156" t="inlineStr">
        <is>
          <t>509-0031</t>
        </is>
      </c>
      <c r="D160" s="153" t="inlineStr">
        <is>
          <t>Муфты соединительные</t>
        </is>
      </c>
      <c r="E160" s="239" t="inlineStr">
        <is>
          <t>шт.</t>
        </is>
      </c>
      <c r="F160" s="156" t="n">
        <v>33.3</v>
      </c>
      <c r="G160" s="155" t="n">
        <v>0.71</v>
      </c>
      <c r="H160" s="155">
        <f>F160*G160</f>
        <v/>
      </c>
    </row>
    <row r="161" ht="25.5" customHeight="1" s="172">
      <c r="A161" s="151">
        <f>A160+1</f>
        <v/>
      </c>
      <c r="B161" s="61" t="n"/>
      <c r="C161" s="156" t="inlineStr">
        <is>
          <t>102-0023</t>
        </is>
      </c>
      <c r="D161" s="153" t="inlineStr">
        <is>
          <t>Бруски обрезные хвойных пород длиной 4-6,5 м, шириной 75-150 мм, толщиной 40-75 мм, I сорта</t>
        </is>
      </c>
      <c r="E161" s="239" t="inlineStr">
        <is>
          <t>м3</t>
        </is>
      </c>
      <c r="F161" s="156" t="n">
        <v>0.0076</v>
      </c>
      <c r="G161" s="155" t="n">
        <v>1700</v>
      </c>
      <c r="H161" s="155">
        <f>F161*G161</f>
        <v/>
      </c>
    </row>
    <row r="162" s="172">
      <c r="A162" s="151">
        <f>A161+1</f>
        <v/>
      </c>
      <c r="B162" s="61" t="n"/>
      <c r="C162" s="156" t="inlineStr">
        <is>
          <t>509-0783</t>
        </is>
      </c>
      <c r="D162" s="153" t="inlineStr">
        <is>
          <t>Втулки изолирующие</t>
        </is>
      </c>
      <c r="E162" s="239" t="inlineStr">
        <is>
          <t>шт.</t>
        </is>
      </c>
      <c r="F162" s="156" t="n">
        <v>33.3</v>
      </c>
      <c r="G162" s="155" t="n">
        <v>0.27</v>
      </c>
      <c r="H162" s="155">
        <f>F162*G162</f>
        <v/>
      </c>
    </row>
    <row r="163" ht="51" customHeight="1" s="172">
      <c r="A163" s="151">
        <f>A162+1</f>
        <v/>
      </c>
      <c r="B163" s="61" t="n"/>
      <c r="C163" s="156" t="inlineStr">
        <is>
          <t>508-0097</t>
        </is>
      </c>
      <c r="D163" s="153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163" s="239" t="inlineStr">
        <is>
          <t>10 м</t>
        </is>
      </c>
      <c r="F163" s="156" t="n">
        <v>0.138</v>
      </c>
      <c r="G163" s="155" t="n">
        <v>50.23</v>
      </c>
      <c r="H163" s="155">
        <f>F163*G163</f>
        <v/>
      </c>
    </row>
    <row r="164" s="172">
      <c r="A164" s="151">
        <f>A163+1</f>
        <v/>
      </c>
      <c r="B164" s="61" t="n"/>
      <c r="C164" s="156" t="inlineStr">
        <is>
          <t>101-4621</t>
        </is>
      </c>
      <c r="D164" s="153" t="inlineStr">
        <is>
          <t>Шуруп самонарезающий (LN) 3,5/11 мм</t>
        </is>
      </c>
      <c r="E164" s="239" t="inlineStr">
        <is>
          <t>шт.</t>
        </is>
      </c>
      <c r="F164" s="156" t="n">
        <v>112</v>
      </c>
      <c r="G164" s="155" t="n">
        <v>0.02</v>
      </c>
      <c r="H164" s="155">
        <f>F164*G164</f>
        <v/>
      </c>
    </row>
    <row r="165" ht="25.5" customHeight="1" s="172">
      <c r="A165" s="151">
        <f>A164+1</f>
        <v/>
      </c>
      <c r="B165" s="61" t="n"/>
      <c r="C165" s="156" t="inlineStr">
        <is>
          <t>101-0797</t>
        </is>
      </c>
      <c r="D165" s="153" t="inlineStr">
        <is>
          <t>Проволока горячекатаная в мотках, диаметром 6,3-6,5 мм</t>
        </is>
      </c>
      <c r="E165" s="239" t="inlineStr">
        <is>
          <t>т</t>
        </is>
      </c>
      <c r="F165" s="156" t="n">
        <v>0.0003</v>
      </c>
      <c r="G165" s="155" t="n">
        <v>4455.2</v>
      </c>
      <c r="H165" s="155">
        <f>F165*G165</f>
        <v/>
      </c>
    </row>
    <row r="166" ht="25.5" customHeight="1" s="172">
      <c r="A166" s="151">
        <f>A165+1</f>
        <v/>
      </c>
      <c r="B166" s="61" t="n"/>
      <c r="C166" s="156" t="inlineStr">
        <is>
          <t>408-0015</t>
        </is>
      </c>
      <c r="D166" s="153" t="inlineStr">
        <is>
          <t>Щебень из природного камня для строительных работ марка 800, фракция 20-40 мм</t>
        </is>
      </c>
      <c r="E166" s="239" t="inlineStr">
        <is>
          <t>м3</t>
        </is>
      </c>
      <c r="F166" s="156" t="n">
        <v>0.0071</v>
      </c>
      <c r="G166" s="155" t="n">
        <v>108.4</v>
      </c>
      <c r="H166" s="155">
        <f>F166*G166</f>
        <v/>
      </c>
    </row>
    <row r="167" s="172">
      <c r="A167" s="151">
        <f>A166+1</f>
        <v/>
      </c>
      <c r="B167" s="61" t="n"/>
      <c r="C167" s="156" t="inlineStr">
        <is>
          <t>101-1964</t>
        </is>
      </c>
      <c r="D167" s="153" t="inlineStr">
        <is>
          <t>Шпагат бумажный</t>
        </is>
      </c>
      <c r="E167" s="239" t="inlineStr">
        <is>
          <t>кг</t>
        </is>
      </c>
      <c r="F167" s="156" t="n">
        <v>0.04</v>
      </c>
      <c r="G167" s="155" t="n">
        <v>11.5</v>
      </c>
      <c r="H167" s="155">
        <f>F167*G167</f>
        <v/>
      </c>
    </row>
    <row r="168" s="172">
      <c r="A168" s="151">
        <f>A167+1</f>
        <v/>
      </c>
      <c r="B168" s="61" t="n"/>
      <c r="C168" s="156" t="inlineStr">
        <is>
          <t>411-0001</t>
        </is>
      </c>
      <c r="D168" s="153" t="inlineStr">
        <is>
          <t>Вода</t>
        </is>
      </c>
      <c r="E168" s="239" t="inlineStr">
        <is>
          <t>м3</t>
        </is>
      </c>
      <c r="F168" s="156" t="n">
        <v>0.0048</v>
      </c>
      <c r="G168" s="155" t="n">
        <v>2.44</v>
      </c>
      <c r="H168" s="155">
        <f>F168*G168</f>
        <v/>
      </c>
    </row>
    <row r="169" ht="16.9" customHeight="1" s="172">
      <c r="K169" s="250" t="n"/>
    </row>
    <row r="170">
      <c r="B170" s="164" t="inlineStr">
        <is>
          <t>Составил ______________________       А.Р. Маркова</t>
        </is>
      </c>
      <c r="C170" s="170" t="n"/>
    </row>
    <row r="171">
      <c r="B171" s="171" t="inlineStr">
        <is>
          <t xml:space="preserve">                         (подпись, инициалы, фамилия)</t>
        </is>
      </c>
      <c r="C171" s="170" t="n"/>
    </row>
    <row r="172">
      <c r="B172" s="164" t="n"/>
      <c r="C172" s="170" t="n"/>
    </row>
    <row r="173">
      <c r="B173" s="164" t="inlineStr">
        <is>
          <t>Проверил ______________________        А.В. Костянецкая</t>
        </is>
      </c>
      <c r="C173" s="170" t="n"/>
    </row>
    <row r="174">
      <c r="B174" s="171" t="inlineStr">
        <is>
          <t xml:space="preserve">                        (подпись, инициалы, фамилия)</t>
        </is>
      </c>
      <c r="C174" s="170" t="n"/>
    </row>
  </sheetData>
  <mergeCells count="16">
    <mergeCell ref="C9:C10"/>
    <mergeCell ref="B9:B10"/>
    <mergeCell ref="A3:H3"/>
    <mergeCell ref="E9:E10"/>
    <mergeCell ref="D9:D10"/>
    <mergeCell ref="A12:E12"/>
    <mergeCell ref="F9:F10"/>
    <mergeCell ref="A72:E72"/>
    <mergeCell ref="A9:A10"/>
    <mergeCell ref="A64:E64"/>
    <mergeCell ref="A2:H2"/>
    <mergeCell ref="A25:E25"/>
    <mergeCell ref="C4:H4"/>
    <mergeCell ref="G9:H9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2.8554687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64" t="n"/>
      <c r="C1" s="164" t="n"/>
      <c r="D1" s="164" t="n"/>
      <c r="E1" s="164" t="n"/>
    </row>
    <row r="2">
      <c r="B2" s="164" t="n"/>
      <c r="C2" s="164" t="n"/>
      <c r="D2" s="164" t="n"/>
      <c r="E2" s="238" t="inlineStr">
        <is>
          <t>Приложение № 4</t>
        </is>
      </c>
    </row>
    <row r="3">
      <c r="B3" s="164" t="n"/>
      <c r="C3" s="164" t="n"/>
      <c r="D3" s="164" t="n"/>
      <c r="E3" s="164" t="n"/>
    </row>
    <row r="4">
      <c r="B4" s="164" t="n"/>
      <c r="C4" s="164" t="n"/>
      <c r="D4" s="164" t="n"/>
      <c r="E4" s="164" t="n"/>
    </row>
    <row r="5">
      <c r="B5" s="214" t="inlineStr">
        <is>
          <t>Ресурсная модель</t>
        </is>
      </c>
    </row>
    <row r="6">
      <c r="B6" s="18" t="n"/>
      <c r="C6" s="164" t="n"/>
      <c r="D6" s="164" t="n"/>
      <c r="E6" s="164" t="n"/>
    </row>
    <row r="7" ht="34.5" customHeight="1" s="172">
      <c r="B7" s="215">
        <f>'Прил.1 Сравнит табл'!B7</f>
        <v/>
      </c>
    </row>
    <row r="8">
      <c r="B8" s="216">
        <f>'Прил.1 Сравнит табл'!B9</f>
        <v/>
      </c>
    </row>
    <row r="9">
      <c r="B9" s="18" t="n"/>
      <c r="C9" s="164" t="n"/>
      <c r="D9" s="164" t="n"/>
      <c r="E9" s="164" t="n"/>
    </row>
    <row r="10" ht="51" customHeight="1" s="172">
      <c r="B10" s="221" t="inlineStr">
        <is>
          <t>Наименование</t>
        </is>
      </c>
      <c r="C10" s="221" t="inlineStr">
        <is>
          <t>Сметная стоимость в ценах на 01.01.2023
 (руб.)</t>
        </is>
      </c>
      <c r="D10" s="221" t="inlineStr">
        <is>
          <t>Удельный вес, 
(в СМР)</t>
        </is>
      </c>
      <c r="E10" s="221" t="inlineStr">
        <is>
          <t>Удельный вес, % 
(от всего по РМ)</t>
        </is>
      </c>
    </row>
    <row r="11">
      <c r="B11" s="42" t="inlineStr">
        <is>
          <t>Оплата труда рабочих</t>
        </is>
      </c>
      <c r="C11" s="166">
        <f>'Прил.5 Расчет СМР и ОБ'!J15</f>
        <v/>
      </c>
      <c r="D11" s="44">
        <f>C11/$C$24</f>
        <v/>
      </c>
      <c r="E11" s="44">
        <f>C11/$C$40</f>
        <v/>
      </c>
    </row>
    <row r="12">
      <c r="B12" s="42" t="inlineStr">
        <is>
          <t>Эксплуатация машин основных</t>
        </is>
      </c>
      <c r="C12" s="166">
        <f>'Прил.5 Расчет СМР и ОБ'!J29</f>
        <v/>
      </c>
      <c r="D12" s="44">
        <f>C12/$C$24</f>
        <v/>
      </c>
      <c r="E12" s="44">
        <f>C12/$C$40</f>
        <v/>
      </c>
    </row>
    <row r="13">
      <c r="B13" s="42" t="inlineStr">
        <is>
          <t>Эксплуатация машин прочих</t>
        </is>
      </c>
      <c r="C13" s="166">
        <f>'Прил.5 Расчет СМР и ОБ'!J60</f>
        <v/>
      </c>
      <c r="D13" s="44">
        <f>C13/$C$24</f>
        <v/>
      </c>
      <c r="E13" s="44">
        <f>C13/$C$40</f>
        <v/>
      </c>
    </row>
    <row r="14">
      <c r="B14" s="42" t="inlineStr">
        <is>
          <t>ЭКСПЛУАТАЦИЯ МАШИН, ВСЕГО:</t>
        </is>
      </c>
      <c r="C14" s="166">
        <f>C13+C12</f>
        <v/>
      </c>
      <c r="D14" s="44">
        <f>C14/$C$24</f>
        <v/>
      </c>
      <c r="E14" s="44">
        <f>C14/$C$40</f>
        <v/>
      </c>
    </row>
    <row r="15">
      <c r="B15" s="42" t="inlineStr">
        <is>
          <t>в том числе зарплата машинистов</t>
        </is>
      </c>
      <c r="C15" s="166">
        <f>'Прил.5 Расчет СМР и ОБ'!J18</f>
        <v/>
      </c>
      <c r="D15" s="44">
        <f>C15/$C$24</f>
        <v/>
      </c>
      <c r="E15" s="44">
        <f>C15/$C$40</f>
        <v/>
      </c>
    </row>
    <row r="16">
      <c r="B16" s="42" t="inlineStr">
        <is>
          <t>Материалы основные</t>
        </is>
      </c>
      <c r="C16" s="166">
        <f>'Прил.5 Расчет СМР и ОБ'!J71</f>
        <v/>
      </c>
      <c r="D16" s="44">
        <f>C16/$C$24</f>
        <v/>
      </c>
      <c r="E16" s="44">
        <f>C16/$C$40</f>
        <v/>
      </c>
    </row>
    <row r="17">
      <c r="B17" s="42" t="inlineStr">
        <is>
          <t>Материалы прочие</t>
        </is>
      </c>
      <c r="C17" s="166">
        <f>'Прил.5 Расчет СМР и ОБ'!J72</f>
        <v/>
      </c>
      <c r="D17" s="44">
        <f>C17/$C$24</f>
        <v/>
      </c>
      <c r="E17" s="44">
        <f>C17/$C$40</f>
        <v/>
      </c>
      <c r="G17" s="251" t="n"/>
    </row>
    <row r="18">
      <c r="B18" s="42" t="inlineStr">
        <is>
          <t>МАТЕРИАЛЫ, ВСЕГО:</t>
        </is>
      </c>
      <c r="C18" s="166">
        <f>C17+C16</f>
        <v/>
      </c>
      <c r="D18" s="44">
        <f>C18/$C$24</f>
        <v/>
      </c>
      <c r="E18" s="44">
        <f>C18/$C$40</f>
        <v/>
      </c>
    </row>
    <row r="19">
      <c r="B19" s="42" t="inlineStr">
        <is>
          <t>ИТОГО</t>
        </is>
      </c>
      <c r="C19" s="166">
        <f>C18+C14+C11</f>
        <v/>
      </c>
      <c r="D19" s="44" t="n"/>
      <c r="E19" s="42" t="n"/>
    </row>
    <row r="20">
      <c r="B20" s="42" t="inlineStr">
        <is>
          <t>Сметная прибыль, руб.</t>
        </is>
      </c>
      <c r="C20" s="166">
        <f>ROUND(C21*(C11+C15),2)</f>
        <v/>
      </c>
      <c r="D20" s="44">
        <f>C20/$C$24</f>
        <v/>
      </c>
      <c r="E20" s="44">
        <f>C20/$C$40</f>
        <v/>
      </c>
    </row>
    <row r="21">
      <c r="B21" s="42" t="inlineStr">
        <is>
          <t>Сметная прибыль, %</t>
        </is>
      </c>
      <c r="C21" s="47">
        <f>'Прил.5 Расчет СМР и ОБ'!E78</f>
        <v/>
      </c>
      <c r="D21" s="44" t="n"/>
      <c r="E21" s="42" t="n"/>
    </row>
    <row r="22">
      <c r="B22" s="42" t="inlineStr">
        <is>
          <t>Накладные расходы, руб.</t>
        </is>
      </c>
      <c r="C22" s="166">
        <f>ROUND(C23*(C11+C15),2)</f>
        <v/>
      </c>
      <c r="D22" s="44">
        <f>C22/$C$24</f>
        <v/>
      </c>
      <c r="E22" s="44">
        <f>C22/$C$40</f>
        <v/>
      </c>
    </row>
    <row r="23">
      <c r="B23" s="42" t="inlineStr">
        <is>
          <t>Накладные расходы, %</t>
        </is>
      </c>
      <c r="C23" s="47">
        <f>'Прил.5 Расчет СМР и ОБ'!E76</f>
        <v/>
      </c>
      <c r="D23" s="44" t="n"/>
      <c r="E23" s="42" t="n"/>
    </row>
    <row r="24">
      <c r="B24" s="42" t="inlineStr">
        <is>
          <t>ВСЕГО СМР с НР и СП</t>
        </is>
      </c>
      <c r="C24" s="166">
        <f>C19+C20+C22</f>
        <v/>
      </c>
      <c r="D24" s="44">
        <f>C24/$C$24</f>
        <v/>
      </c>
      <c r="E24" s="44">
        <f>C24/$C$40</f>
        <v/>
      </c>
    </row>
    <row r="25" ht="25.5" customHeight="1" s="172">
      <c r="B25" s="42" t="inlineStr">
        <is>
          <t>ВСЕГО стоимость оборудования, в том числе</t>
        </is>
      </c>
      <c r="C25" s="166">
        <f>'Прил.5 Расчет СМР и ОБ'!J68</f>
        <v/>
      </c>
      <c r="D25" s="44" t="n"/>
      <c r="E25" s="44">
        <f>C25/$C$40</f>
        <v/>
      </c>
    </row>
    <row r="26" ht="25.5" customHeight="1" s="172">
      <c r="B26" s="42" t="inlineStr">
        <is>
          <t>стоимость оборудования технологического</t>
        </is>
      </c>
      <c r="C26" s="166">
        <f>C25</f>
        <v/>
      </c>
      <c r="D26" s="44" t="n"/>
      <c r="E26" s="44">
        <f>C26/$C$40</f>
        <v/>
      </c>
    </row>
    <row r="27">
      <c r="B27" s="42" t="inlineStr">
        <is>
          <t>ИТОГО (СМР + ОБОРУДОВАНИЕ)</t>
        </is>
      </c>
      <c r="C27" s="43">
        <f>C24+C25</f>
        <v/>
      </c>
      <c r="D27" s="44" t="n"/>
      <c r="E27" s="44">
        <f>C27/$C$40</f>
        <v/>
      </c>
    </row>
    <row r="28" ht="33" customHeight="1" s="172">
      <c r="B28" s="42" t="inlineStr">
        <is>
          <t>ПРОЧ. ЗАТР., УЧТЕННЫЕ ПОКАЗАТЕЛЕМ,  в том числе</t>
        </is>
      </c>
      <c r="C28" s="42" t="n"/>
      <c r="D28" s="42" t="n"/>
      <c r="E28" s="42" t="n"/>
    </row>
    <row r="29" ht="25.5" customHeight="1" s="172">
      <c r="B29" s="42" t="inlineStr">
        <is>
          <t>Временные здания и сооружения - 3,9%</t>
        </is>
      </c>
      <c r="C29" s="43">
        <f>ROUND(C24*3.9%,2)</f>
        <v/>
      </c>
      <c r="D29" s="42" t="n"/>
      <c r="E29" s="44">
        <f>C29/$C$40</f>
        <v/>
      </c>
    </row>
    <row r="30" ht="38.25" customHeight="1" s="172">
      <c r="B30" s="42" t="inlineStr">
        <is>
          <t>Дополнительные затраты при производстве строительно-монтажных работ в зимнее время - 2,1%</t>
        </is>
      </c>
      <c r="C30" s="43">
        <f>ROUND((C24+C29)*2.1%,2)</f>
        <v/>
      </c>
      <c r="D30" s="42" t="n"/>
      <c r="E30" s="44">
        <f>C30/$C$40</f>
        <v/>
      </c>
    </row>
    <row r="31">
      <c r="B31" s="42" t="inlineStr">
        <is>
          <t>Пусконаладочные работы</t>
        </is>
      </c>
      <c r="C31" s="43" t="n">
        <v>0</v>
      </c>
      <c r="D31" s="42" t="n"/>
      <c r="E31" s="44">
        <f>C31/$C$40</f>
        <v/>
      </c>
    </row>
    <row r="32" ht="25.5" customHeight="1" s="172">
      <c r="B32" s="42" t="inlineStr">
        <is>
          <t>Затраты по перевозке работников к месту работы и обратно</t>
        </is>
      </c>
      <c r="C32" s="43">
        <f>ROUND($C$27*0%,2)</f>
        <v/>
      </c>
      <c r="D32" s="42" t="n"/>
      <c r="E32" s="44">
        <f>C32/$C$40</f>
        <v/>
      </c>
    </row>
    <row r="33" ht="25.5" customHeight="1" s="172">
      <c r="B33" s="42" t="inlineStr">
        <is>
          <t>Затраты, связанные с осуществлением работ вахтовым методом</t>
        </is>
      </c>
      <c r="C33" s="43">
        <f>ROUND($C$27*0%,2)</f>
        <v/>
      </c>
      <c r="D33" s="42" t="n"/>
      <c r="E33" s="44">
        <f>C33/$C$40</f>
        <v/>
      </c>
    </row>
    <row r="34" ht="51" customHeight="1" s="172">
      <c r="B34" s="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3">
        <f>ROUND($C$27*0%,2)</f>
        <v/>
      </c>
      <c r="D34" s="42" t="n"/>
      <c r="E34" s="44">
        <f>C34/$C$40</f>
        <v/>
      </c>
    </row>
    <row r="35" ht="76.5" customHeight="1" s="172">
      <c r="B35" s="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3">
        <f>ROUND($C$27*0%,2)</f>
        <v/>
      </c>
      <c r="D35" s="42" t="n"/>
      <c r="E35" s="44">
        <f>C35/$C$40</f>
        <v/>
      </c>
    </row>
    <row r="36" ht="25.5" customHeight="1" s="172">
      <c r="B36" s="42" t="inlineStr">
        <is>
          <t>Строительный контроль и содержание службы заказчика - 2,14%</t>
        </is>
      </c>
      <c r="C36" s="146">
        <f>ROUND((C27+C32+C33+C34+C35+C29+C31+C30)*2.14%,2)</f>
        <v/>
      </c>
      <c r="D36" s="42" t="n"/>
      <c r="E36" s="44">
        <f>C36/$C$40</f>
        <v/>
      </c>
      <c r="G36" s="62" t="n"/>
      <c r="L36" s="85" t="n"/>
    </row>
    <row r="37">
      <c r="B37" s="42" t="inlineStr">
        <is>
          <t>Авторский надзор - 0,2%</t>
        </is>
      </c>
      <c r="C37" s="146">
        <f>ROUND((C27+C32+C33+C34+C35+C29+C31+C30)*0.2%,2)</f>
        <v/>
      </c>
      <c r="D37" s="42" t="n"/>
      <c r="E37" s="44">
        <f>C37/$C$40</f>
        <v/>
      </c>
      <c r="G37" s="62" t="n"/>
      <c r="L37" s="85" t="n"/>
    </row>
    <row r="38" ht="38.25" customHeight="1" s="172">
      <c r="B38" s="42" t="inlineStr">
        <is>
          <t>ИТОГО (СМР+ОБОРУДОВАНИЕ+ПРОЧ. ЗАТР., УЧТЕННЫЕ ПОКАЗАТЕЛЕМ)</t>
        </is>
      </c>
      <c r="C38" s="147">
        <f>C27+C32+C33+C34+C35+C29+C31+C30+C36+C37</f>
        <v/>
      </c>
      <c r="D38" s="42" t="n"/>
      <c r="E38" s="44">
        <f>C38/$C$40</f>
        <v/>
      </c>
    </row>
    <row r="39" ht="13.5" customHeight="1" s="172">
      <c r="B39" s="42" t="inlineStr">
        <is>
          <t>Непредвиденные расходы</t>
        </is>
      </c>
      <c r="C39" s="166">
        <f>ROUND(C38*3%,2)</f>
        <v/>
      </c>
      <c r="D39" s="42" t="n"/>
      <c r="E39" s="44">
        <f>C39/$C$38</f>
        <v/>
      </c>
    </row>
    <row r="40">
      <c r="B40" s="42" t="inlineStr">
        <is>
          <t>ВСЕГО:</t>
        </is>
      </c>
      <c r="C40" s="166">
        <f>C39+C38</f>
        <v/>
      </c>
      <c r="D40" s="42" t="n"/>
      <c r="E40" s="44">
        <f>C40/$C$40</f>
        <v/>
      </c>
    </row>
    <row r="41">
      <c r="B41" s="42" t="inlineStr">
        <is>
          <t>ИТОГО ПОКАЗАТЕЛЬ НА ЕД. ИЗМ.</t>
        </is>
      </c>
      <c r="C41" s="166">
        <f>C40/'Прил.5 Расчет СМР и ОБ'!E82</f>
        <v/>
      </c>
      <c r="D41" s="42" t="n"/>
      <c r="E41" s="42" t="n"/>
    </row>
    <row r="42">
      <c r="B42" s="21" t="n"/>
      <c r="C42" s="164" t="n"/>
      <c r="D42" s="164" t="n"/>
      <c r="E42" s="164" t="n"/>
    </row>
    <row r="43">
      <c r="B43" s="164" t="inlineStr">
        <is>
          <t>Составил ______________________       А.Р. Маркова</t>
        </is>
      </c>
      <c r="C43" s="170" t="n"/>
      <c r="E43" s="164" t="n"/>
    </row>
    <row r="44">
      <c r="B44" s="171" t="inlineStr">
        <is>
          <t xml:space="preserve">                         (подпись, инициалы, фамилия)</t>
        </is>
      </c>
      <c r="C44" s="170" t="n"/>
      <c r="E44" s="164" t="n"/>
    </row>
    <row r="45">
      <c r="B45" s="164" t="n"/>
      <c r="C45" s="170" t="n"/>
      <c r="D45" s="164" t="n"/>
      <c r="E45" s="164" t="n"/>
    </row>
    <row r="46">
      <c r="B46" s="164" t="inlineStr">
        <is>
          <t>Проверил ______________________        А.В. Костянецкая</t>
        </is>
      </c>
      <c r="C46" s="170" t="n"/>
      <c r="D46" s="164" t="n"/>
      <c r="E46" s="164" t="n"/>
    </row>
    <row r="47">
      <c r="B47" s="171" t="inlineStr">
        <is>
          <t xml:space="preserve">                        (подпись, инициалы, фамилия)</t>
        </is>
      </c>
      <c r="C47" s="170" t="n"/>
      <c r="D47" s="164" t="n"/>
      <c r="E47" s="164" t="n"/>
    </row>
    <row r="49">
      <c r="B49" s="164" t="n"/>
      <c r="C49" s="164" t="n"/>
      <c r="D49" s="164" t="n"/>
      <c r="E49" s="164" t="n"/>
    </row>
    <row r="50">
      <c r="B50" s="164" t="n"/>
      <c r="C50" s="164" t="n"/>
      <c r="D50" s="164" t="n"/>
      <c r="E50" s="16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N89"/>
  <sheetViews>
    <sheetView view="pageBreakPreview" topLeftCell="A65" zoomScale="85" workbookViewId="0">
      <selection activeCell="B85" sqref="B85"/>
    </sheetView>
  </sheetViews>
  <sheetFormatPr baseColWidth="8" defaultColWidth="9.140625" defaultRowHeight="15" outlineLevelRow="1"/>
  <cols>
    <col width="5.7109375" customWidth="1" style="170" min="1" max="1"/>
    <col width="22.5703125" customWidth="1" style="170" min="2" max="2"/>
    <col width="39.140625" customWidth="1" style="170" min="3" max="3"/>
    <col width="10.7109375" customWidth="1" style="170" min="4" max="4"/>
    <col width="12.7109375" customWidth="1" style="170" min="5" max="5"/>
    <col width="14.5703125" customWidth="1" style="170" min="6" max="6"/>
    <col width="18" customWidth="1" style="170" min="7" max="7"/>
    <col width="12.7109375" customWidth="1" style="170" min="8" max="8"/>
    <col width="14.5703125" customWidth="1" style="170" min="9" max="9"/>
    <col width="15.140625" customWidth="1" style="170" min="10" max="10"/>
    <col width="3.7109375" customWidth="1" style="170" min="11" max="11"/>
    <col width="9.42578125" customWidth="1" style="170" min="12" max="12"/>
    <col width="10.85546875" customWidth="1" style="170" min="13" max="13"/>
    <col width="9.140625" customWidth="1" style="170" min="14" max="14"/>
    <col width="9.140625" customWidth="1" style="172" min="15" max="15"/>
  </cols>
  <sheetData>
    <row r="2" ht="15.75" customHeight="1" s="172">
      <c r="I2" s="174" t="n"/>
      <c r="J2" s="69" t="inlineStr">
        <is>
          <t>Приложение №5</t>
        </is>
      </c>
    </row>
    <row r="4" ht="12.75" customFormat="1" customHeight="1" s="164">
      <c r="A4" s="214" t="inlineStr">
        <is>
          <t>Расчет стоимости СМР и оборудования</t>
        </is>
      </c>
      <c r="I4" s="214" t="n"/>
      <c r="J4" s="214" t="n"/>
    </row>
    <row r="5" ht="12.75" customFormat="1" customHeight="1" s="164">
      <c r="A5" s="214" t="n"/>
      <c r="B5" s="214" t="n"/>
      <c r="C5" s="214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164">
      <c r="A6" s="219" t="inlineStr">
        <is>
          <t>Наименование разрабатываемого показателя УНЦ</t>
        </is>
      </c>
      <c r="D6" s="227" t="inlineStr">
        <is>
          <t>Демонтаж ячейки выключателя НУ 500кВ</t>
        </is>
      </c>
    </row>
    <row r="7" ht="12.75" customFormat="1" customHeight="1" s="164">
      <c r="A7" s="219" t="inlineStr">
        <is>
          <t>Единица измерения  — 1 ячейка</t>
        </is>
      </c>
      <c r="I7" s="215" t="n"/>
      <c r="J7" s="215" t="n"/>
    </row>
    <row r="8" ht="12.75" customFormat="1" customHeight="1" s="164"/>
    <row r="9" ht="33" customHeight="1" s="172">
      <c r="A9" s="221" t="inlineStr">
        <is>
          <t>№ пп.</t>
        </is>
      </c>
      <c r="B9" s="221" t="inlineStr">
        <is>
          <t>Код ресурса</t>
        </is>
      </c>
      <c r="C9" s="221" t="inlineStr">
        <is>
          <t>Наименование</t>
        </is>
      </c>
      <c r="D9" s="221" t="inlineStr">
        <is>
          <t>Ед. изм.</t>
        </is>
      </c>
      <c r="E9" s="221" t="inlineStr">
        <is>
          <t>Кол-во единиц по проектным данным</t>
        </is>
      </c>
      <c r="F9" s="221" t="inlineStr">
        <is>
          <t>Сметная стоимость в ценах на 01.01.2000 (руб.)</t>
        </is>
      </c>
      <c r="G9" s="241" t="n"/>
      <c r="H9" s="221" t="inlineStr">
        <is>
          <t>Удельный вес, %</t>
        </is>
      </c>
      <c r="I9" s="221" t="inlineStr">
        <is>
          <t>Сметная стоимость в ценах на 01.01.2023 (руб.)</t>
        </is>
      </c>
      <c r="J9" s="241" t="n"/>
    </row>
    <row r="10">
      <c r="A10" s="243" t="n"/>
      <c r="B10" s="243" t="n"/>
      <c r="C10" s="243" t="n"/>
      <c r="D10" s="243" t="n"/>
      <c r="E10" s="243" t="n"/>
      <c r="F10" s="221" t="inlineStr">
        <is>
          <t>на ед. изм.</t>
        </is>
      </c>
      <c r="G10" s="221" t="inlineStr">
        <is>
          <t>общая</t>
        </is>
      </c>
      <c r="H10" s="243" t="n"/>
      <c r="I10" s="221" t="inlineStr">
        <is>
          <t>на ед. изм.</t>
        </is>
      </c>
      <c r="J10" s="221" t="inlineStr">
        <is>
          <t>общая</t>
        </is>
      </c>
    </row>
    <row r="11">
      <c r="A11" s="221" t="n">
        <v>1</v>
      </c>
      <c r="B11" s="221" t="n">
        <v>2</v>
      </c>
      <c r="C11" s="221" t="n">
        <v>3</v>
      </c>
      <c r="D11" s="221" t="n">
        <v>4</v>
      </c>
      <c r="E11" s="221" t="n">
        <v>5</v>
      </c>
      <c r="F11" s="221" t="n">
        <v>6</v>
      </c>
      <c r="G11" s="221" t="n">
        <v>7</v>
      </c>
      <c r="H11" s="221" t="n">
        <v>8</v>
      </c>
      <c r="I11" s="221" t="n">
        <v>9</v>
      </c>
      <c r="J11" s="221" t="n">
        <v>10</v>
      </c>
    </row>
    <row r="12">
      <c r="A12" s="221" t="n"/>
      <c r="B12" s="209" t="inlineStr">
        <is>
          <t>Затраты труда рабочих-строителей</t>
        </is>
      </c>
      <c r="C12" s="240" t="n"/>
      <c r="D12" s="240" t="n"/>
      <c r="E12" s="240" t="n"/>
      <c r="F12" s="240" t="n"/>
      <c r="G12" s="240" t="n"/>
      <c r="H12" s="241" t="n"/>
      <c r="I12" s="108" t="n"/>
      <c r="J12" s="108" t="n"/>
    </row>
    <row r="13" ht="25.5" customHeight="1" s="172">
      <c r="A13" s="221" t="n">
        <v>1</v>
      </c>
      <c r="B13" s="109" t="inlineStr">
        <is>
          <t>1-4-2</t>
        </is>
      </c>
      <c r="C13" s="95" t="inlineStr">
        <is>
          <t>Затраты труда рабочих (средний разряд работы 4,2)</t>
        </is>
      </c>
      <c r="D13" s="109" t="inlineStr">
        <is>
          <t>чел.-ч</t>
        </is>
      </c>
      <c r="E13" s="252" t="n">
        <v>36674.666666667</v>
      </c>
      <c r="F13" s="140">
        <f>G13/E13</f>
        <v/>
      </c>
      <c r="G13" s="253" t="n">
        <v>415162.991919</v>
      </c>
      <c r="H13" s="224">
        <f>G13/G14</f>
        <v/>
      </c>
      <c r="I13" s="140">
        <f>'ФОТр.тек.'!E13</f>
        <v/>
      </c>
      <c r="J13" s="140">
        <f>ROUND(I13*E13,2)</f>
        <v/>
      </c>
    </row>
    <row r="14" ht="25.5" customFormat="1" customHeight="1" s="170">
      <c r="A14" s="221" t="n"/>
      <c r="B14" s="221" t="n"/>
      <c r="C14" s="209" t="inlineStr">
        <is>
          <t>Итого по разделу "Затраты труда рабочих-строителей"</t>
        </is>
      </c>
      <c r="D14" s="221" t="inlineStr">
        <is>
          <t>чел.-ч.</t>
        </is>
      </c>
      <c r="E14" s="252">
        <f>SUM(E13:E13)</f>
        <v/>
      </c>
      <c r="F14" s="140" t="n"/>
      <c r="G14" s="140">
        <f>SUM(G13:G13)</f>
        <v/>
      </c>
      <c r="H14" s="224" t="n">
        <v>1</v>
      </c>
      <c r="I14" s="140" t="n"/>
      <c r="J14" s="140">
        <f>SUM(J13:J13)</f>
        <v/>
      </c>
      <c r="K14" s="254" t="n"/>
      <c r="L14" s="84" t="n"/>
    </row>
    <row r="15" ht="44.45" customFormat="1" customHeight="1" s="170">
      <c r="A15" s="221" t="n"/>
      <c r="B15" s="221" t="n"/>
      <c r="C15" s="209" t="inlineStr">
        <is>
          <t>Итого по разделу "Затраты труда рабочих-строителей" 
(с коэффициентом на демонтаж 0,7)</t>
        </is>
      </c>
      <c r="D15" s="221" t="n"/>
      <c r="E15" s="255" t="n"/>
      <c r="F15" s="140" t="n"/>
      <c r="G15" s="140">
        <f>G14*0.7</f>
        <v/>
      </c>
      <c r="H15" s="228" t="n">
        <v>1</v>
      </c>
      <c r="I15" s="136" t="n"/>
      <c r="J15" s="140">
        <f>J14*0.7</f>
        <v/>
      </c>
      <c r="K15" s="254" t="n"/>
      <c r="L15" s="84" t="n"/>
    </row>
    <row r="16" ht="14.25" customFormat="1" customHeight="1" s="170">
      <c r="A16" s="221" t="n"/>
      <c r="B16" s="220" t="inlineStr">
        <is>
          <t>Затраты труда машинистов</t>
        </is>
      </c>
      <c r="C16" s="240" t="n"/>
      <c r="D16" s="240" t="n"/>
      <c r="E16" s="240" t="n"/>
      <c r="F16" s="240" t="n"/>
      <c r="G16" s="240" t="n"/>
      <c r="H16" s="241" t="n"/>
      <c r="I16" s="108" t="n"/>
      <c r="J16" s="108" t="n"/>
    </row>
    <row r="17" ht="14.25" customFormat="1" customHeight="1" s="170">
      <c r="A17" s="221" t="n">
        <v>2</v>
      </c>
      <c r="B17" s="221" t="n">
        <v>2</v>
      </c>
      <c r="C17" s="220" t="inlineStr">
        <is>
          <t>Затраты труда машинистов</t>
        </is>
      </c>
      <c r="D17" s="221" t="inlineStr">
        <is>
          <t>чел.-ч.</t>
        </is>
      </c>
      <c r="E17" s="255" t="n">
        <v>10722.2408</v>
      </c>
      <c r="F17" s="140" t="n">
        <v>12.619999978611</v>
      </c>
      <c r="G17" s="253">
        <f>E17*F17</f>
        <v/>
      </c>
      <c r="H17" s="224" t="n">
        <v>1</v>
      </c>
      <c r="I17" s="140">
        <f>ROUND(F17*Прил.10!D10,2)</f>
        <v/>
      </c>
      <c r="J17" s="140">
        <f>ROUND(I17*E17,2)</f>
        <v/>
      </c>
      <c r="L17" s="58" t="n"/>
      <c r="M17" s="170" t="n"/>
    </row>
    <row r="18" ht="28.9" customFormat="1" customHeight="1" s="170">
      <c r="A18" s="221" t="n"/>
      <c r="B18" s="221" t="n"/>
      <c r="C18" s="220" t="inlineStr">
        <is>
          <t>Затраты труда машинистов 
(с коэффициентом на демонтаж 0,7)</t>
        </is>
      </c>
      <c r="D18" s="221" t="n"/>
      <c r="E18" s="255" t="n"/>
      <c r="F18" s="140" t="n"/>
      <c r="G18" s="140">
        <f>G17*0.7</f>
        <v/>
      </c>
      <c r="H18" s="228" t="n">
        <v>1</v>
      </c>
      <c r="I18" s="140" t="n"/>
      <c r="J18" s="140">
        <f>J17*0.7</f>
        <v/>
      </c>
      <c r="L18" s="58" t="n"/>
    </row>
    <row r="19" ht="14.25" customFormat="1" customHeight="1" s="170">
      <c r="A19" s="221" t="n"/>
      <c r="B19" s="209" t="inlineStr">
        <is>
          <t>Машины и механизмы</t>
        </is>
      </c>
      <c r="C19" s="240" t="n"/>
      <c r="D19" s="240" t="n"/>
      <c r="E19" s="240" t="n"/>
      <c r="F19" s="240" t="n"/>
      <c r="G19" s="240" t="n"/>
      <c r="H19" s="241" t="n"/>
      <c r="I19" s="224" t="n"/>
      <c r="J19" s="224" t="n"/>
    </row>
    <row r="20" ht="14.25" customFormat="1" customHeight="1" s="170">
      <c r="A20" s="221" t="n"/>
      <c r="B20" s="220" t="inlineStr">
        <is>
          <t>Основные машины и механизмы</t>
        </is>
      </c>
      <c r="C20" s="240" t="n"/>
      <c r="D20" s="240" t="n"/>
      <c r="E20" s="240" t="n"/>
      <c r="F20" s="240" t="n"/>
      <c r="G20" s="240" t="n"/>
      <c r="H20" s="241" t="n"/>
      <c r="I20" s="108" t="n"/>
      <c r="J20" s="108" t="n"/>
    </row>
    <row r="21" ht="25.5" customFormat="1" customHeight="1" s="170">
      <c r="A21" s="221" t="n">
        <v>3</v>
      </c>
      <c r="B21" s="109" t="inlineStr">
        <is>
          <t>91.02.02-001</t>
        </is>
      </c>
      <c r="C21" s="95" t="inlineStr">
        <is>
          <t>Агрегаты копровые без дизель-молота на базе трактора мощностью 80 кВт (108 л.с.)</t>
        </is>
      </c>
      <c r="D21" s="109" t="inlineStr">
        <is>
          <t>маш.-ч</t>
        </is>
      </c>
      <c r="E21" s="252" t="n">
        <v>1334.4</v>
      </c>
      <c r="F21" s="253" t="n">
        <v>239.25</v>
      </c>
      <c r="G21" s="253">
        <f>E21*F21</f>
        <v/>
      </c>
      <c r="H21" s="224">
        <f>G21/$G$61</f>
        <v/>
      </c>
      <c r="I21" s="140">
        <f>ROUND(F21*Прил.10!$D$11,2)</f>
        <v/>
      </c>
      <c r="J21" s="140">
        <f>ROUND(I21*E21,2)</f>
        <v/>
      </c>
      <c r="M21" s="170" t="n"/>
    </row>
    <row r="22" ht="25.5" customFormat="1" customHeight="1" s="170">
      <c r="A22" s="221" t="n">
        <v>4</v>
      </c>
      <c r="B22" s="109" t="inlineStr">
        <is>
          <t>91.05.05-014</t>
        </is>
      </c>
      <c r="C22" s="95" t="inlineStr">
        <is>
          <t>Краны на автомобильном ходу, грузоподъемность 10 т</t>
        </is>
      </c>
      <c r="D22" s="109" t="inlineStr">
        <is>
          <t>маш.-ч</t>
        </is>
      </c>
      <c r="E22" s="252" t="n">
        <v>1784.3666666667</v>
      </c>
      <c r="F22" s="253" t="n">
        <v>111.99</v>
      </c>
      <c r="G22" s="253">
        <f>E22*F22</f>
        <v/>
      </c>
      <c r="H22" s="224">
        <f>G22/$G$61</f>
        <v/>
      </c>
      <c r="I22" s="140">
        <f>ROUND(F22*Прил.10!$D$11,2)</f>
        <v/>
      </c>
      <c r="J22" s="140">
        <f>ROUND(I22*E22,2)</f>
        <v/>
      </c>
      <c r="M22" s="170" t="n"/>
    </row>
    <row r="23" ht="51" customFormat="1" customHeight="1" s="170">
      <c r="A23" s="221" t="n">
        <v>5</v>
      </c>
      <c r="B23" s="109" t="inlineStr">
        <is>
          <t>91.04.01-021</t>
        </is>
      </c>
      <c r="C23" s="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109" t="inlineStr">
        <is>
          <t>маш.-ч</t>
        </is>
      </c>
      <c r="E23" s="252" t="n">
        <v>1847.0866666667</v>
      </c>
      <c r="F23" s="253" t="n">
        <v>87.59999999999999</v>
      </c>
      <c r="G23" s="253">
        <f>E23*F23</f>
        <v/>
      </c>
      <c r="H23" s="224">
        <f>G23/$G$61</f>
        <v/>
      </c>
      <c r="I23" s="140">
        <f>ROUND(F23*Прил.10!$D$11,2)</f>
        <v/>
      </c>
      <c r="J23" s="140">
        <f>ROUND(I23*E23,2)</f>
        <v/>
      </c>
      <c r="M23" s="170" t="n"/>
    </row>
    <row r="24" ht="25.5" customFormat="1" customHeight="1" s="170">
      <c r="A24" s="221" t="n">
        <v>6</v>
      </c>
      <c r="B24" s="109" t="inlineStr">
        <is>
          <t>91.14.02-004</t>
        </is>
      </c>
      <c r="C24" s="95" t="inlineStr">
        <is>
          <t>Автомобили бортовые, грузоподъемность до 15 т</t>
        </is>
      </c>
      <c r="D24" s="109" t="inlineStr">
        <is>
          <t>маш.-ч</t>
        </is>
      </c>
      <c r="E24" s="252" t="n">
        <v>2695</v>
      </c>
      <c r="F24" s="253" t="n">
        <v>92.94</v>
      </c>
      <c r="G24" s="253">
        <f>E24*F24</f>
        <v/>
      </c>
      <c r="H24" s="224">
        <f>G24/$G$61</f>
        <v/>
      </c>
      <c r="I24" s="140">
        <f>ROUND(F24*Прил.10!$D$11,2)</f>
        <v/>
      </c>
      <c r="J24" s="140">
        <f>ROUND(I24*E24,2)</f>
        <v/>
      </c>
      <c r="M24" s="170" t="n"/>
    </row>
    <row r="25" ht="14.25" customFormat="1" customHeight="1" s="170">
      <c r="A25" s="221" t="n">
        <v>7</v>
      </c>
      <c r="B25" s="109" t="inlineStr">
        <is>
          <t>91.21.22-447</t>
        </is>
      </c>
      <c r="C25" s="95" t="inlineStr">
        <is>
          <t>Установки электрометаллизационные</t>
        </is>
      </c>
      <c r="D25" s="109" t="inlineStr">
        <is>
          <t>маш.-ч</t>
        </is>
      </c>
      <c r="E25" s="252" t="n">
        <v>1914.2066666667</v>
      </c>
      <c r="F25" s="253" t="n">
        <v>74.23999999999999</v>
      </c>
      <c r="G25" s="253">
        <f>E25*F25</f>
        <v/>
      </c>
      <c r="H25" s="224">
        <f>G25/$G$61</f>
        <v/>
      </c>
      <c r="I25" s="140">
        <f>ROUND(F25*Прил.10!$D$11,2)</f>
        <v/>
      </c>
      <c r="J25" s="140">
        <f>ROUND(I25*E25,2)</f>
        <v/>
      </c>
      <c r="M25" s="170" t="n"/>
    </row>
    <row r="26" ht="14.25" customFormat="1" customHeight="1" s="170">
      <c r="A26" s="221" t="n">
        <v>8</v>
      </c>
      <c r="B26" s="109" t="inlineStr">
        <is>
          <t>91.02.03-024</t>
        </is>
      </c>
      <c r="C26" s="95" t="inlineStr">
        <is>
          <t>Дизель-молоты 2,5 т</t>
        </is>
      </c>
      <c r="D26" s="109" t="inlineStr">
        <is>
          <t>маш.-ч</t>
        </is>
      </c>
      <c r="E26" s="252" t="n">
        <v>1334.4</v>
      </c>
      <c r="F26" s="253" t="n">
        <v>70.67</v>
      </c>
      <c r="G26" s="253">
        <f>E26*F26</f>
        <v/>
      </c>
      <c r="H26" s="224">
        <f>G26/$G$61</f>
        <v/>
      </c>
      <c r="I26" s="140">
        <f>ROUND(F26*Прил.10!$D$11,2)</f>
        <v/>
      </c>
      <c r="J26" s="140">
        <f>ROUND(I26*E26,2)</f>
        <v/>
      </c>
      <c r="M26" s="170" t="n"/>
    </row>
    <row r="27" ht="25.5" customFormat="1" customHeight="1" s="170">
      <c r="A27" s="221" t="n">
        <v>9</v>
      </c>
      <c r="B27" s="109" t="inlineStr">
        <is>
          <t>91.10.05-005</t>
        </is>
      </c>
      <c r="C27" s="95" t="inlineStr">
        <is>
          <t>Трубоукладчики для труб диаметром до 700 мм, грузоподъемность 12,5 т</t>
        </is>
      </c>
      <c r="D27" s="109" t="inlineStr">
        <is>
          <t>маш.-ч</t>
        </is>
      </c>
      <c r="E27" s="252" t="n">
        <v>512.40666666667</v>
      </c>
      <c r="F27" s="253" t="n">
        <v>152.5</v>
      </c>
      <c r="G27" s="253">
        <f>E27*F27</f>
        <v/>
      </c>
      <c r="H27" s="224">
        <f>G27/$G$61</f>
        <v/>
      </c>
      <c r="I27" s="140">
        <f>ROUND(F27*Прил.10!$D$11,2)</f>
        <v/>
      </c>
      <c r="J27" s="140">
        <f>ROUND(I27*E27,2)</f>
        <v/>
      </c>
      <c r="M27" s="170" t="n"/>
    </row>
    <row r="28" ht="14.25" customFormat="1" customHeight="1" s="170">
      <c r="A28" s="221" t="n"/>
      <c r="B28" s="221" t="n"/>
      <c r="C28" s="220" t="inlineStr">
        <is>
          <t>Итого основные машины и механизмы</t>
        </is>
      </c>
      <c r="D28" s="221" t="n"/>
      <c r="E28" s="256" t="n"/>
      <c r="F28" s="140" t="n"/>
      <c r="G28" s="140">
        <f>SUM(G21:G27)</f>
        <v/>
      </c>
      <c r="H28" s="224">
        <f>G28/G61</f>
        <v/>
      </c>
      <c r="I28" s="140" t="n"/>
      <c r="J28" s="140">
        <f>SUM(J21:J27)</f>
        <v/>
      </c>
      <c r="L28" s="254" t="n"/>
    </row>
    <row r="29" ht="29.45" customFormat="1" customHeight="1" s="170">
      <c r="A29" s="221" t="n"/>
      <c r="B29" s="221" t="n"/>
      <c r="C29" s="220" t="inlineStr">
        <is>
          <t>Итого основные машины и механизмы 
(с коэффициентом на демонтаж 0,7)</t>
        </is>
      </c>
      <c r="D29" s="221" t="n"/>
      <c r="E29" s="255" t="n"/>
      <c r="F29" s="140" t="n"/>
      <c r="G29" s="140">
        <f>G28*0.7</f>
        <v/>
      </c>
      <c r="H29" s="224">
        <f>G29/G62</f>
        <v/>
      </c>
      <c r="I29" s="140" t="n"/>
      <c r="J29" s="140">
        <f>J28*0.7</f>
        <v/>
      </c>
      <c r="L29" s="254" t="n"/>
    </row>
    <row r="30" hidden="1" outlineLevel="1" ht="25.5" customFormat="1" customHeight="1" s="170">
      <c r="A30" s="221" t="n">
        <v>10</v>
      </c>
      <c r="B30" s="109" t="n">
        <v>150102</v>
      </c>
      <c r="C30" s="95" t="inlineStr">
        <is>
          <t>Агрегаты наполнительно-опрессовочные до 300 м3/ч</t>
        </is>
      </c>
      <c r="D30" s="109" t="inlineStr">
        <is>
          <t>маш.час</t>
        </is>
      </c>
      <c r="E30" s="252" t="n">
        <v>167.42</v>
      </c>
      <c r="F30" s="253" t="n">
        <v>287.99</v>
      </c>
      <c r="G30" s="253">
        <f>E30*F30</f>
        <v/>
      </c>
      <c r="H30" s="224">
        <f>G30/$G$61</f>
        <v/>
      </c>
      <c r="I30" s="140">
        <f>ROUND(F30*Прил.10!$D$11,2)</f>
        <v/>
      </c>
      <c r="J30" s="140">
        <f>ROUND(I30*E30,2)</f>
        <v/>
      </c>
      <c r="L30" s="254" t="n"/>
    </row>
    <row r="31" hidden="1" outlineLevel="1" ht="25.5" customFormat="1" customHeight="1" s="170">
      <c r="A31" s="221" t="n">
        <v>11</v>
      </c>
      <c r="B31" s="109" t="n">
        <v>400001</v>
      </c>
      <c r="C31" s="95" t="inlineStr">
        <is>
          <t>Автомобили бортовые, грузоподъемность до 5 т</t>
        </is>
      </c>
      <c r="D31" s="109" t="inlineStr">
        <is>
          <t>маш.час</t>
        </is>
      </c>
      <c r="E31" s="252" t="n">
        <v>437.04</v>
      </c>
      <c r="F31" s="253" t="n">
        <v>87.17</v>
      </c>
      <c r="G31" s="253">
        <f>E31*F31</f>
        <v/>
      </c>
      <c r="H31" s="224">
        <f>G31/$G$61</f>
        <v/>
      </c>
      <c r="I31" s="140">
        <f>ROUND(F31*Прил.10!$D$11,2)</f>
        <v/>
      </c>
      <c r="J31" s="140">
        <f>ROUND(I31*E31,2)</f>
        <v/>
      </c>
      <c r="L31" s="254" t="n"/>
    </row>
    <row r="32" hidden="1" outlineLevel="1" ht="25.5" customFormat="1" customHeight="1" s="170">
      <c r="A32" s="221" t="n">
        <v>12</v>
      </c>
      <c r="B32" s="109" t="n">
        <v>31004</v>
      </c>
      <c r="C32" s="95" t="inlineStr">
        <is>
          <t>Автогидроподъемники высотой подъема 28 м</t>
        </is>
      </c>
      <c r="D32" s="109" t="inlineStr">
        <is>
          <t>маш.час</t>
        </is>
      </c>
      <c r="E32" s="252" t="n">
        <v>147.25</v>
      </c>
      <c r="F32" s="253" t="n">
        <v>243.49</v>
      </c>
      <c r="G32" s="253">
        <f>E32*F32</f>
        <v/>
      </c>
      <c r="H32" s="224">
        <f>G32/$G$61</f>
        <v/>
      </c>
      <c r="I32" s="140">
        <f>ROUND(F32*Прил.10!$D$11,2)</f>
        <v/>
      </c>
      <c r="J32" s="140">
        <f>ROUND(I32*E32,2)</f>
        <v/>
      </c>
      <c r="L32" s="254" t="n"/>
    </row>
    <row r="33" hidden="1" outlineLevel="1" ht="25.5" customFormat="1" customHeight="1" s="170">
      <c r="A33" s="221" t="n">
        <v>13</v>
      </c>
      <c r="B33" s="109" t="n">
        <v>30902</v>
      </c>
      <c r="C33" s="95" t="inlineStr">
        <is>
          <t>Подъемники гидравлические высотой подъема 10 м</t>
        </is>
      </c>
      <c r="D33" s="109" t="inlineStr">
        <is>
          <t>маш.час</t>
        </is>
      </c>
      <c r="E33" s="252" t="n">
        <v>1080.25</v>
      </c>
      <c r="F33" s="115" t="n">
        <v>29.6</v>
      </c>
      <c r="G33" s="253">
        <f>E33*F33</f>
        <v/>
      </c>
      <c r="H33" s="224">
        <f>G33/$G$61</f>
        <v/>
      </c>
      <c r="I33" s="140">
        <f>ROUND(F33*Прил.10!$D$11,2)</f>
        <v/>
      </c>
      <c r="J33" s="140">
        <f>ROUND(I33*E33,2)</f>
        <v/>
      </c>
      <c r="L33" s="254" t="n"/>
    </row>
    <row r="34" hidden="1" outlineLevel="1" ht="25.5" customFormat="1" customHeight="1" s="170">
      <c r="A34" s="221" t="n">
        <v>14</v>
      </c>
      <c r="B34" s="109" t="n">
        <v>21143</v>
      </c>
      <c r="C34" s="95" t="inlineStr">
        <is>
          <t>Краны на автомобильном ходу при работе на других видах строительства 16 т</t>
        </is>
      </c>
      <c r="D34" s="109" t="inlineStr">
        <is>
          <t>маш.час</t>
        </is>
      </c>
      <c r="E34" s="252" t="n">
        <v>156.44</v>
      </c>
      <c r="F34" s="115" t="n">
        <v>115.4</v>
      </c>
      <c r="G34" s="253">
        <f>E34*F34</f>
        <v/>
      </c>
      <c r="H34" s="224">
        <f>G34/$G$61</f>
        <v/>
      </c>
      <c r="I34" s="140">
        <f>ROUND(F34*Прил.10!$D$11,2)</f>
        <v/>
      </c>
      <c r="J34" s="140">
        <f>ROUND(I34*E34,2)</f>
        <v/>
      </c>
      <c r="L34" s="254" t="n"/>
    </row>
    <row r="35" hidden="1" outlineLevel="1" ht="25.5" customFormat="1" customHeight="1" s="170">
      <c r="A35" s="221" t="n">
        <v>15</v>
      </c>
      <c r="B35" s="109" t="inlineStr">
        <is>
          <t>91.14.02-001</t>
        </is>
      </c>
      <c r="C35" s="95" t="inlineStr">
        <is>
          <t>Автомобили бортовые, грузоподъемность: до 5 т</t>
        </is>
      </c>
      <c r="D35" s="109" t="inlineStr">
        <is>
          <t>маш.час</t>
        </is>
      </c>
      <c r="E35" s="252" t="n">
        <v>220.87</v>
      </c>
      <c r="F35" s="115" t="n">
        <v>65.70999999999999</v>
      </c>
      <c r="G35" s="253">
        <f>E35*F35</f>
        <v/>
      </c>
      <c r="H35" s="224">
        <f>G35/$G$61</f>
        <v/>
      </c>
      <c r="I35" s="140">
        <f>ROUND(F35*Прил.10!$D$11,2)</f>
        <v/>
      </c>
      <c r="J35" s="140">
        <f>ROUND(I35*E35,2)</f>
        <v/>
      </c>
      <c r="L35" s="254" t="n"/>
    </row>
    <row r="36" hidden="1" outlineLevel="1" ht="51" customFormat="1" customHeight="1" s="170">
      <c r="A36" s="221" t="n">
        <v>16</v>
      </c>
      <c r="B36" s="109" t="inlineStr">
        <is>
          <t>03-21-01-025</t>
        </is>
      </c>
      <c r="C36" s="95" t="inlineStr">
        <is>
          <t>Перевозка грузов автомобилями-самосвалами грузоподъемностью 10 т, работающих вне карьера, на расстояние: до 25 км I класс груза</t>
        </is>
      </c>
      <c r="D36" s="109" t="inlineStr">
        <is>
          <t>1 т груза</t>
        </is>
      </c>
      <c r="E36" s="252" t="n">
        <v>696.15</v>
      </c>
      <c r="F36" s="115" t="n">
        <v>17.32</v>
      </c>
      <c r="G36" s="253">
        <f>E36*F36</f>
        <v/>
      </c>
      <c r="H36" s="224">
        <f>G36/$G$61</f>
        <v/>
      </c>
      <c r="I36" s="140">
        <f>ROUND(F36*Прил.10!$D$11,2)</f>
        <v/>
      </c>
      <c r="J36" s="140">
        <f>ROUND(I36*E36,2)</f>
        <v/>
      </c>
      <c r="L36" s="254" t="n"/>
    </row>
    <row r="37" hidden="1" outlineLevel="1" ht="14.25" customFormat="1" customHeight="1" s="170">
      <c r="A37" s="221" t="n">
        <v>17</v>
      </c>
      <c r="B37" s="109" t="n">
        <v>400101</v>
      </c>
      <c r="C37" s="95" t="inlineStr">
        <is>
          <t>Тягачи седельные, грузоподъемность 12 т</t>
        </is>
      </c>
      <c r="D37" s="109" t="inlineStr">
        <is>
          <t>маш.час</t>
        </is>
      </c>
      <c r="E37" s="252" t="n">
        <v>80.06</v>
      </c>
      <c r="F37" s="115" t="n">
        <v>127.82</v>
      </c>
      <c r="G37" s="253">
        <f>E37*F37</f>
        <v/>
      </c>
      <c r="H37" s="224">
        <f>G37/$G$61</f>
        <v/>
      </c>
      <c r="I37" s="140">
        <f>ROUND(F37*Прил.10!$D$11,2)</f>
        <v/>
      </c>
      <c r="J37" s="140">
        <f>ROUND(I37*E37,2)</f>
        <v/>
      </c>
      <c r="L37" s="254" t="n"/>
    </row>
    <row r="38" hidden="1" outlineLevel="1" ht="38.25" customFormat="1" customHeight="1" s="170">
      <c r="A38" s="221" t="n">
        <v>18</v>
      </c>
      <c r="B38" s="109" t="n">
        <v>40202</v>
      </c>
      <c r="C38" s="95" t="inlineStr">
        <is>
          <t>Агрегаты сварочные передвижные с номинальным сварочным током 250-400 А с дизельным двигателем</t>
        </is>
      </c>
      <c r="D38" s="109" t="inlineStr">
        <is>
          <t>маш.час</t>
        </is>
      </c>
      <c r="E38" s="252" t="n">
        <v>563.46</v>
      </c>
      <c r="F38" s="115" t="n">
        <v>14</v>
      </c>
      <c r="G38" s="253">
        <f>E38*F38</f>
        <v/>
      </c>
      <c r="H38" s="224">
        <f>G38/$G$61</f>
        <v/>
      </c>
      <c r="I38" s="140">
        <f>ROUND(F38*Прил.10!$D$11,2)</f>
        <v/>
      </c>
      <c r="J38" s="140">
        <f>ROUND(I38*E38,2)</f>
        <v/>
      </c>
      <c r="L38" s="254" t="n"/>
    </row>
    <row r="39" hidden="1" outlineLevel="1" ht="25.5" customFormat="1" customHeight="1" s="170">
      <c r="A39" s="221" t="n">
        <v>19</v>
      </c>
      <c r="B39" s="109" t="n">
        <v>30408</v>
      </c>
      <c r="C39" s="95" t="inlineStr">
        <is>
          <t>Лебедки электрические тяговым усилием 156,96 кН (16 т)</t>
        </is>
      </c>
      <c r="D39" s="109" t="inlineStr">
        <is>
          <t>маш.час</t>
        </is>
      </c>
      <c r="E39" s="252" t="n">
        <v>57.68</v>
      </c>
      <c r="F39" s="115" t="n">
        <v>131.44</v>
      </c>
      <c r="G39" s="253">
        <f>E39*F39</f>
        <v/>
      </c>
      <c r="H39" s="224">
        <f>G39/$G$61</f>
        <v/>
      </c>
      <c r="I39" s="140">
        <f>ROUND(F39*Прил.10!$D$11,2)</f>
        <v/>
      </c>
      <c r="J39" s="140">
        <f>ROUND(I39*E39,2)</f>
        <v/>
      </c>
      <c r="L39" s="254" t="n"/>
    </row>
    <row r="40" hidden="1" outlineLevel="1" ht="14.25" customFormat="1" customHeight="1" s="170">
      <c r="A40" s="221" t="n">
        <v>20</v>
      </c>
      <c r="B40" s="109" t="inlineStr">
        <is>
          <t>91.06.05-011</t>
        </is>
      </c>
      <c r="C40" s="95" t="inlineStr">
        <is>
          <t>Погрузчик, грузоподъемность 5 т</t>
        </is>
      </c>
      <c r="D40" s="109" t="inlineStr">
        <is>
          <t>маш.час</t>
        </is>
      </c>
      <c r="E40" s="252" t="n">
        <v>73.62</v>
      </c>
      <c r="F40" s="115" t="n">
        <v>89.98999999999999</v>
      </c>
      <c r="G40" s="253">
        <f>E40*F40</f>
        <v/>
      </c>
      <c r="H40" s="224">
        <f>G40/$G$61</f>
        <v/>
      </c>
      <c r="I40" s="140">
        <f>ROUND(F40*Прил.10!$D$11,2)</f>
        <v/>
      </c>
      <c r="J40" s="140">
        <f>ROUND(I40*E40,2)</f>
        <v/>
      </c>
      <c r="L40" s="254" t="n"/>
    </row>
    <row r="41" hidden="1" outlineLevel="1" ht="25.5" customFormat="1" customHeight="1" s="170">
      <c r="A41" s="221" t="n">
        <v>21</v>
      </c>
      <c r="B41" s="109" t="n">
        <v>21243</v>
      </c>
      <c r="C41" s="95" t="inlineStr">
        <is>
          <t>Краны на гусеничном ходу при работе на других видах строительства до 16 т</t>
        </is>
      </c>
      <c r="D41" s="109" t="inlineStr">
        <is>
          <t>маш.час</t>
        </is>
      </c>
      <c r="E41" s="252" t="n">
        <v>57.85</v>
      </c>
      <c r="F41" s="115" t="n">
        <v>96.89</v>
      </c>
      <c r="G41" s="253">
        <f>E41*F41</f>
        <v/>
      </c>
      <c r="H41" s="224">
        <f>G41/$G$61</f>
        <v/>
      </c>
      <c r="I41" s="140">
        <f>ROUND(F41*Прил.10!$D$11,2)</f>
        <v/>
      </c>
      <c r="J41" s="140">
        <f>ROUND(I41*E41,2)</f>
        <v/>
      </c>
      <c r="L41" s="254" t="n"/>
    </row>
    <row r="42" hidden="1" outlineLevel="1" ht="25.5" customFormat="1" customHeight="1" s="170">
      <c r="A42" s="221" t="n">
        <v>22</v>
      </c>
      <c r="B42" s="109" t="n">
        <v>40502</v>
      </c>
      <c r="C42" s="95" t="inlineStr">
        <is>
          <t>Установки для сварки ручной дуговой (постоянного тока)</t>
        </is>
      </c>
      <c r="D42" s="109" t="inlineStr">
        <is>
          <t>маш.час</t>
        </is>
      </c>
      <c r="E42" s="252" t="n">
        <v>322.93</v>
      </c>
      <c r="F42" s="115" t="n">
        <v>8.1</v>
      </c>
      <c r="G42" s="253">
        <f>E42*F42</f>
        <v/>
      </c>
      <c r="H42" s="224">
        <f>G42/$G$61</f>
        <v/>
      </c>
      <c r="I42" s="140">
        <f>ROUND(F42*Прил.10!$D$11,2)</f>
        <v/>
      </c>
      <c r="J42" s="140">
        <f>ROUND(I42*E42,2)</f>
        <v/>
      </c>
      <c r="L42" s="254" t="n"/>
    </row>
    <row r="43" hidden="1" outlineLevel="1" ht="25.5" customFormat="1" customHeight="1" s="170">
      <c r="A43" s="221" t="n">
        <v>23</v>
      </c>
      <c r="B43" s="109" t="n">
        <v>400111</v>
      </c>
      <c r="C43" s="95" t="inlineStr">
        <is>
          <t>Полуприцепы общего назначения, грузоподъемность 12 т</t>
        </is>
      </c>
      <c r="D43" s="109" t="inlineStr">
        <is>
          <t>маш.час</t>
        </is>
      </c>
      <c r="E43" s="252" t="n">
        <v>80.06</v>
      </c>
      <c r="F43" s="115" t="n">
        <v>12</v>
      </c>
      <c r="G43" s="253">
        <f>E43*F43</f>
        <v/>
      </c>
      <c r="H43" s="224">
        <f>G43/$G$61</f>
        <v/>
      </c>
      <c r="I43" s="140">
        <f>ROUND(F43*Прил.10!$D$11,2)</f>
        <v/>
      </c>
      <c r="J43" s="140">
        <f>ROUND(I43*E43,2)</f>
        <v/>
      </c>
      <c r="L43" s="254" t="n"/>
    </row>
    <row r="44" hidden="1" outlineLevel="1" ht="25.5" customFormat="1" customHeight="1" s="170">
      <c r="A44" s="221" t="n">
        <v>24</v>
      </c>
      <c r="B44" s="109" t="n">
        <v>41000</v>
      </c>
      <c r="C44" s="95" t="inlineStr">
        <is>
          <t>Преобразователи сварочные с номинальным сварочным током 315-500 А</t>
        </is>
      </c>
      <c r="D44" s="109" t="inlineStr">
        <is>
          <t>маш.час</t>
        </is>
      </c>
      <c r="E44" s="252" t="n">
        <v>54.76</v>
      </c>
      <c r="F44" s="115" t="n">
        <v>12.31</v>
      </c>
      <c r="G44" s="253">
        <f>E44*F44</f>
        <v/>
      </c>
      <c r="H44" s="224">
        <f>G44/$G$61</f>
        <v/>
      </c>
      <c r="I44" s="140">
        <f>ROUND(F44*Прил.10!$D$11,2)</f>
        <v/>
      </c>
      <c r="J44" s="140">
        <f>ROUND(I44*E44,2)</f>
        <v/>
      </c>
      <c r="L44" s="254" t="n"/>
    </row>
    <row r="45" hidden="1" outlineLevel="1" ht="25.5" customFormat="1" customHeight="1" s="170">
      <c r="A45" s="221" t="n">
        <v>25</v>
      </c>
      <c r="B45" s="109" t="n">
        <v>400002</v>
      </c>
      <c r="C45" s="95" t="inlineStr">
        <is>
          <t>Автомобили бортовые, грузоподъемность до 8 т</t>
        </is>
      </c>
      <c r="D45" s="109" t="inlineStr">
        <is>
          <t>маш.час</t>
        </is>
      </c>
      <c r="E45" s="252" t="n">
        <v>5.5</v>
      </c>
      <c r="F45" s="115" t="n">
        <v>107.3</v>
      </c>
      <c r="G45" s="253">
        <f>E45*F45</f>
        <v/>
      </c>
      <c r="H45" s="224">
        <f>G45/$G$61</f>
        <v/>
      </c>
      <c r="I45" s="140">
        <f>ROUND(F45*Прил.10!$D$11,2)</f>
        <v/>
      </c>
      <c r="J45" s="140">
        <f>ROUND(I45*E45,2)</f>
        <v/>
      </c>
      <c r="L45" s="254" t="n"/>
    </row>
    <row r="46" hidden="1" outlineLevel="1" ht="25.5" customFormat="1" customHeight="1" s="170">
      <c r="A46" s="221" t="n">
        <v>26</v>
      </c>
      <c r="B46" s="109" t="n">
        <v>30203</v>
      </c>
      <c r="C46" s="95" t="inlineStr">
        <is>
          <t>Домкраты гидравлические грузоподъемностью 63-100 т</t>
        </is>
      </c>
      <c r="D46" s="109" t="inlineStr">
        <is>
          <t>маш.час</t>
        </is>
      </c>
      <c r="E46" s="252" t="n">
        <v>403.67</v>
      </c>
      <c r="F46" s="115" t="n">
        <v>0.9</v>
      </c>
      <c r="G46" s="253">
        <f>E46*F46</f>
        <v/>
      </c>
      <c r="H46" s="224">
        <f>G46/$G$61</f>
        <v/>
      </c>
      <c r="I46" s="140">
        <f>ROUND(F46*Прил.10!$D$11,2)</f>
        <v/>
      </c>
      <c r="J46" s="140">
        <f>ROUND(I46*E46,2)</f>
        <v/>
      </c>
      <c r="L46" s="254" t="n"/>
    </row>
    <row r="47" hidden="1" outlineLevel="1" ht="38.25" customFormat="1" customHeight="1" s="170">
      <c r="A47" s="221" t="n">
        <v>27</v>
      </c>
      <c r="B47" s="109" t="n">
        <v>340101</v>
      </c>
      <c r="C47" s="95" t="inlineStr">
        <is>
          <t>Агрегаты окрасочные высокого давления для окраски поверхностей конструкций мощностью 1 кВт</t>
        </is>
      </c>
      <c r="D47" s="109" t="inlineStr">
        <is>
          <t>маш.час</t>
        </is>
      </c>
      <c r="E47" s="252" t="n">
        <v>44.05</v>
      </c>
      <c r="F47" s="115" t="n">
        <v>6.82</v>
      </c>
      <c r="G47" s="253">
        <f>E47*F47</f>
        <v/>
      </c>
      <c r="H47" s="224">
        <f>G47/$G$61</f>
        <v/>
      </c>
      <c r="I47" s="140">
        <f>ROUND(F47*Прил.10!$D$11,2)</f>
        <v/>
      </c>
      <c r="J47" s="140">
        <f>ROUND(I47*E47,2)</f>
        <v/>
      </c>
      <c r="L47" s="254" t="n"/>
    </row>
    <row r="48" hidden="1" outlineLevel="1" ht="25.5" customFormat="1" customHeight="1" s="170">
      <c r="A48" s="221" t="n">
        <v>28</v>
      </c>
      <c r="B48" s="109" t="n">
        <v>70149</v>
      </c>
      <c r="C48" s="95" t="inlineStr">
        <is>
          <t>Бульдозеры при работе на других видах строительства 79 кВт (108 л.с.)</t>
        </is>
      </c>
      <c r="D48" s="109" t="inlineStr">
        <is>
          <t>маш.час</t>
        </is>
      </c>
      <c r="E48" s="252" t="n">
        <v>1.16</v>
      </c>
      <c r="F48" s="115" t="n">
        <v>79.06999999999999</v>
      </c>
      <c r="G48" s="253">
        <f>E48*F48</f>
        <v/>
      </c>
      <c r="H48" s="224">
        <f>G48/$G$61</f>
        <v/>
      </c>
      <c r="I48" s="140">
        <f>ROUND(F48*Прил.10!$D$11,2)</f>
        <v/>
      </c>
      <c r="J48" s="140">
        <f>ROUND(I48*E48,2)</f>
        <v/>
      </c>
      <c r="L48" s="254" t="n"/>
    </row>
    <row r="49" hidden="1" outlineLevel="1" ht="25.5" customFormat="1" customHeight="1" s="170">
      <c r="A49" s="221" t="n">
        <v>29</v>
      </c>
      <c r="B49" s="109" t="n">
        <v>20403</v>
      </c>
      <c r="C49" s="95" t="inlineStr">
        <is>
          <t>Краны козловые при работе на монтаже технологического оборудования 32 т</t>
        </is>
      </c>
      <c r="D49" s="109" t="inlineStr">
        <is>
          <t>маш.час</t>
        </is>
      </c>
      <c r="E49" s="252" t="n">
        <v>0.6899999999999999</v>
      </c>
      <c r="F49" s="115" t="n">
        <v>120.52</v>
      </c>
      <c r="G49" s="253">
        <f>E49*F49</f>
        <v/>
      </c>
      <c r="H49" s="224">
        <f>G49/$G$61</f>
        <v/>
      </c>
      <c r="I49" s="140">
        <f>ROUND(F49*Прил.10!$D$11,2)</f>
        <v/>
      </c>
      <c r="J49" s="140">
        <f>ROUND(I49*E49,2)</f>
        <v/>
      </c>
      <c r="L49" s="254" t="n"/>
    </row>
    <row r="50" hidden="1" outlineLevel="1" ht="14.25" customFormat="1" customHeight="1" s="170">
      <c r="A50" s="221" t="n">
        <v>30</v>
      </c>
      <c r="B50" s="109" t="n">
        <v>30101</v>
      </c>
      <c r="C50" s="95" t="inlineStr">
        <is>
          <t>Автопогрузчики 5 т</t>
        </is>
      </c>
      <c r="D50" s="109" t="inlineStr">
        <is>
          <t>маш.час</t>
        </is>
      </c>
      <c r="E50" s="252" t="n">
        <v>0.45</v>
      </c>
      <c r="F50" s="115" t="n">
        <v>89.98999999999999</v>
      </c>
      <c r="G50" s="253">
        <f>E50*F50</f>
        <v/>
      </c>
      <c r="H50" s="224">
        <f>G50/$G$61</f>
        <v/>
      </c>
      <c r="I50" s="140">
        <f>ROUND(F50*Прил.10!$D$11,2)</f>
        <v/>
      </c>
      <c r="J50" s="140">
        <f>ROUND(I50*E50,2)</f>
        <v/>
      </c>
      <c r="L50" s="254" t="n"/>
    </row>
    <row r="51" hidden="1" outlineLevel="1" ht="25.5" customFormat="1" customHeight="1" s="170">
      <c r="A51" s="221" t="n">
        <v>31</v>
      </c>
      <c r="B51" s="109" t="n">
        <v>20129</v>
      </c>
      <c r="C51" s="95" t="inlineStr">
        <is>
          <t>Краны башенные при работе на других видах строительства 8 т</t>
        </is>
      </c>
      <c r="D51" s="109" t="inlineStr">
        <is>
          <t>маш.час</t>
        </is>
      </c>
      <c r="E51" s="252" t="n">
        <v>0.43</v>
      </c>
      <c r="F51" s="115" t="n">
        <v>86.40000000000001</v>
      </c>
      <c r="G51" s="253">
        <f>E51*F51</f>
        <v/>
      </c>
      <c r="H51" s="224">
        <f>G51/$G$61</f>
        <v/>
      </c>
      <c r="I51" s="140">
        <f>ROUND(F51*Прил.10!$D$11,2)</f>
        <v/>
      </c>
      <c r="J51" s="140">
        <f>ROUND(I51*E51,2)</f>
        <v/>
      </c>
      <c r="L51" s="254" t="n"/>
    </row>
    <row r="52" hidden="1" outlineLevel="1" ht="14.25" customFormat="1" customHeight="1" s="170">
      <c r="A52" s="221" t="n">
        <v>32</v>
      </c>
      <c r="B52" s="109" t="n">
        <v>331451</v>
      </c>
      <c r="C52" s="95" t="inlineStr">
        <is>
          <t>Перфораторы электрические</t>
        </is>
      </c>
      <c r="D52" s="109" t="inlineStr">
        <is>
          <t>маш.час</t>
        </is>
      </c>
      <c r="E52" s="252" t="n">
        <v>11.82</v>
      </c>
      <c r="F52" s="115" t="n">
        <v>2.08</v>
      </c>
      <c r="G52" s="253">
        <f>E52*F52</f>
        <v/>
      </c>
      <c r="H52" s="224">
        <f>G52/$G$61</f>
        <v/>
      </c>
      <c r="I52" s="140">
        <f>ROUND(F52*Прил.10!$D$11,2)</f>
        <v/>
      </c>
      <c r="J52" s="140">
        <f>ROUND(I52*E52,2)</f>
        <v/>
      </c>
      <c r="L52" s="254" t="n"/>
    </row>
    <row r="53" hidden="1" outlineLevel="1" ht="51" customFormat="1" customHeight="1" s="170">
      <c r="A53" s="221" t="n">
        <v>33</v>
      </c>
      <c r="B53" s="109" t="n">
        <v>41400</v>
      </c>
      <c r="C53" s="9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53" s="109" t="inlineStr">
        <is>
          <t>маш.час</t>
        </is>
      </c>
      <c r="E53" s="252" t="n">
        <v>2.6</v>
      </c>
      <c r="F53" s="115" t="n">
        <v>6.7</v>
      </c>
      <c r="G53" s="253">
        <f>E53*F53</f>
        <v/>
      </c>
      <c r="H53" s="224">
        <f>G53/$G$61</f>
        <v/>
      </c>
      <c r="I53" s="140">
        <f>ROUND(F53*Прил.10!$D$11,2)</f>
        <v/>
      </c>
      <c r="J53" s="140">
        <f>ROUND(I53*E53,2)</f>
        <v/>
      </c>
      <c r="L53" s="254" t="n"/>
    </row>
    <row r="54" hidden="1" outlineLevel="1" ht="14.25" customFormat="1" customHeight="1" s="170">
      <c r="A54" s="221" t="n">
        <v>34</v>
      </c>
      <c r="B54" s="109" t="n">
        <v>40504</v>
      </c>
      <c r="C54" s="95" t="inlineStr">
        <is>
          <t>Аппарат для газовой сварки и резки</t>
        </is>
      </c>
      <c r="D54" s="109" t="inlineStr">
        <is>
          <t>маш.час</t>
        </is>
      </c>
      <c r="E54" s="252" t="n">
        <v>12.12</v>
      </c>
      <c r="F54" s="115" t="n">
        <v>1.2</v>
      </c>
      <c r="G54" s="253">
        <f>E54*F54</f>
        <v/>
      </c>
      <c r="H54" s="224">
        <f>G54/$G$61</f>
        <v/>
      </c>
      <c r="I54" s="140">
        <f>ROUND(F54*Прил.10!$D$11,2)</f>
        <v/>
      </c>
      <c r="J54" s="140">
        <f>ROUND(I54*E54,2)</f>
        <v/>
      </c>
      <c r="L54" s="254" t="n"/>
    </row>
    <row r="55" hidden="1" outlineLevel="1" ht="14.25" customFormat="1" customHeight="1" s="170">
      <c r="A55" s="221" t="n">
        <v>35</v>
      </c>
      <c r="B55" s="109" t="n">
        <v>330301</v>
      </c>
      <c r="C55" s="95" t="inlineStr">
        <is>
          <t>Машины шлифовальные электрические</t>
        </is>
      </c>
      <c r="D55" s="109" t="inlineStr">
        <is>
          <t>маш.час</t>
        </is>
      </c>
      <c r="E55" s="252" t="n">
        <v>2.14</v>
      </c>
      <c r="F55" s="115" t="n">
        <v>5.13</v>
      </c>
      <c r="G55" s="253">
        <f>E55*F55</f>
        <v/>
      </c>
      <c r="H55" s="224">
        <f>G55/$G$61</f>
        <v/>
      </c>
      <c r="I55" s="140">
        <f>ROUND(F55*Прил.10!$D$11,2)</f>
        <v/>
      </c>
      <c r="J55" s="140">
        <f>ROUND(I55*E55,2)</f>
        <v/>
      </c>
      <c r="L55" s="254" t="n"/>
    </row>
    <row r="56" hidden="1" outlineLevel="1" ht="25.5" customFormat="1" customHeight="1" s="170">
      <c r="A56" s="221" t="n">
        <v>36</v>
      </c>
      <c r="B56" s="109" t="n">
        <v>400051</v>
      </c>
      <c r="C56" s="95" t="inlineStr">
        <is>
          <t>Автомобиль-самосвал, грузоподъемность до 7 т</t>
        </is>
      </c>
      <c r="D56" s="109" t="inlineStr">
        <is>
          <t>маш.час</t>
        </is>
      </c>
      <c r="E56" s="252" t="n">
        <v>0.02</v>
      </c>
      <c r="F56" s="115" t="n">
        <v>111</v>
      </c>
      <c r="G56" s="253">
        <f>E56*F56</f>
        <v/>
      </c>
      <c r="H56" s="224">
        <f>G56/$G$61</f>
        <v/>
      </c>
      <c r="I56" s="140">
        <f>ROUND(F56*Прил.10!$D$11,2)</f>
        <v/>
      </c>
      <c r="J56" s="140">
        <f>ROUND(I56*E56,2)</f>
        <v/>
      </c>
      <c r="L56" s="254" t="n"/>
    </row>
    <row r="57" hidden="1" outlineLevel="1" ht="25.5" customFormat="1" customHeight="1" s="170">
      <c r="A57" s="221" t="n">
        <v>37</v>
      </c>
      <c r="B57" s="109" t="n">
        <v>30401</v>
      </c>
      <c r="C57" s="95" t="inlineStr">
        <is>
          <t>Лебедки электрические тяговым усилием до 5,79 кН (0,59 т)</t>
        </is>
      </c>
      <c r="D57" s="109" t="inlineStr">
        <is>
          <t>маш.час</t>
        </is>
      </c>
      <c r="E57" s="252" t="n">
        <v>0.45</v>
      </c>
      <c r="F57" s="115" t="n">
        <v>1.7</v>
      </c>
      <c r="G57" s="253">
        <f>E57*F57</f>
        <v/>
      </c>
      <c r="H57" s="224">
        <f>G57/$G$61</f>
        <v/>
      </c>
      <c r="I57" s="140">
        <f>ROUND(F57*Прил.10!$D$11,2)</f>
        <v/>
      </c>
      <c r="J57" s="140">
        <f>ROUND(I57*E57,2)</f>
        <v/>
      </c>
      <c r="L57" s="254" t="n"/>
    </row>
    <row r="58" hidden="1" outlineLevel="1" ht="14.25" customFormat="1" customHeight="1" s="170">
      <c r="A58" s="221" t="n">
        <v>38</v>
      </c>
      <c r="B58" s="109" t="n">
        <v>111301</v>
      </c>
      <c r="C58" s="95" t="inlineStr">
        <is>
          <t>Вибратор поверхностный</t>
        </is>
      </c>
      <c r="D58" s="109" t="inlineStr">
        <is>
          <t>маш.час</t>
        </is>
      </c>
      <c r="E58" s="252" t="n">
        <v>1.15</v>
      </c>
      <c r="F58" s="115" t="n">
        <v>0.5</v>
      </c>
      <c r="G58" s="253">
        <f>E58*F58</f>
        <v/>
      </c>
      <c r="H58" s="224">
        <f>G58/$G$61</f>
        <v/>
      </c>
      <c r="I58" s="140">
        <f>ROUND(F58*Прил.10!$D$11,2)</f>
        <v/>
      </c>
      <c r="J58" s="140">
        <f>ROUND(I58*E58,2)</f>
        <v/>
      </c>
      <c r="L58" s="254" t="n"/>
    </row>
    <row r="59" collapsed="1" ht="14.25" customFormat="1" customHeight="1" s="170">
      <c r="A59" s="221" t="n"/>
      <c r="B59" s="221" t="n"/>
      <c r="C59" s="220" t="inlineStr">
        <is>
          <t>Итого прочие машины и механизмы</t>
        </is>
      </c>
      <c r="D59" s="221" t="n"/>
      <c r="E59" s="222" t="n"/>
      <c r="F59" s="140" t="n"/>
      <c r="G59" s="140">
        <f>SUM(G30:G58)</f>
        <v/>
      </c>
      <c r="H59" s="224">
        <f>G59/G61</f>
        <v/>
      </c>
      <c r="I59" s="140" t="n"/>
      <c r="J59" s="140">
        <f>SUM(J30:J57)</f>
        <v/>
      </c>
      <c r="K59" s="254" t="n"/>
      <c r="L59" s="254" t="n"/>
    </row>
    <row r="60" ht="29.45" customFormat="1" customHeight="1" s="170">
      <c r="A60" s="221" t="n"/>
      <c r="B60" s="225" t="n"/>
      <c r="C60" s="220" t="inlineStr">
        <is>
          <t>Итого прочие машины и механизмы 
(с коэффициентом на демонтаж 0,7)</t>
        </is>
      </c>
      <c r="D60" s="221" t="n"/>
      <c r="E60" s="222" t="n"/>
      <c r="F60" s="140" t="n"/>
      <c r="G60" s="140">
        <f>G59*0.7</f>
        <v/>
      </c>
      <c r="H60" s="224">
        <f>G60/G62</f>
        <v/>
      </c>
      <c r="I60" s="140" t="n"/>
      <c r="J60" s="140">
        <f>J59*0.7</f>
        <v/>
      </c>
      <c r="K60" s="254" t="n"/>
      <c r="L60" s="254" t="n"/>
    </row>
    <row r="61" ht="25.5" customFormat="1" customHeight="1" s="170">
      <c r="A61" s="221" t="n"/>
      <c r="B61" s="225" t="n"/>
      <c r="C61" s="116" t="inlineStr">
        <is>
          <t>Итого по разделу «Машины и механизмы»</t>
        </is>
      </c>
      <c r="D61" s="225" t="n"/>
      <c r="E61" s="117" t="n"/>
      <c r="F61" s="118" t="n"/>
      <c r="G61" s="118">
        <f>G28+G59</f>
        <v/>
      </c>
      <c r="H61" s="119" t="n">
        <v>1</v>
      </c>
      <c r="I61" s="118" t="n"/>
      <c r="J61" s="118">
        <f>J28+J59</f>
        <v/>
      </c>
    </row>
    <row r="62" ht="44.45" customFormat="1" customHeight="1" s="170">
      <c r="A62" s="217" t="n"/>
      <c r="B62" s="225" t="n"/>
      <c r="C62" s="209" t="inlineStr">
        <is>
          <t>Итого по разделу «Машины и механизмы»  
(с коэффициентом на демонтаж 0,7)</t>
        </is>
      </c>
      <c r="D62" s="221" t="n"/>
      <c r="E62" s="222" t="n"/>
      <c r="F62" s="140" t="n"/>
      <c r="G62" s="140">
        <f>G29+G60</f>
        <v/>
      </c>
      <c r="H62" s="224" t="n">
        <v>1</v>
      </c>
      <c r="I62" s="140" t="n"/>
      <c r="J62" s="140">
        <f>J29+J60</f>
        <v/>
      </c>
    </row>
    <row r="63" s="172">
      <c r="A63" s="217" t="n"/>
      <c r="B63" s="209" t="inlineStr">
        <is>
          <t xml:space="preserve">Оборудование </t>
        </is>
      </c>
      <c r="C63" s="240" t="n"/>
      <c r="D63" s="240" t="n"/>
      <c r="E63" s="240" t="n"/>
      <c r="F63" s="240" t="n"/>
      <c r="G63" s="240" t="n"/>
      <c r="H63" s="240" t="n"/>
      <c r="I63" s="240" t="n"/>
      <c r="J63" s="241" t="n"/>
      <c r="K63" s="170" t="n"/>
      <c r="L63" s="170" t="n"/>
      <c r="M63" s="170" t="n"/>
      <c r="N63" s="170" t="n"/>
    </row>
    <row r="64" s="172">
      <c r="A64" s="221" t="n"/>
      <c r="B64" s="229" t="inlineStr">
        <is>
          <t>Основное оборудование</t>
        </is>
      </c>
      <c r="K64" s="170" t="n"/>
      <c r="L64" s="170" t="n"/>
      <c r="M64" s="170" t="n"/>
      <c r="N64" s="170" t="n"/>
    </row>
    <row r="65" s="172">
      <c r="A65" s="221" t="n"/>
      <c r="B65" s="221" t="n"/>
      <c r="C65" s="220" t="inlineStr">
        <is>
          <t>Итого основное оборудование</t>
        </is>
      </c>
      <c r="D65" s="221" t="n"/>
      <c r="E65" s="255" t="n"/>
      <c r="F65" s="223" t="n"/>
      <c r="G65" s="140" t="n">
        <v>0</v>
      </c>
      <c r="H65" s="224" t="n">
        <v>0</v>
      </c>
      <c r="I65" s="140" t="n"/>
      <c r="J65" s="140" t="n">
        <v>0</v>
      </c>
      <c r="K65" s="254" t="n"/>
      <c r="L65" s="170" t="n"/>
      <c r="M65" s="170" t="n"/>
      <c r="N65" s="170" t="n"/>
    </row>
    <row r="66" s="172">
      <c r="A66" s="221" t="n"/>
      <c r="B66" s="221" t="n"/>
      <c r="C66" s="220" t="inlineStr">
        <is>
          <t>Итого прочее оборудование</t>
        </is>
      </c>
      <c r="D66" s="221" t="n"/>
      <c r="E66" s="222" t="n"/>
      <c r="F66" s="223" t="n"/>
      <c r="G66" s="140" t="n">
        <v>0</v>
      </c>
      <c r="H66" s="224" t="n">
        <v>0</v>
      </c>
      <c r="I66" s="140" t="n"/>
      <c r="J66" s="140" t="n">
        <v>0</v>
      </c>
      <c r="K66" s="254" t="n"/>
      <c r="L66" s="170" t="n"/>
      <c r="M66" s="170" t="n"/>
      <c r="N66" s="170" t="n"/>
    </row>
    <row r="67" s="172">
      <c r="A67" s="221" t="n"/>
      <c r="B67" s="221" t="n"/>
      <c r="C67" s="209" t="inlineStr">
        <is>
          <t>Итого по разделу «Оборудование»</t>
        </is>
      </c>
      <c r="D67" s="221" t="n"/>
      <c r="E67" s="222" t="n"/>
      <c r="F67" s="223" t="n"/>
      <c r="G67" s="140">
        <f>G65+G66</f>
        <v/>
      </c>
      <c r="H67" s="224" t="n">
        <v>0</v>
      </c>
      <c r="I67" s="140" t="n"/>
      <c r="J67" s="140">
        <f>J65+J66</f>
        <v/>
      </c>
      <c r="K67" s="254" t="n"/>
      <c r="L67" s="170" t="n"/>
      <c r="M67" s="170" t="n"/>
      <c r="N67" s="170" t="n"/>
    </row>
    <row r="68" ht="25.5" customHeight="1" s="172">
      <c r="A68" s="221" t="n"/>
      <c r="B68" s="221" t="n"/>
      <c r="C68" s="220" t="inlineStr">
        <is>
          <t>в том числе технологическое оборудование</t>
        </is>
      </c>
      <c r="D68" s="221" t="n"/>
      <c r="E68" s="222" t="n"/>
      <c r="F68" s="223" t="n"/>
      <c r="G68" s="140">
        <f>'Прил.6 Расчет ОБ'!G12</f>
        <v/>
      </c>
      <c r="H68" s="224" t="n"/>
      <c r="I68" s="140" t="n"/>
      <c r="J68" s="140">
        <f>ROUND(G68*Прил.10!$D$13,2)</f>
        <v/>
      </c>
      <c r="K68" s="254" t="n"/>
      <c r="L68" s="170" t="n"/>
      <c r="M68" s="170" t="n"/>
      <c r="N68" s="170" t="n"/>
    </row>
    <row r="69" ht="14.25" customFormat="1" customHeight="1" s="170">
      <c r="A69" s="221" t="n"/>
      <c r="B69" s="257" t="inlineStr">
        <is>
          <t>Материалы</t>
        </is>
      </c>
      <c r="J69" s="258" t="n"/>
      <c r="K69" s="254" t="n"/>
    </row>
    <row r="70" ht="14.25" customFormat="1" customHeight="1" s="170">
      <c r="A70" s="221" t="n"/>
      <c r="B70" s="220" t="inlineStr">
        <is>
          <t>Основные материалы</t>
        </is>
      </c>
      <c r="C70" s="240" t="n"/>
      <c r="D70" s="240" t="n"/>
      <c r="E70" s="240" t="n"/>
      <c r="F70" s="240" t="n"/>
      <c r="G70" s="240" t="n"/>
      <c r="H70" s="241" t="n"/>
      <c r="I70" s="224" t="n"/>
      <c r="J70" s="224" t="n"/>
    </row>
    <row r="71" ht="14.25" customFormat="1" customHeight="1" s="170">
      <c r="A71" s="221" t="n"/>
      <c r="B71" s="221" t="n"/>
      <c r="C71" s="220" t="inlineStr">
        <is>
          <t>Итого основные материалы</t>
        </is>
      </c>
      <c r="D71" s="221" t="n"/>
      <c r="E71" s="255" t="n"/>
      <c r="F71" s="223" t="n"/>
      <c r="G71" s="140" t="n">
        <v>0</v>
      </c>
      <c r="H71" s="224" t="n">
        <v>0</v>
      </c>
      <c r="I71" s="140" t="n"/>
      <c r="J71" s="140" t="n">
        <v>0</v>
      </c>
      <c r="K71" s="254" t="n"/>
    </row>
    <row r="72" ht="14.25" customFormat="1" customHeight="1" s="170">
      <c r="A72" s="221" t="n"/>
      <c r="B72" s="221" t="n"/>
      <c r="C72" s="220" t="inlineStr">
        <is>
          <t>Итого прочие материалы</t>
        </is>
      </c>
      <c r="D72" s="221" t="n"/>
      <c r="E72" s="222" t="n"/>
      <c r="F72" s="223" t="n"/>
      <c r="G72" s="140" t="n">
        <v>0</v>
      </c>
      <c r="H72" s="224" t="n">
        <v>0</v>
      </c>
      <c r="I72" s="140" t="n"/>
      <c r="J72" s="140" t="n">
        <v>0</v>
      </c>
    </row>
    <row r="73" ht="14.25" customFormat="1" customHeight="1" s="170">
      <c r="A73" s="221" t="n"/>
      <c r="B73" s="221" t="n"/>
      <c r="C73" s="209" t="inlineStr">
        <is>
          <t>Итого по разделу «Материалы»</t>
        </is>
      </c>
      <c r="D73" s="221" t="n"/>
      <c r="E73" s="222" t="n"/>
      <c r="F73" s="223" t="n"/>
      <c r="G73" s="140">
        <f>G71+G72</f>
        <v/>
      </c>
      <c r="H73" s="224" t="n"/>
      <c r="I73" s="223" t="n"/>
      <c r="J73" s="140">
        <f>J71+J72</f>
        <v/>
      </c>
      <c r="K73" s="254" t="n"/>
    </row>
    <row r="74" ht="14.25" customFormat="1" customHeight="1" s="170">
      <c r="A74" s="221" t="n"/>
      <c r="B74" s="221" t="n"/>
      <c r="C74" s="220" t="inlineStr">
        <is>
          <t>ИТОГО ПО РМ</t>
        </is>
      </c>
      <c r="D74" s="221" t="n"/>
      <c r="E74" s="222" t="n"/>
      <c r="F74" s="223" t="n"/>
      <c r="G74" s="140">
        <f>G14+G61+G73</f>
        <v/>
      </c>
      <c r="H74" s="224" t="n"/>
      <c r="I74" s="223" t="n"/>
      <c r="J74" s="140">
        <f>J14+J61+J73</f>
        <v/>
      </c>
    </row>
    <row r="75" ht="29.45" customFormat="1" customHeight="1" s="170">
      <c r="A75" s="221" t="n"/>
      <c r="B75" s="221" t="n"/>
      <c r="C75" s="220" t="inlineStr">
        <is>
          <t>ИТОГО ПО РМ
(с коэффициентом на демонтаж 0,7)</t>
        </is>
      </c>
      <c r="D75" s="221" t="n"/>
      <c r="E75" s="222" t="n"/>
      <c r="F75" s="223" t="n"/>
      <c r="G75" s="140">
        <f>G15+G62</f>
        <v/>
      </c>
      <c r="H75" s="228" t="n"/>
      <c r="I75" s="140" t="n"/>
      <c r="J75" s="140">
        <f>J15+J62</f>
        <v/>
      </c>
    </row>
    <row r="76" ht="14.25" customFormat="1" customHeight="1" s="170">
      <c r="A76" s="221" t="n"/>
      <c r="B76" s="221" t="n"/>
      <c r="C76" s="220" t="inlineStr">
        <is>
          <t>Накладные расходы</t>
        </is>
      </c>
      <c r="D76" s="221" t="inlineStr">
        <is>
          <t>%</t>
        </is>
      </c>
      <c r="E76" s="127" t="n">
        <v>1.15</v>
      </c>
      <c r="F76" s="223" t="n"/>
      <c r="G76" s="140" t="n">
        <v>710852.67</v>
      </c>
      <c r="H76" s="224" t="n"/>
      <c r="I76" s="223" t="n"/>
      <c r="J76" s="140">
        <f>ROUND(E76*(J14+J17),2)</f>
        <v/>
      </c>
      <c r="K76" s="57" t="n"/>
    </row>
    <row r="77" ht="28.9" customFormat="1" customHeight="1" s="170">
      <c r="A77" s="221" t="n"/>
      <c r="B77" s="221" t="n"/>
      <c r="C77" s="220" t="inlineStr">
        <is>
          <t>Накладные расходы 
(с коэффициентом на демонтаж 0,7)</t>
        </is>
      </c>
      <c r="D77" s="144">
        <f>D76</f>
        <v/>
      </c>
      <c r="E77" s="127" t="n">
        <v>1.15</v>
      </c>
      <c r="F77" s="223" t="n"/>
      <c r="G77" s="140">
        <f>G76*0.7</f>
        <v/>
      </c>
      <c r="H77" s="228" t="n"/>
      <c r="I77" s="140" t="n"/>
      <c r="J77" s="140">
        <f>ROUND(E77*(J15+J18),2)</f>
        <v/>
      </c>
      <c r="K77" s="57" t="n"/>
    </row>
    <row r="78" ht="14.25" customFormat="1" customHeight="1" s="170">
      <c r="A78" s="221" t="n"/>
      <c r="B78" s="221" t="n"/>
      <c r="C78" s="220" t="inlineStr">
        <is>
          <t>Сметная прибыль</t>
        </is>
      </c>
      <c r="D78" s="221" t="inlineStr">
        <is>
          <t>%</t>
        </is>
      </c>
      <c r="E78" s="127" t="n">
        <v>0.6899999999999999</v>
      </c>
      <c r="F78" s="223" t="n"/>
      <c r="G78" s="140" t="n">
        <v>427163</v>
      </c>
      <c r="H78" s="224" t="n"/>
      <c r="I78" s="223" t="n"/>
      <c r="J78" s="140">
        <f>ROUND(E78*(J14+J17),2)</f>
        <v/>
      </c>
      <c r="K78" s="57" t="n"/>
    </row>
    <row r="79" ht="28.9" customFormat="1" customHeight="1" s="170">
      <c r="A79" s="221" t="n"/>
      <c r="B79" s="221" t="n"/>
      <c r="C79" s="220" t="inlineStr">
        <is>
          <t>Сметная прибыль 
(с коэффициентом на демонтаж 0,7)</t>
        </is>
      </c>
      <c r="D79" s="144">
        <f>D78</f>
        <v/>
      </c>
      <c r="E79" s="127" t="n">
        <v>0.6899999999999999</v>
      </c>
      <c r="F79" s="223" t="n"/>
      <c r="G79" s="140">
        <f>G78*0.7</f>
        <v/>
      </c>
      <c r="H79" s="228" t="n"/>
      <c r="I79" s="140" t="n"/>
      <c r="J79" s="140">
        <f>ROUND(E79*(J15+J18),2)</f>
        <v/>
      </c>
      <c r="K79" s="57" t="n"/>
    </row>
    <row r="80" ht="28.9" customFormat="1" customHeight="1" s="170">
      <c r="A80" s="221" t="n"/>
      <c r="B80" s="221" t="n"/>
      <c r="C80" s="220" t="inlineStr">
        <is>
          <t>Итого СМР (с НР и СП) 
(с коэффициентом на демонтаж 0,7)</t>
        </is>
      </c>
      <c r="D80" s="221" t="n"/>
      <c r="E80" s="222" t="n"/>
      <c r="F80" s="223" t="n"/>
      <c r="G80" s="140">
        <f>G75+G77+G79</f>
        <v/>
      </c>
      <c r="H80" s="224" t="n"/>
      <c r="I80" s="223" t="n"/>
      <c r="J80" s="140">
        <f>J75+J77+J79</f>
        <v/>
      </c>
      <c r="L80" s="58" t="n"/>
    </row>
    <row r="81" ht="27" customFormat="1" customHeight="1" s="170">
      <c r="A81" s="221" t="n"/>
      <c r="B81" s="221" t="n"/>
      <c r="C81" s="220" t="inlineStr">
        <is>
          <t>ВСЕГО СМР + ОБОРУДОВАНИЕ 
(с коэффициентом на демонтаж 0,7)</t>
        </is>
      </c>
      <c r="D81" s="221" t="n"/>
      <c r="E81" s="222" t="n"/>
      <c r="F81" s="223" t="n"/>
      <c r="G81" s="140">
        <f>G80</f>
        <v/>
      </c>
      <c r="H81" s="224" t="n"/>
      <c r="I81" s="223" t="n"/>
      <c r="J81" s="140">
        <f>J80</f>
        <v/>
      </c>
      <c r="L81" s="57" t="n"/>
    </row>
    <row r="82" ht="14.25" customFormat="1" customHeight="1" s="170">
      <c r="A82" s="221" t="n"/>
      <c r="B82" s="221" t="n"/>
      <c r="C82" s="220" t="inlineStr">
        <is>
          <t>ИТОГО ПОКАЗАТЕЛЬ НА ЕД. ИЗМ.</t>
        </is>
      </c>
      <c r="D82" s="221" t="inlineStr">
        <is>
          <t>ячейка</t>
        </is>
      </c>
      <c r="E82" s="255" t="n">
        <v>4</v>
      </c>
      <c r="F82" s="223" t="n"/>
      <c r="G82" s="140">
        <f>G81/E82</f>
        <v/>
      </c>
      <c r="H82" s="224" t="n"/>
      <c r="I82" s="223" t="n"/>
      <c r="J82" s="140">
        <f>J81/E82</f>
        <v/>
      </c>
      <c r="L82" s="57" t="n"/>
    </row>
    <row r="84" ht="14.25" customFormat="1" customHeight="1" s="170">
      <c r="A84" s="168" t="n"/>
    </row>
    <row r="85" ht="14.25" customFormat="1" customHeight="1" s="170">
      <c r="A85" s="164" t="inlineStr">
        <is>
          <t>Составил ______________________       А.Р. Маркова</t>
        </is>
      </c>
      <c r="B85" s="170" t="n"/>
    </row>
    <row r="86" ht="14.25" customFormat="1" customHeight="1" s="170">
      <c r="A86" s="171" t="inlineStr">
        <is>
          <t xml:space="preserve">                         (подпись, инициалы, фамилия)</t>
        </is>
      </c>
      <c r="B86" s="170" t="n"/>
    </row>
    <row r="87" ht="14.25" customFormat="1" customHeight="1" s="170">
      <c r="A87" s="164" t="n"/>
      <c r="B87" s="170" t="n"/>
    </row>
    <row r="88" ht="14.25" customFormat="1" customHeight="1" s="170">
      <c r="A88" s="164" t="inlineStr">
        <is>
          <t>Проверил ______________________        А.В. Костянецкая</t>
        </is>
      </c>
      <c r="B88" s="170" t="n"/>
    </row>
    <row r="89" ht="14.25" customFormat="1" customHeight="1" s="170">
      <c r="A89" s="171" t="inlineStr">
        <is>
          <t xml:space="preserve">                        (подпись, инициалы, фамилия)</t>
        </is>
      </c>
      <c r="B89" s="170" t="n"/>
    </row>
  </sheetData>
  <mergeCells count="20">
    <mergeCell ref="H9:H10"/>
    <mergeCell ref="B69:J69"/>
    <mergeCell ref="B20:H20"/>
    <mergeCell ref="C9:C10"/>
    <mergeCell ref="E9:E10"/>
    <mergeCell ref="A7:H7"/>
    <mergeCell ref="B16:H16"/>
    <mergeCell ref="B64:J64"/>
    <mergeCell ref="B9:B10"/>
    <mergeCell ref="D9:D10"/>
    <mergeCell ref="B12:H12"/>
    <mergeCell ref="B63:J63"/>
    <mergeCell ref="B70:H70"/>
    <mergeCell ref="D6:J6"/>
    <mergeCell ref="F9:G9"/>
    <mergeCell ref="A4:H4"/>
    <mergeCell ref="A9:A10"/>
    <mergeCell ref="A6:C6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172" min="1" max="1"/>
    <col width="14.85546875" customWidth="1" style="172" min="2" max="2"/>
    <col width="39.140625" customWidth="1" style="172" min="3" max="3"/>
    <col width="8.28515625" customWidth="1" style="172" min="4" max="4"/>
    <col width="13.5703125" customWidth="1" style="172" min="5" max="5"/>
    <col width="12.42578125" customWidth="1" style="172" min="6" max="6"/>
    <col width="14.140625" customWidth="1" style="172" min="7" max="7"/>
  </cols>
  <sheetData>
    <row r="1">
      <c r="A1" s="238" t="inlineStr">
        <is>
          <t>Приложение №6</t>
        </is>
      </c>
    </row>
    <row r="2">
      <c r="A2" s="238" t="n"/>
      <c r="B2" s="238" t="n"/>
      <c r="C2" s="238" t="n"/>
      <c r="D2" s="238" t="n"/>
      <c r="E2" s="238" t="n"/>
      <c r="F2" s="238" t="n"/>
      <c r="G2" s="238" t="n"/>
    </row>
    <row r="3">
      <c r="A3" s="214" t="inlineStr">
        <is>
          <t>Расчет стоимости оборудования</t>
        </is>
      </c>
    </row>
    <row r="4">
      <c r="A4" s="237">
        <f>'Прил.1 Сравнит табл'!B7</f>
        <v/>
      </c>
    </row>
    <row r="5">
      <c r="A5" s="164" t="n"/>
      <c r="B5" s="164" t="n"/>
      <c r="C5" s="164" t="n"/>
      <c r="D5" s="164" t="n"/>
      <c r="E5" s="164" t="n"/>
      <c r="F5" s="164" t="n"/>
      <c r="G5" s="164" t="n"/>
    </row>
    <row r="6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21" t="inlineStr">
        <is>
          <t>Кол-во единиц по проектным данным</t>
        </is>
      </c>
      <c r="F6" s="239" t="inlineStr">
        <is>
          <t>Сметная стоимость в ценах на 01.01.2000 (руб.)</t>
        </is>
      </c>
      <c r="G6" s="241" t="n"/>
    </row>
    <row r="7">
      <c r="A7" s="243" t="n"/>
      <c r="B7" s="243" t="n"/>
      <c r="C7" s="243" t="n"/>
      <c r="D7" s="243" t="n"/>
      <c r="E7" s="243" t="n"/>
      <c r="F7" s="221" t="inlineStr">
        <is>
          <t>на ед. изм.</t>
        </is>
      </c>
      <c r="G7" s="221" t="inlineStr">
        <is>
          <t>общая</t>
        </is>
      </c>
    </row>
    <row r="8">
      <c r="A8" s="221" t="n">
        <v>1</v>
      </c>
      <c r="B8" s="221" t="n">
        <v>2</v>
      </c>
      <c r="C8" s="221" t="n">
        <v>3</v>
      </c>
      <c r="D8" s="221" t="n">
        <v>4</v>
      </c>
      <c r="E8" s="221" t="n">
        <v>5</v>
      </c>
      <c r="F8" s="221" t="n">
        <v>6</v>
      </c>
      <c r="G8" s="221" t="n">
        <v>7</v>
      </c>
    </row>
    <row r="9">
      <c r="A9" s="42" t="n"/>
      <c r="B9" s="220" t="inlineStr">
        <is>
          <t>ИНЖЕНЕРНОЕ ОБОРУДОВАНИЕ</t>
        </is>
      </c>
      <c r="C9" s="240" t="n"/>
      <c r="D9" s="240" t="n"/>
      <c r="E9" s="240" t="n"/>
      <c r="F9" s="240" t="n"/>
      <c r="G9" s="241" t="n"/>
    </row>
    <row r="10">
      <c r="A10" s="221" t="n"/>
      <c r="B10" s="209" t="n"/>
      <c r="C10" s="220" t="inlineStr">
        <is>
          <t>ИТОГО ИНЖЕНЕРНОЕ ОБОРУДОВАНИЕ</t>
        </is>
      </c>
      <c r="D10" s="209" t="n"/>
      <c r="E10" s="9" t="n"/>
      <c r="F10" s="223" t="n"/>
      <c r="G10" s="223" t="n">
        <v>0</v>
      </c>
    </row>
    <row r="11">
      <c r="A11" s="221" t="n"/>
      <c r="B11" s="220" t="inlineStr">
        <is>
          <t>ТЕХНОЛОГИЧЕСКОЕ ОБОРУДОВАНИЕ</t>
        </is>
      </c>
      <c r="C11" s="240" t="n"/>
      <c r="D11" s="240" t="n"/>
      <c r="E11" s="240" t="n"/>
      <c r="F11" s="240" t="n"/>
      <c r="G11" s="241" t="n"/>
    </row>
    <row r="12" ht="25.5" customHeight="1" s="172">
      <c r="A12" s="221" t="n"/>
      <c r="B12" s="13" t="n"/>
      <c r="C12" s="13" t="inlineStr">
        <is>
          <t>ИТОГО ТЕХНОЛОГИЧЕСКОЕ ОБОРУДОВАНИЕ</t>
        </is>
      </c>
      <c r="D12" s="13" t="n"/>
      <c r="E12" s="14" t="n"/>
      <c r="F12" s="223" t="n"/>
      <c r="G12" s="140" t="n">
        <v>0</v>
      </c>
    </row>
    <row r="13">
      <c r="A13" s="221" t="n"/>
      <c r="B13" s="220" t="n"/>
      <c r="C13" s="220" t="inlineStr">
        <is>
          <t>Всего по разделу «Оборудование»</t>
        </is>
      </c>
      <c r="D13" s="220" t="n"/>
      <c r="E13" s="236" t="n"/>
      <c r="F13" s="223" t="n"/>
      <c r="G13" s="140" t="n">
        <v>0</v>
      </c>
    </row>
    <row r="14">
      <c r="A14" s="168" t="n"/>
      <c r="B14" s="169" t="n"/>
      <c r="C14" s="168" t="n"/>
      <c r="D14" s="168" t="n"/>
      <c r="E14" s="168" t="n"/>
      <c r="F14" s="168" t="n"/>
      <c r="G14" s="168" t="n"/>
    </row>
    <row r="15" s="172">
      <c r="A15" s="164" t="inlineStr">
        <is>
          <t>Составил ______________________       А.Р. Маркова</t>
        </is>
      </c>
      <c r="B15" s="170" t="n"/>
      <c r="D15" s="168" t="n"/>
      <c r="E15" s="168" t="n"/>
      <c r="F15" s="168" t="n"/>
      <c r="G15" s="168" t="n"/>
    </row>
    <row r="16" s="172">
      <c r="A16" s="171" t="inlineStr">
        <is>
          <t xml:space="preserve">                         (подпись, инициалы, фамилия)</t>
        </is>
      </c>
      <c r="B16" s="170" t="n"/>
      <c r="D16" s="168" t="n"/>
      <c r="E16" s="168" t="n"/>
      <c r="F16" s="168" t="n"/>
      <c r="G16" s="168" t="n"/>
    </row>
    <row r="17" s="172">
      <c r="A17" s="164" t="n"/>
      <c r="B17" s="170" t="n"/>
      <c r="C17" s="170" t="n"/>
      <c r="D17" s="168" t="n"/>
      <c r="E17" s="168" t="n"/>
      <c r="F17" s="168" t="n"/>
      <c r="G17" s="168" t="n"/>
    </row>
    <row r="18" s="172">
      <c r="A18" s="164" t="inlineStr">
        <is>
          <t>Проверил ______________________        А.В. Костянецкая</t>
        </is>
      </c>
      <c r="B18" s="170" t="n"/>
      <c r="C18" s="170" t="n"/>
      <c r="D18" s="168" t="n"/>
      <c r="E18" s="168" t="n"/>
      <c r="F18" s="168" t="n"/>
      <c r="G18" s="168" t="n"/>
    </row>
    <row r="19" s="172">
      <c r="A19" s="171" t="inlineStr">
        <is>
          <t xml:space="preserve">                        (подпись, инициалы, фамилия)</t>
        </is>
      </c>
      <c r="B19" s="170" t="n"/>
      <c r="C19" s="170" t="n"/>
      <c r="D19" s="168" t="n"/>
      <c r="E19" s="168" t="n"/>
      <c r="F19" s="168" t="n"/>
      <c r="G19" s="16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72" min="1" max="1"/>
    <col width="29.7109375" customWidth="1" style="172" min="2" max="2"/>
    <col width="39.140625" customWidth="1" style="172" min="3" max="3"/>
    <col width="24.5703125" customWidth="1" style="172" min="4" max="4"/>
    <col width="8.85546875" customWidth="1" style="172" min="5" max="5"/>
  </cols>
  <sheetData>
    <row r="1">
      <c r="B1" s="164" t="n"/>
      <c r="C1" s="164" t="n"/>
      <c r="D1" s="238" t="inlineStr">
        <is>
          <t>Приложение №7</t>
        </is>
      </c>
    </row>
    <row r="2">
      <c r="A2" s="238" t="n"/>
      <c r="B2" s="238" t="n"/>
      <c r="C2" s="238" t="n"/>
      <c r="D2" s="238" t="n"/>
    </row>
    <row r="3" ht="24.75" customHeight="1" s="172">
      <c r="A3" s="214" t="inlineStr">
        <is>
          <t>Расчет показателя УНЦ</t>
        </is>
      </c>
    </row>
    <row r="4" ht="24.75" customHeight="1" s="172">
      <c r="A4" s="214" t="n"/>
      <c r="B4" s="214" t="n"/>
      <c r="C4" s="214" t="n"/>
      <c r="D4" s="214" t="n"/>
    </row>
    <row r="5" ht="24.6" customHeight="1" s="172">
      <c r="A5" s="219" t="inlineStr">
        <is>
          <t xml:space="preserve">Наименование разрабатываемого показателя УНЦ - </t>
        </is>
      </c>
      <c r="D5" s="219">
        <f>'Прил.5 Расчет СМР и ОБ'!D6:J6</f>
        <v/>
      </c>
    </row>
    <row r="6" ht="19.9" customHeight="1" s="172">
      <c r="A6" s="219" t="inlineStr">
        <is>
          <t>Единица измерения  — 1 ячейка</t>
        </is>
      </c>
      <c r="D6" s="219" t="n"/>
    </row>
    <row r="7">
      <c r="A7" s="164" t="n"/>
      <c r="B7" s="164" t="n"/>
      <c r="C7" s="164" t="n"/>
      <c r="D7" s="164" t="n"/>
    </row>
    <row r="8" ht="14.45" customHeight="1" s="172">
      <c r="A8" s="204" t="inlineStr">
        <is>
          <t>Код показателя</t>
        </is>
      </c>
      <c r="B8" s="204" t="inlineStr">
        <is>
          <t>Наименование показателя</t>
        </is>
      </c>
      <c r="C8" s="204" t="inlineStr">
        <is>
          <t>Наименование РМ, входящих в состав показателя</t>
        </is>
      </c>
      <c r="D8" s="204" t="inlineStr">
        <is>
          <t>Норматив цены на 01.01.2023, тыс.руб.</t>
        </is>
      </c>
    </row>
    <row r="9" ht="15" customHeight="1" s="172">
      <c r="A9" s="243" t="n"/>
      <c r="B9" s="243" t="n"/>
      <c r="C9" s="243" t="n"/>
      <c r="D9" s="243" t="n"/>
    </row>
    <row r="10">
      <c r="A10" s="221" t="n">
        <v>1</v>
      </c>
      <c r="B10" s="221" t="n">
        <v>2</v>
      </c>
      <c r="C10" s="221" t="n">
        <v>3</v>
      </c>
      <c r="D10" s="221" t="n">
        <v>4</v>
      </c>
    </row>
    <row r="11" ht="41.45" customHeight="1" s="172">
      <c r="A11" s="221" t="inlineStr">
        <is>
          <t>М6-01-5</t>
        </is>
      </c>
      <c r="B11" s="221" t="inlineStr">
        <is>
          <t>УНЦ на демонтажные работы ПС</t>
        </is>
      </c>
      <c r="C11" s="166">
        <f>D5</f>
        <v/>
      </c>
      <c r="D11" s="167">
        <f>'Прил.4 РМ'!C41/1000</f>
        <v/>
      </c>
      <c r="E11" s="21" t="n"/>
    </row>
    <row r="12">
      <c r="A12" s="168" t="n"/>
      <c r="B12" s="169" t="n"/>
      <c r="C12" s="168" t="n"/>
      <c r="D12" s="168" t="n"/>
    </row>
    <row r="13">
      <c r="A13" s="164" t="inlineStr">
        <is>
          <t>Составил ______________________        А.Р. Маркова</t>
        </is>
      </c>
      <c r="B13" s="170" t="n"/>
      <c r="C13" s="170" t="n"/>
      <c r="D13" s="168" t="n"/>
    </row>
    <row r="14">
      <c r="A14" s="171" t="inlineStr">
        <is>
          <t xml:space="preserve">                         (подпись, инициалы, фамилия)</t>
        </is>
      </c>
      <c r="B14" s="170" t="n"/>
      <c r="C14" s="170" t="n"/>
      <c r="D14" s="168" t="n"/>
    </row>
    <row r="15">
      <c r="A15" s="164" t="n"/>
      <c r="B15" s="170" t="n"/>
      <c r="C15" s="170" t="n"/>
      <c r="D15" s="168" t="n"/>
    </row>
    <row r="16">
      <c r="A16" s="164" t="inlineStr">
        <is>
          <t>Проверил ______________________        А.В. Костянецкая</t>
        </is>
      </c>
      <c r="B16" s="170" t="n"/>
      <c r="C16" s="170" t="n"/>
      <c r="D16" s="168" t="n"/>
    </row>
    <row r="17">
      <c r="A17" s="171" t="inlineStr">
        <is>
          <t xml:space="preserve">                        (подпись, инициалы, фамилия)</t>
        </is>
      </c>
      <c r="B17" s="170" t="n"/>
      <c r="C17" s="170" t="n"/>
      <c r="D17" s="16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25"/>
  <sheetViews>
    <sheetView view="pageBreakPreview" topLeftCell="A13" zoomScale="60" zoomScaleNormal="100" workbookViewId="0">
      <selection activeCell="D22" sqref="D22"/>
    </sheetView>
  </sheetViews>
  <sheetFormatPr baseColWidth="8" defaultRowHeight="15"/>
  <cols>
    <col width="40.7109375" customWidth="1" style="172" min="2" max="2"/>
    <col width="37" customWidth="1" style="172" min="3" max="3"/>
    <col width="32" customWidth="1" style="172" min="4" max="4"/>
  </cols>
  <sheetData>
    <row r="4" ht="15.75" customHeight="1" s="172">
      <c r="B4" s="199" t="inlineStr">
        <is>
          <t>Приложение № 10</t>
        </is>
      </c>
    </row>
    <row r="5" ht="18.75" customHeight="1" s="172">
      <c r="B5" s="22" t="n"/>
    </row>
    <row r="6" ht="15.75" customHeight="1" s="172">
      <c r="B6" s="202" t="inlineStr">
        <is>
          <t>Используемые индексы изменений сметной стоимости и нормы сопутствующих затрат</t>
        </is>
      </c>
    </row>
    <row r="7" ht="18.75" customHeight="1" s="172">
      <c r="B7" s="63" t="n"/>
    </row>
    <row r="8" ht="47.25" customHeight="1" s="172">
      <c r="B8" s="204" t="inlineStr">
        <is>
          <t>Наименование индекса / норм сопутствующих затрат</t>
        </is>
      </c>
      <c r="C8" s="204" t="inlineStr">
        <is>
          <t>Дата применения и обоснование индекса / норм сопутствующих затрат</t>
        </is>
      </c>
      <c r="D8" s="204" t="inlineStr">
        <is>
          <t>Размер индекса / норма сопутствующих затрат</t>
        </is>
      </c>
    </row>
    <row r="9" ht="15.75" customHeight="1" s="172">
      <c r="B9" s="204" t="n">
        <v>1</v>
      </c>
      <c r="C9" s="204" t="n">
        <v>2</v>
      </c>
      <c r="D9" s="204" t="n">
        <v>3</v>
      </c>
    </row>
    <row r="10" ht="45" customHeight="1" s="172">
      <c r="B10" s="204" t="inlineStr">
        <is>
          <t xml:space="preserve">Индекс изменения сметной стоимости на 1 квартал 2023 года. ОЗП </t>
        </is>
      </c>
      <c r="C10" s="204" t="inlineStr">
        <is>
          <t>Письмо Минстроя России от 30.03.2023г. №17106-ИФ/09  прил.1</t>
        </is>
      </c>
      <c r="D10" s="204" t="n">
        <v>44.29</v>
      </c>
    </row>
    <row r="11" ht="29.25" customHeight="1" s="172">
      <c r="B11" s="204" t="inlineStr">
        <is>
          <t>Индекс изменения сметной стоимости на 1 квартал 2023 года. ЭМ</t>
        </is>
      </c>
      <c r="C11" s="204" t="inlineStr">
        <is>
          <t>Письмо Минстроя России от 30.03.2023г. №17106-ИФ/09  прил.1</t>
        </is>
      </c>
      <c r="D11" s="204" t="n">
        <v>13.47</v>
      </c>
    </row>
    <row r="12" ht="29.25" customHeight="1" s="172">
      <c r="B12" s="204" t="inlineStr">
        <is>
          <t>Индекс изменения сметной стоимости на 1 квартал 2023 года. МАТ</t>
        </is>
      </c>
      <c r="C12" s="204" t="inlineStr">
        <is>
          <t>Письмо Минстроя России от 30.03.2023г. №17106-ИФ/09  прил.1</t>
        </is>
      </c>
      <c r="D12" s="204" t="n">
        <v>8.039999999999999</v>
      </c>
    </row>
    <row r="13" ht="30.75" customHeight="1" s="172">
      <c r="B13" s="204" t="inlineStr">
        <is>
          <t>Индекс изменения сметной стоимости на 1 квартал 2023 года. ОБ</t>
        </is>
      </c>
      <c r="C13" s="66" t="inlineStr">
        <is>
          <t>Письмо Минстроя России от 23.02.2023г. №9791-ИФ/09 прил.6</t>
        </is>
      </c>
      <c r="D13" s="204" t="n">
        <v>6.26</v>
      </c>
    </row>
    <row r="14" ht="89.25" customHeight="1" s="172">
      <c r="B14" s="204" t="inlineStr">
        <is>
          <t>Временные здания и сооружения</t>
        </is>
      </c>
      <c r="C14" s="20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33" t="n">
        <v>0.039</v>
      </c>
    </row>
    <row r="15" ht="78.75" customHeight="1" s="172">
      <c r="B15" s="204" t="inlineStr">
        <is>
          <t>Дополнительные затраты при производстве строительно-монтажных работ в зимнее время</t>
        </is>
      </c>
      <c r="C15" s="20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33" t="n">
        <v>0.021</v>
      </c>
    </row>
    <row r="16" ht="34.5" customHeight="1" s="172">
      <c r="B16" s="204" t="n"/>
      <c r="C16" s="204" t="n"/>
      <c r="D16" s="204" t="n"/>
    </row>
    <row r="17" ht="31.5" customHeight="1" s="172">
      <c r="B17" s="204" t="inlineStr">
        <is>
          <t>Строительный контроль</t>
        </is>
      </c>
      <c r="C17" s="204" t="inlineStr">
        <is>
          <t>Постановление Правительства РФ от 21.06.10 г. № 468</t>
        </is>
      </c>
      <c r="D17" s="33" t="n">
        <v>0.0214</v>
      </c>
    </row>
    <row r="18" ht="31.5" customHeight="1" s="172">
      <c r="B18" s="204" t="inlineStr">
        <is>
          <t>Авторский надзор - 0,2%</t>
        </is>
      </c>
      <c r="C18" s="204" t="inlineStr">
        <is>
          <t>Приказ от 4.08.2020 № 421/пр п.173</t>
        </is>
      </c>
      <c r="D18" s="33" t="n">
        <v>0.002</v>
      </c>
    </row>
    <row r="19" ht="24" customHeight="1" s="172">
      <c r="B19" s="204" t="inlineStr">
        <is>
          <t>Непредвиденные расходы</t>
        </is>
      </c>
      <c r="C19" s="204" t="inlineStr">
        <is>
          <t>Приказ от 4.08.2020 № 421/пр п.179</t>
        </is>
      </c>
      <c r="D19" s="33" t="n">
        <v>0.03</v>
      </c>
    </row>
    <row r="20" ht="18.75" customHeight="1" s="172">
      <c r="B20" s="63" t="n"/>
    </row>
    <row r="21">
      <c r="B21" s="164" t="inlineStr">
        <is>
          <t>Составил ______________________       А.Р. Маркова</t>
        </is>
      </c>
      <c r="C21" s="170" t="n"/>
    </row>
    <row r="22">
      <c r="B22" s="171" t="inlineStr">
        <is>
          <t xml:space="preserve">                         (подпись, инициалы, фамилия)</t>
        </is>
      </c>
      <c r="C22" s="170" t="n"/>
    </row>
    <row r="23">
      <c r="B23" s="164" t="n"/>
      <c r="C23" s="170" t="n"/>
    </row>
    <row r="24">
      <c r="B24" s="164" t="inlineStr">
        <is>
          <t>Проверил ______________________        А.В. Костянецкая</t>
        </is>
      </c>
      <c r="C24" s="170" t="n"/>
    </row>
    <row r="25">
      <c r="B25" s="171" t="inlineStr">
        <is>
          <t xml:space="preserve">                        (подпись, инициалы, фамилия)</t>
        </is>
      </c>
      <c r="C25" s="17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53.7109375" bestFit="1" customWidth="1" style="172" min="6" max="6"/>
  </cols>
  <sheetData>
    <row r="1" s="172"/>
    <row r="2" ht="17.25" customHeight="1" s="172">
      <c r="A2" s="202" t="inlineStr">
        <is>
          <t>Расчет размера средств на оплату труда рабочих-строителей в текущем уровне цен (ФОТр.тек.)</t>
        </is>
      </c>
    </row>
    <row r="3" s="172"/>
    <row r="4" ht="18" customHeight="1" s="172">
      <c r="A4" s="173" t="inlineStr">
        <is>
          <t>Составлен в уровне цен на 01.01.2023 г.</t>
        </is>
      </c>
      <c r="B4" s="174" t="n"/>
      <c r="C4" s="174" t="n"/>
      <c r="D4" s="174" t="n"/>
      <c r="E4" s="174" t="n"/>
      <c r="F4" s="174" t="n"/>
      <c r="G4" s="174" t="n"/>
    </row>
    <row r="5" ht="15.75" customHeight="1" s="172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174" t="n"/>
    </row>
    <row r="6" ht="15.75" customHeight="1" s="172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174" t="n"/>
    </row>
    <row r="7" ht="110.25" customHeight="1" s="172">
      <c r="A7" s="176" t="inlineStr">
        <is>
          <t>1.1</t>
        </is>
      </c>
      <c r="B7" s="18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4" t="inlineStr">
        <is>
          <t>С1ср</t>
        </is>
      </c>
      <c r="D7" s="204" t="inlineStr">
        <is>
          <t>-</t>
        </is>
      </c>
      <c r="E7" s="179" t="n">
        <v>47872.94</v>
      </c>
      <c r="F7" s="18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4" t="n"/>
    </row>
    <row r="8" ht="31.5" customHeight="1" s="172">
      <c r="A8" s="176" t="inlineStr">
        <is>
          <t>1.2</t>
        </is>
      </c>
      <c r="B8" s="181" t="inlineStr">
        <is>
          <t>Среднегодовое нормативное число часов работы одного рабочего в месяц, часы (ч.)</t>
        </is>
      </c>
      <c r="C8" s="204" t="inlineStr">
        <is>
          <t>tср</t>
        </is>
      </c>
      <c r="D8" s="204" t="inlineStr">
        <is>
          <t>1973ч/12мес.</t>
        </is>
      </c>
      <c r="E8" s="180">
        <f>1973/12</f>
        <v/>
      </c>
      <c r="F8" s="181" t="inlineStr">
        <is>
          <t>Производственный календарь 2023 год
(40-часов.неделя)</t>
        </is>
      </c>
      <c r="G8" s="183" t="n"/>
    </row>
    <row r="9" ht="15.75" customHeight="1" s="172">
      <c r="A9" s="176" t="inlineStr">
        <is>
          <t>1.3</t>
        </is>
      </c>
      <c r="B9" s="181" t="inlineStr">
        <is>
          <t>Коэффициент увеличения</t>
        </is>
      </c>
      <c r="C9" s="204" t="inlineStr">
        <is>
          <t>Кув</t>
        </is>
      </c>
      <c r="D9" s="204" t="inlineStr">
        <is>
          <t>-</t>
        </is>
      </c>
      <c r="E9" s="180" t="n">
        <v>1</v>
      </c>
      <c r="F9" s="181" t="n"/>
      <c r="G9" s="183" t="n"/>
    </row>
    <row r="10" ht="15.75" customHeight="1" s="172">
      <c r="A10" s="176" t="inlineStr">
        <is>
          <t>1.4</t>
        </is>
      </c>
      <c r="B10" s="181" t="inlineStr">
        <is>
          <t>Средний разряд работ</t>
        </is>
      </c>
      <c r="C10" s="204" t="n"/>
      <c r="D10" s="204" t="n"/>
      <c r="E10" s="259" t="n">
        <v>4.2</v>
      </c>
      <c r="F10" s="181" t="inlineStr">
        <is>
          <t>РТМ</t>
        </is>
      </c>
      <c r="G10" s="183" t="n"/>
    </row>
    <row r="11" ht="78.75" customHeight="1" s="172">
      <c r="A11" s="176" t="inlineStr">
        <is>
          <t>1.5</t>
        </is>
      </c>
      <c r="B11" s="181" t="inlineStr">
        <is>
          <t>Тарифный коэффициент среднего разряда работ</t>
        </is>
      </c>
      <c r="C11" s="204" t="inlineStr">
        <is>
          <t>КТ</t>
        </is>
      </c>
      <c r="D11" s="204" t="inlineStr">
        <is>
          <t>-</t>
        </is>
      </c>
      <c r="E11" s="260" t="n">
        <v>1.38</v>
      </c>
      <c r="F11" s="18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4" t="n"/>
    </row>
    <row r="12" ht="78.75" customHeight="1" s="172">
      <c r="A12" s="186" t="inlineStr">
        <is>
          <t>1.6</t>
        </is>
      </c>
      <c r="B12" s="190" t="inlineStr">
        <is>
          <t>Коэффициент инфляции, определяемый поквартально</t>
        </is>
      </c>
      <c r="C12" s="187" t="inlineStr">
        <is>
          <t>Кинф</t>
        </is>
      </c>
      <c r="D12" s="187" t="inlineStr">
        <is>
          <t>-</t>
        </is>
      </c>
      <c r="E12" s="261" t="n">
        <v>1.139</v>
      </c>
      <c r="F12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2">
      <c r="A13" s="193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195" t="inlineStr">
        <is>
          <t>ФОТр.тек.</t>
        </is>
      </c>
      <c r="D13" s="195" t="inlineStr">
        <is>
          <t>(С1ср/tср*КТ*Т*Кув)*Кинф</t>
        </is>
      </c>
      <c r="E13" s="196">
        <f>((E7*E9/E8)*E11)*E12</f>
        <v/>
      </c>
      <c r="F13" s="19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2025-01-24T12:11:31Z</dcterms:modified>
  <cp:lastModifiedBy>Николай Трофименко</cp:lastModifiedBy>
  <cp:lastPrinted>2023-11-29T08:40:36Z</cp:lastPrinted>
</cp:coreProperties>
</file>