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ОБ'!$A$1:$J$72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6">{#N/A,#N/A,FALSE,"Aging Summary";#N/A,#N/A,FALSE,"Ratio Analysis";#N/A,#N/A,FALSE,"Test 120 Day Accts";#N/A,#N/A,FALSE,"Tickmarks"}</definedName>
    <definedName name="корр" localSheetId="6">{#N/A,#N/A,FALSE,"Шаблон_Спец1"}</definedName>
    <definedName name="мил" localSheetId="6">{0,"овz";1,"z";2,"аz";5,"овz"}</definedName>
    <definedName name="нр" localSheetId="6">#REF!</definedName>
    <definedName name="Нсапк" localSheetId="6">#REF!</definedName>
    <definedName name="Нсстр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С" localSheetId="6">{#N/A,#N/A,FALSE,"Шаблон_Спец1"}</definedName>
    <definedName name="тыс" localSheetId="6">{0,"тысячz";1,"тысячаz";2,"тысячиz";5,"тысячz"}</definedName>
    <definedName name="ЭКСПО" localSheetId="6">#REF!</definedName>
    <definedName name="ЭКСПОФОРУМ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9">
    <numFmt numFmtId="164" formatCode="_-* #,##0.0\ _₽_-;\-* #,##0.0\ _₽_-;_-* &quot;-&quot;??\ _₽_-;_-@_-"/>
    <numFmt numFmtId="165" formatCode="0.0_ ;\-0.0\ "/>
    <numFmt numFmtId="166" formatCode="0.0000"/>
    <numFmt numFmtId="167" formatCode="#,##0.00_ ;\-#,##0.00\ "/>
    <numFmt numFmtId="168" formatCode="0.000"/>
    <numFmt numFmtId="169" formatCode="#,##0.0000"/>
    <numFmt numFmtId="170" formatCode="#,##0.00000"/>
    <numFmt numFmtId="171" formatCode="#,##0.0"/>
    <numFmt numFmtId="172" formatCode="#,##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Calibri"/>
      <color rgb="FF000000"/>
      <sz val="12"/>
    </font>
    <font>
      <name val="Arial"/>
      <color rgb="FF000000"/>
      <sz val="8"/>
    </font>
    <font>
      <name val="Calibri"/>
      <color rgb="FFBFBFBF"/>
      <sz val="11"/>
    </font>
    <font>
      <name val="Calibri"/>
      <b val="1"/>
      <color rgb="FF000000"/>
      <sz val="12"/>
    </font>
    <font>
      <name val="Arial"/>
      <color rgb="FFFF0000"/>
      <sz val="11"/>
    </font>
    <font>
      <name val="Times New Roman"/>
      <color rgb="FF000000"/>
      <sz val="10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Times New Roman"/>
      <b val="1"/>
      <color rgb="FF000000"/>
      <sz val="12"/>
    </font>
    <font>
      <name val="Calibri"/>
      <b val="1"/>
      <color rgb="FF000000"/>
      <sz val="11"/>
    </font>
    <font>
      <name val="Arial"/>
      <b val="1"/>
      <color rgb="FF000000"/>
      <sz val="10"/>
      <u val="single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4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6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43" fontId="1" fillId="0" borderId="0" pivotButton="0" quotePrefix="0" xfId="0"/>
    <xf numFmtId="0" fontId="1" fillId="0" borderId="0" pivotButton="0" quotePrefix="0" xfId="0"/>
    <xf numFmtId="10" fontId="1" fillId="0" borderId="0" pivotButton="0" quotePrefix="0" xfId="0"/>
    <xf numFmtId="4" fontId="1" fillId="0" borderId="0" pivotButton="0" quotePrefix="0" xfId="0"/>
    <xf numFmtId="0" fontId="4" fillId="0" borderId="0" pivotButton="0" quotePrefix="0" xfId="0"/>
    <xf numFmtId="164" fontId="7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165" fontId="8" fillId="2" borderId="0" pivotButton="0" quotePrefix="0" xfId="0"/>
    <xf numFmtId="0" fontId="6" fillId="0" borderId="0" applyAlignment="1" pivotButton="0" quotePrefix="0" xfId="0">
      <alignment horizontal="right"/>
    </xf>
    <xf numFmtId="0" fontId="0" fillId="3" borderId="3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/>
    </xf>
    <xf numFmtId="0" fontId="0" fillId="3" borderId="3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166" fontId="0" fillId="4" borderId="6" applyAlignment="1" pivotButton="0" quotePrefix="0" xfId="0">
      <alignment horizontal="center" vertical="center"/>
    </xf>
    <xf numFmtId="166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6" fontId="0" fillId="4" borderId="9" applyAlignment="1" pivotButton="0" quotePrefix="0" xfId="0">
      <alignment horizontal="center" vertical="center"/>
    </xf>
    <xf numFmtId="166" fontId="0" fillId="0" borderId="9" applyAlignment="1" pivotButton="0" quotePrefix="0" xfId="0">
      <alignment horizontal="center" vertical="center"/>
    </xf>
    <xf numFmtId="166" fontId="0" fillId="4" borderId="4" applyAlignment="1" pivotButton="0" quotePrefix="0" xfId="0">
      <alignment horizontal="center" vertical="center"/>
    </xf>
    <xf numFmtId="166" fontId="0" fillId="0" borderId="4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6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9" fillId="0" borderId="0" pivotButton="0" quotePrefix="0" xfId="0"/>
    <xf numFmtId="0" fontId="2" fillId="0" borderId="0" pivotButton="0" quotePrefix="0" xfId="0"/>
    <xf numFmtId="0" fontId="10" fillId="0" borderId="0" applyAlignment="1" pivotButton="0" quotePrefix="0" xfId="0">
      <alignment vertical="center"/>
    </xf>
    <xf numFmtId="167" fontId="11" fillId="0" borderId="0" pivotButton="0" quotePrefix="0" xfId="0"/>
    <xf numFmtId="0" fontId="0" fillId="0" borderId="0" pivotButton="0" quotePrefix="0" xfId="0"/>
    <xf numFmtId="0" fontId="12" fillId="0" borderId="1" applyAlignment="1" pivotButton="0" quotePrefix="0" xfId="0">
      <alignment vertical="center" wrapText="1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3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6" fillId="2" borderId="1" applyAlignment="1" pivotButton="0" quotePrefix="0" xfId="0">
      <alignment horizontal="center" vertical="center" wrapText="1"/>
    </xf>
    <xf numFmtId="0" fontId="9" fillId="2" borderId="1" applyAlignment="1" pivotButton="0" quotePrefix="0" xfId="0">
      <alignment horizontal="center" vertical="center" wrapText="1"/>
    </xf>
    <xf numFmtId="43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top" wrapText="1"/>
    </xf>
    <xf numFmtId="0" fontId="0" fillId="2" borderId="1" applyAlignment="1" pivotButton="0" quotePrefix="0" xfId="0">
      <alignment horizontal="center"/>
    </xf>
    <xf numFmtId="0" fontId="2" fillId="2" borderId="1" applyAlignment="1" pivotButton="0" quotePrefix="0" xfId="0">
      <alignment horizontal="left" vertical="top" wrapText="1"/>
    </xf>
    <xf numFmtId="0" fontId="2" fillId="2" borderId="1" applyAlignment="1" pivotButton="0" quotePrefix="0" xfId="0">
      <alignment horizontal="center" vertical="top" wrapText="1"/>
    </xf>
    <xf numFmtId="168" fontId="2" fillId="2" borderId="1" applyAlignment="1" pivotButton="0" quotePrefix="0" xfId="0">
      <alignment horizontal="center" vertical="top" wrapText="1"/>
    </xf>
    <xf numFmtId="4" fontId="2" fillId="2" borderId="1" applyAlignment="1" pivotButton="0" quotePrefix="0" xfId="0">
      <alignment horizontal="right" vertical="top" wrapText="1"/>
    </xf>
    <xf numFmtId="4" fontId="2" fillId="2" borderId="1" applyAlignment="1" pivotButton="0" quotePrefix="0" xfId="0">
      <alignment horizontal="right" vertical="top" wrapText="1"/>
    </xf>
    <xf numFmtId="1" fontId="2" fillId="2" borderId="1" applyAlignment="1" pivotButton="0" quotePrefix="0" xfId="0">
      <alignment horizontal="center" vertical="top" wrapText="1"/>
    </xf>
    <xf numFmtId="49" fontId="2" fillId="2" borderId="1" applyAlignment="1" pivotButton="0" quotePrefix="0" xfId="0">
      <alignment horizontal="center" vertical="top" wrapText="1"/>
    </xf>
    <xf numFmtId="0" fontId="2" fillId="2" borderId="1" applyAlignment="1" pivotButton="0" quotePrefix="0" xfId="0">
      <alignment horizontal="left" vertical="top" wrapText="1"/>
    </xf>
    <xf numFmtId="0" fontId="2" fillId="2" borderId="1" applyAlignment="1" pivotButton="0" quotePrefix="0" xfId="0">
      <alignment horizontal="center" vertical="top" wrapText="1"/>
    </xf>
    <xf numFmtId="43" fontId="2" fillId="2" borderId="1" applyAlignment="1" pivotButton="0" quotePrefix="0" xfId="0">
      <alignment horizontal="right" vertical="top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top" wrapText="1"/>
    </xf>
    <xf numFmtId="2" fontId="2" fillId="2" borderId="1" applyAlignment="1" pivotButton="0" quotePrefix="0" xfId="0">
      <alignment horizontal="center" vertical="top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69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170" fontId="2" fillId="2" borderId="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2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69" fontId="2" fillId="0" borderId="1" applyAlignment="1" pivotButton="0" quotePrefix="0" xfId="0">
      <alignment horizontal="center" vertical="center" wrapText="1"/>
    </xf>
    <xf numFmtId="10" fontId="2" fillId="0" borderId="7" applyAlignment="1" pivotButton="0" quotePrefix="0" xfId="0">
      <alignment horizontal="right" vertical="center" wrapText="1"/>
    </xf>
    <xf numFmtId="0" fontId="1" fillId="0" borderId="1" pivotButton="0" quotePrefix="0" xfId="0"/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69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66" fontId="2" fillId="2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10" fontId="14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1" fontId="2" fillId="2" borderId="1" applyAlignment="1" pivotButton="0" quotePrefix="0" xfId="0">
      <alignment horizontal="center" vertical="top" wrapText="1"/>
    </xf>
    <xf numFmtId="0" fontId="3" fillId="2" borderId="1" applyAlignment="1" pivotButton="0" quotePrefix="0" xfId="0">
      <alignment horizontal="left" vertical="center" wrapText="1"/>
    </xf>
    <xf numFmtId="49" fontId="2" fillId="2" borderId="1" applyAlignment="1" pivotButton="0" quotePrefix="0" xfId="0">
      <alignment horizontal="center" vertical="top" wrapText="1"/>
    </xf>
    <xf numFmtId="49" fontId="2" fillId="2" borderId="1" applyAlignment="1" pivotButton="0" quotePrefix="0" xfId="0">
      <alignment horizontal="left" vertical="top" wrapText="1"/>
    </xf>
    <xf numFmtId="4" fontId="2" fillId="2" borderId="1" applyAlignment="1" pivotButton="0" quotePrefix="0" xfId="0">
      <alignment horizontal="right" vertical="top" wrapText="1"/>
    </xf>
    <xf numFmtId="0" fontId="2" fillId="2" borderId="1" applyAlignment="1" pivotButton="0" quotePrefix="0" xfId="0">
      <alignment horizontal="left" vertical="top" wrapText="1"/>
    </xf>
    <xf numFmtId="0" fontId="2" fillId="2" borderId="1" applyAlignment="1" pivotButton="0" quotePrefix="0" xfId="0">
      <alignment horizontal="center" vertical="top" wrapText="1"/>
    </xf>
    <xf numFmtId="49" fontId="2" fillId="2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center"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1" fillId="0" borderId="0" pivotButton="0" quotePrefix="0" xfId="0"/>
    <xf numFmtId="0" fontId="10" fillId="0" borderId="0" applyAlignment="1" pivotButton="0" quotePrefix="0" xfId="0">
      <alignment vertical="center"/>
    </xf>
    <xf numFmtId="0" fontId="1" fillId="0" borderId="0" pivotButton="0" quotePrefix="0" xfId="0"/>
    <xf numFmtId="0" fontId="4" fillId="0" borderId="0" pivotButton="0" quotePrefix="0" xfId="0"/>
    <xf numFmtId="0" fontId="2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49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1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7" applyAlignment="1" pivotButton="0" quotePrefix="0" xfId="0">
      <alignment horizontal="center" vertical="center" wrapText="1"/>
    </xf>
    <xf numFmtId="0" fontId="6" fillId="0" borderId="13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right" vertical="center" wrapText="1"/>
    </xf>
    <xf numFmtId="0" fontId="12" fillId="0" borderId="7" applyAlignment="1" pivotButton="0" quotePrefix="0" xfId="0">
      <alignment horizontal="center" vertical="center" wrapText="1"/>
    </xf>
    <xf numFmtId="0" fontId="12" fillId="0" borderId="1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2" borderId="1" applyAlignment="1" pivotButton="0" quotePrefix="0" xfId="0">
      <alignment horizontal="center" vertical="center" wrapText="1"/>
    </xf>
    <xf numFmtId="0" fontId="3" fillId="2" borderId="7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7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3" fillId="2" borderId="14" applyAlignment="1" pivotButton="0" quotePrefix="0" xfId="0">
      <alignment horizontal="left" vertical="center" wrapText="1"/>
    </xf>
    <xf numFmtId="0" fontId="3" fillId="2" borderId="0" applyAlignment="1" pivotButton="0" quotePrefix="0" xfId="0">
      <alignment horizontal="left" vertical="center" wrapText="1"/>
    </xf>
    <xf numFmtId="0" fontId="3" fillId="2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2" fillId="2" borderId="7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/>
    </xf>
    <xf numFmtId="2" fontId="18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6" fillId="0" borderId="11" applyAlignment="1" pivotButton="0" quotePrefix="0" xfId="0">
      <alignment vertical="center" wrapText="1"/>
    </xf>
    <xf numFmtId="166" fontId="6" fillId="0" borderId="11" applyAlignment="1" pivotButton="0" quotePrefix="0" xfId="0">
      <alignment horizontal="center" vertical="center"/>
    </xf>
    <xf numFmtId="0" fontId="6" fillId="0" borderId="11" applyAlignment="1" pivotButton="0" quotePrefix="0" xfId="0">
      <alignment wrapText="1"/>
    </xf>
    <xf numFmtId="49" fontId="6" fillId="0" borderId="18" applyAlignment="1" pivotButton="0" quotePrefix="0" xfId="0">
      <alignment horizontal="center" vertical="center"/>
    </xf>
    <xf numFmtId="0" fontId="17" fillId="0" borderId="18" applyAlignment="1" pivotButton="0" quotePrefix="0" xfId="0">
      <alignment vertical="center" wrapText="1"/>
    </xf>
    <xf numFmtId="0" fontId="6" fillId="0" borderId="18" applyAlignment="1" pivotButton="0" quotePrefix="0" xfId="0">
      <alignment horizontal="center" vertical="center" wrapText="1"/>
    </xf>
    <xf numFmtId="4" fontId="17" fillId="0" borderId="18" applyAlignment="1" pivotButton="0" quotePrefix="0" xfId="0">
      <alignment horizontal="center" vertical="center"/>
    </xf>
    <xf numFmtId="0" fontId="6" fillId="0" borderId="18" applyAlignment="1" pivotButton="0" quotePrefix="0" xfId="0">
      <alignment horizontal="left" vertical="center" wrapText="1"/>
    </xf>
    <xf numFmtId="0" fontId="0" fillId="0" borderId="12" pivotButton="0" quotePrefix="0" xfId="0"/>
    <xf numFmtId="0" fontId="0" fillId="0" borderId="13" pivotButton="0" quotePrefix="0" xfId="0"/>
    <xf numFmtId="0" fontId="0" fillId="0" borderId="21" pivotButton="0" quotePrefix="0" xfId="0"/>
    <xf numFmtId="0" fontId="0" fillId="0" borderId="2" pivotButton="0" quotePrefix="0" xfId="0"/>
    <xf numFmtId="0" fontId="12" fillId="0" borderId="1" applyAlignment="1" pivotButton="0" quotePrefix="0" xfId="0">
      <alignment horizontal="center" vertical="center" wrapText="1"/>
    </xf>
    <xf numFmtId="164" fontId="7" fillId="2" borderId="0" pivotButton="0" quotePrefix="0" xfId="0"/>
    <xf numFmtId="43" fontId="3" fillId="2" borderId="1" applyAlignment="1" pivotButton="0" quotePrefix="0" xfId="0">
      <alignment vertical="center" wrapText="1"/>
    </xf>
    <xf numFmtId="165" fontId="8" fillId="2" borderId="0" pivotButton="0" quotePrefix="0" xfId="0"/>
    <xf numFmtId="168" fontId="2" fillId="2" borderId="1" applyAlignment="1" pivotButton="0" quotePrefix="0" xfId="0">
      <alignment horizontal="center" vertical="top" wrapText="1"/>
    </xf>
    <xf numFmtId="43" fontId="2" fillId="2" borderId="1" applyAlignment="1" pivotButton="0" quotePrefix="0" xfId="0">
      <alignment horizontal="right" vertical="top" wrapText="1"/>
    </xf>
    <xf numFmtId="167" fontId="11" fillId="0" borderId="0" pivotButton="0" quotePrefix="0" xfId="0"/>
    <xf numFmtId="43" fontId="0" fillId="0" borderId="0" pivotButton="0" quotePrefix="0" xfId="0"/>
    <xf numFmtId="169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69" fontId="2" fillId="0" borderId="1" applyAlignment="1" pivotButton="0" quotePrefix="0" xfId="0">
      <alignment horizontal="center" vertical="center" wrapText="1"/>
    </xf>
    <xf numFmtId="166" fontId="2" fillId="2" borderId="1" applyAlignment="1" pivotButton="0" quotePrefix="0" xfId="0">
      <alignment horizontal="center" vertical="center" wrapText="1"/>
    </xf>
    <xf numFmtId="170" fontId="2" fillId="2" borderId="1" applyAlignment="1" pivotButton="0" quotePrefix="0" xfId="0">
      <alignment horizontal="center" vertical="center" wrapText="1"/>
    </xf>
    <xf numFmtId="0" fontId="3" fillId="2" borderId="21" applyAlignment="1" pivotButton="0" quotePrefix="0" xfId="0">
      <alignment horizontal="left" vertical="center" wrapText="1"/>
    </xf>
    <xf numFmtId="0" fontId="0" fillId="0" borderId="15" pivotButton="0" quotePrefix="0" xfId="0"/>
    <xf numFmtId="171" fontId="6" fillId="0" borderId="1" applyAlignment="1" pivotButton="0" quotePrefix="0" xfId="0">
      <alignment horizontal="center" vertical="center"/>
    </xf>
    <xf numFmtId="172" fontId="6" fillId="0" borderId="1" applyAlignment="1" pivotButton="0" quotePrefix="0" xfId="0">
      <alignment horizontal="center" vertical="center"/>
    </xf>
    <xf numFmtId="166" fontId="6" fillId="0" borderId="1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tabSelected="1" view="pageBreakPreview" topLeftCell="A16" zoomScale="60" zoomScaleNormal="85" workbookViewId="0">
      <selection activeCell="D28" sqref="D28"/>
    </sheetView>
  </sheetViews>
  <sheetFormatPr baseColWidth="8" defaultRowHeight="15"/>
  <cols>
    <col width="36.85546875" customWidth="1" style="193" min="3" max="3"/>
    <col width="39.42578125" customWidth="1" style="193" min="4" max="4"/>
    <col width="14.28515625" customWidth="1" style="193" min="7" max="7"/>
    <col width="15" customWidth="1" style="193" min="10" max="10"/>
  </cols>
  <sheetData>
    <row r="3" ht="15.75" customHeight="1" s="193">
      <c r="B3" s="213" t="inlineStr">
        <is>
          <t>Приложение № 1</t>
        </is>
      </c>
    </row>
    <row r="4" ht="18.75" customHeight="1" s="193">
      <c r="B4" s="214" t="inlineStr">
        <is>
          <t>Сравнительная таблица отбора объекта-представителя</t>
        </is>
      </c>
    </row>
    <row r="5" ht="84" customHeight="1" s="193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3">
      <c r="B6" s="78" t="n"/>
      <c r="C6" s="78" t="n"/>
      <c r="D6" s="78" t="n"/>
    </row>
    <row r="7" ht="64.5" customHeight="1" s="193">
      <c r="B7" s="216" t="inlineStr">
        <is>
          <t>Наименование разрабатываемого показателя УНЦ — Демонтаж ячейки выключателя КРУ 6-20кВ</t>
        </is>
      </c>
    </row>
    <row r="8" ht="31.5" customHeight="1" s="193">
      <c r="B8" s="216" t="inlineStr">
        <is>
          <t>Сопоставимый уровень цен: 2 квартал 2011</t>
        </is>
      </c>
    </row>
    <row r="9" ht="15.75" customHeight="1" s="193">
      <c r="B9" s="216" t="inlineStr">
        <is>
          <t>Единица измерения  — 1 ячейка</t>
        </is>
      </c>
    </row>
    <row r="10" ht="18.75" customHeight="1" s="193">
      <c r="B10" s="52" t="n"/>
    </row>
    <row r="11" ht="15.75" customHeight="1" s="193">
      <c r="B11" s="217" t="inlineStr">
        <is>
          <t>№ п/п</t>
        </is>
      </c>
      <c r="C11" s="217" t="inlineStr">
        <is>
          <t>Параметр</t>
        </is>
      </c>
      <c r="D11" s="217" t="inlineStr">
        <is>
          <t xml:space="preserve">Объект-представитель </t>
        </is>
      </c>
    </row>
    <row r="12" ht="31.5" customHeight="1" s="193">
      <c r="B12" s="217" t="n">
        <v>1</v>
      </c>
      <c r="C12" s="82" t="inlineStr">
        <is>
          <t>Наименование объекта-представителя</t>
        </is>
      </c>
      <c r="D12" s="226" t="inlineStr">
        <is>
          <t>ПС 35 кВ Ужовка-2 (МРСК Центра и Приволжья)</t>
        </is>
      </c>
    </row>
    <row r="13" ht="31.5" customHeight="1" s="193">
      <c r="B13" s="217" t="n">
        <v>2</v>
      </c>
      <c r="C13" s="82" t="inlineStr">
        <is>
          <t>Наименование субъекта Российской Федерации</t>
        </is>
      </c>
      <c r="D13" s="226" t="inlineStr">
        <is>
          <t>Нижегородская обл.</t>
        </is>
      </c>
    </row>
    <row r="14" ht="15.75" customHeight="1" s="193">
      <c r="B14" s="217" t="n">
        <v>3</v>
      </c>
      <c r="C14" s="82" t="inlineStr">
        <is>
          <t>Климатический район и подрайон</t>
        </is>
      </c>
      <c r="D14" s="97" t="inlineStr">
        <is>
          <t>IIB</t>
        </is>
      </c>
    </row>
    <row r="15" ht="15.75" customHeight="1" s="193">
      <c r="B15" s="217" t="n">
        <v>4</v>
      </c>
      <c r="C15" s="82" t="inlineStr">
        <is>
          <t>Мощность объекта</t>
        </is>
      </c>
      <c r="D15" s="226" t="n">
        <v>1</v>
      </c>
    </row>
    <row r="16" ht="94.5" customHeight="1" s="193">
      <c r="B16" s="217" t="n">
        <v>5</v>
      </c>
      <c r="C16" s="5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7" t="inlineStr">
        <is>
          <t>Ячейка выключателя КРУ 20кВ, ном.ток 3150А, ном.ток отключения 50кА</t>
        </is>
      </c>
    </row>
    <row r="17" ht="78.75" customHeight="1" s="193">
      <c r="B17" s="217" t="n">
        <v>6</v>
      </c>
      <c r="C17" s="5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1">
        <f>D18+D19</f>
        <v/>
      </c>
    </row>
    <row r="18" ht="15.75" customHeight="1" s="193">
      <c r="B18" s="79" t="inlineStr">
        <is>
          <t>6.1</t>
        </is>
      </c>
      <c r="C18" s="82" t="inlineStr">
        <is>
          <t>строительно-монтажные работы</t>
        </is>
      </c>
      <c r="D18" s="211">
        <f>'Прил.2 Расч стоим'!F12</f>
        <v/>
      </c>
    </row>
    <row r="19" ht="15.75" customHeight="1" s="193">
      <c r="B19" s="79" t="inlineStr">
        <is>
          <t>6.2</t>
        </is>
      </c>
      <c r="C19" s="82" t="inlineStr">
        <is>
          <t>оборудование и инвентарь</t>
        </is>
      </c>
      <c r="D19" s="211" t="n">
        <v>0</v>
      </c>
    </row>
    <row r="20" ht="15.75" customHeight="1" s="193">
      <c r="B20" s="79" t="inlineStr">
        <is>
          <t>6.3</t>
        </is>
      </c>
      <c r="C20" s="82" t="inlineStr">
        <is>
          <t>пусконаладочные работы</t>
        </is>
      </c>
      <c r="D20" s="211" t="n"/>
    </row>
    <row r="21" ht="31.5" customHeight="1" s="193">
      <c r="B21" s="79" t="inlineStr">
        <is>
          <t>6.4</t>
        </is>
      </c>
      <c r="C21" s="82" t="inlineStr">
        <is>
          <t>прочие и лимитированные затраты</t>
        </is>
      </c>
      <c r="D21" s="211" t="n"/>
    </row>
    <row r="22" ht="15.75" customHeight="1" s="193">
      <c r="B22" s="217" t="n">
        <v>7</v>
      </c>
      <c r="C22" s="82" t="inlineStr">
        <is>
          <t>Сопоставимый уровень цен</t>
        </is>
      </c>
      <c r="D22" s="212" t="inlineStr">
        <is>
          <t>2 квартал 2011</t>
        </is>
      </c>
      <c r="G22" s="90" t="n"/>
    </row>
    <row r="23" ht="110.25" customHeight="1" s="193">
      <c r="B23" s="217" t="n">
        <v>8</v>
      </c>
      <c r="C23" s="55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1">
        <f>D17</f>
        <v/>
      </c>
    </row>
    <row r="24" ht="47.25" customHeight="1" s="193">
      <c r="B24" s="217" t="n">
        <v>9</v>
      </c>
      <c r="C24" s="55" t="inlineStr">
        <is>
          <t>Приведенная сметная стоимость на единицу мощности, тыс. руб. (строка 8/строку 4)</t>
        </is>
      </c>
      <c r="D24" s="211">
        <f>D17/D15</f>
        <v/>
      </c>
      <c r="G24" s="90" t="n"/>
    </row>
    <row r="25" hidden="1" ht="110.25" customHeight="1" s="193">
      <c r="B25" s="217" t="n">
        <v>10</v>
      </c>
      <c r="C25" s="82" t="inlineStr">
        <is>
          <t>Примечание</t>
        </is>
      </c>
      <c r="D25" s="82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93">
      <c r="B26" s="83" t="n"/>
      <c r="C26" s="84" t="n"/>
      <c r="D26" s="84" t="n"/>
    </row>
    <row r="27">
      <c r="B27" s="190" t="inlineStr">
        <is>
          <t>Составил ______________________        А.Р. Маркова</t>
        </is>
      </c>
      <c r="C27" s="188" t="n"/>
    </row>
    <row r="28">
      <c r="B28" s="187" t="inlineStr">
        <is>
          <t xml:space="preserve">                         (подпись, инициалы, фамилия)</t>
        </is>
      </c>
      <c r="C28" s="188" t="n"/>
    </row>
    <row r="29">
      <c r="B29" s="187" t="n"/>
      <c r="C29" s="188" t="n"/>
    </row>
    <row r="30">
      <c r="B30" s="190" t="inlineStr">
        <is>
          <t>Проверил ______________________        А.В. Костянецкая</t>
        </is>
      </c>
      <c r="C30" s="188" t="n"/>
    </row>
    <row r="31">
      <c r="B31" s="187" t="inlineStr">
        <is>
          <t xml:space="preserve">                        (подпись, инициалы, фамилия)</t>
        </is>
      </c>
      <c r="C31" s="188" t="n"/>
    </row>
    <row r="32" ht="15.75" customHeight="1" s="193">
      <c r="B32" s="84" t="n"/>
      <c r="C32" s="84" t="n"/>
      <c r="D32" s="84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8"/>
  <sheetViews>
    <sheetView view="pageBreakPreview" zoomScale="60" zoomScaleNormal="100" workbookViewId="0">
      <selection activeCell="C18" sqref="C18"/>
    </sheetView>
  </sheetViews>
  <sheetFormatPr baseColWidth="8" defaultRowHeight="15"/>
  <cols>
    <col width="5.5703125" customWidth="1" style="193" min="1" max="1"/>
    <col width="35.28515625" customWidth="1" style="193" min="3" max="3"/>
    <col width="13.85546875" customWidth="1" style="193" min="4" max="4"/>
    <col width="17.42578125" customWidth="1" style="193" min="5" max="5"/>
    <col width="12.7109375" customWidth="1" style="193" min="6" max="6"/>
    <col width="14.85546875" customWidth="1" style="193" min="7" max="7"/>
    <col width="16.7109375" customWidth="1" style="193" min="8" max="8"/>
    <col width="13" customWidth="1" style="193" min="9" max="10"/>
    <col width="18" customWidth="1" style="193" min="11" max="11"/>
  </cols>
  <sheetData>
    <row r="3" ht="15.75" customHeight="1" s="193">
      <c r="B3" s="213" t="inlineStr">
        <is>
          <t>Приложение № 2</t>
        </is>
      </c>
    </row>
    <row r="4" ht="15.75" customHeight="1" s="193">
      <c r="B4" s="223" t="inlineStr">
        <is>
          <t>Расчет стоимости основных видов работ для выбора объекта-представителя</t>
        </is>
      </c>
    </row>
    <row r="5" ht="15.75" customHeight="1" s="193">
      <c r="B5" s="26" t="n"/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</row>
    <row r="6" ht="15.75" customHeight="1" s="193">
      <c r="B6" s="216">
        <f>'Прил.1 Сравнит табл'!B7</f>
        <v/>
      </c>
    </row>
    <row r="7" ht="15.75" customHeight="1" s="193">
      <c r="B7" s="216">
        <f>'Прил.1 Сравнит табл'!B9</f>
        <v/>
      </c>
    </row>
    <row r="8" ht="18.75" customHeight="1" s="193">
      <c r="B8" s="52" t="n"/>
    </row>
    <row r="9" ht="15.75" customHeight="1" s="193">
      <c r="B9" s="217" t="inlineStr">
        <is>
          <t>№ п/п</t>
        </is>
      </c>
      <c r="C9" s="21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7" t="inlineStr">
        <is>
          <t>Объект-представитель 1</t>
        </is>
      </c>
      <c r="E9" s="272" t="n"/>
      <c r="F9" s="272" t="n"/>
      <c r="G9" s="272" t="n"/>
      <c r="H9" s="272" t="n"/>
      <c r="I9" s="272" t="n"/>
      <c r="J9" s="273" t="n"/>
    </row>
    <row r="10" ht="15.75" customHeight="1" s="193">
      <c r="B10" s="274" t="n"/>
      <c r="C10" s="274" t="n"/>
      <c r="D10" s="217" t="inlineStr">
        <is>
          <t>Номер сметы</t>
        </is>
      </c>
      <c r="E10" s="217" t="inlineStr">
        <is>
          <t>Наименование сметы</t>
        </is>
      </c>
      <c r="F10" s="217" t="inlineStr">
        <is>
          <t>Сметная стоимость в уровне цен 2 кв. 2011г., тыс. руб.</t>
        </is>
      </c>
      <c r="G10" s="272" t="n"/>
      <c r="H10" s="272" t="n"/>
      <c r="I10" s="272" t="n"/>
      <c r="J10" s="273" t="n"/>
    </row>
    <row r="11" ht="31.5" customHeight="1" s="193">
      <c r="B11" s="275" t="n"/>
      <c r="C11" s="275" t="n"/>
      <c r="D11" s="275" t="n"/>
      <c r="E11" s="275" t="n"/>
      <c r="F11" s="217" t="inlineStr">
        <is>
          <t>Строительные работы</t>
        </is>
      </c>
      <c r="G11" s="217" t="inlineStr">
        <is>
          <t>Монтажные работы</t>
        </is>
      </c>
      <c r="H11" s="217" t="inlineStr">
        <is>
          <t>Оборудование</t>
        </is>
      </c>
      <c r="I11" s="217" t="inlineStr">
        <is>
          <t>Прочее</t>
        </is>
      </c>
      <c r="J11" s="217" t="inlineStr">
        <is>
          <t>Всего</t>
        </is>
      </c>
    </row>
    <row r="12" ht="15" customHeight="1" s="193">
      <c r="B12" s="217" t="n"/>
      <c r="C12" s="217" t="inlineStr">
        <is>
          <t>Демонтаж ячейки выключателя КРУ 6-20кВ</t>
        </is>
      </c>
      <c r="D12" s="217" t="n"/>
      <c r="E12" s="217" t="n"/>
      <c r="F12" s="217" t="n">
        <v>18.0454052</v>
      </c>
      <c r="G12" s="273" t="n"/>
      <c r="H12" s="217" t="n">
        <v>0</v>
      </c>
      <c r="I12" s="217" t="n"/>
      <c r="J12" s="217" t="n">
        <v>18.0454052</v>
      </c>
    </row>
    <row r="13" ht="15" customHeight="1" s="193">
      <c r="B13" s="220" t="inlineStr">
        <is>
          <t>Всего по объекту:</t>
        </is>
      </c>
      <c r="C13" s="272" t="n"/>
      <c r="D13" s="272" t="n"/>
      <c r="E13" s="273" t="n"/>
      <c r="F13" s="89" t="n"/>
      <c r="G13" s="89" t="n"/>
      <c r="H13" s="89" t="n"/>
      <c r="I13" s="89" t="n"/>
      <c r="J13" s="89" t="n"/>
    </row>
    <row r="14" ht="15.75" customHeight="1" s="193">
      <c r="B14" s="220" t="inlineStr">
        <is>
          <t>Всего по объекту в сопоставимом уровне цен 2кв. 2011г:</t>
        </is>
      </c>
      <c r="C14" s="272" t="n"/>
      <c r="D14" s="272" t="n"/>
      <c r="E14" s="273" t="n"/>
      <c r="F14" s="276">
        <f>F12</f>
        <v/>
      </c>
      <c r="G14" s="273" t="n"/>
      <c r="H14" s="89">
        <f>H12</f>
        <v/>
      </c>
      <c r="I14" s="89" t="n"/>
      <c r="J14" s="89">
        <f>J12</f>
        <v/>
      </c>
    </row>
    <row r="15" ht="15.75" customHeight="1" s="193">
      <c r="B15" s="195" t="n"/>
      <c r="C15" s="195" t="n"/>
      <c r="D15" s="195" t="n"/>
      <c r="E15" s="195" t="n"/>
      <c r="F15" s="195" t="n"/>
      <c r="G15" s="195" t="n"/>
      <c r="H15" s="195" t="n"/>
      <c r="I15" s="195" t="n"/>
      <c r="J15" s="195" t="n"/>
    </row>
    <row r="16" ht="15.75" customHeight="1" s="193">
      <c r="B16" s="195" t="n"/>
      <c r="C16" s="195" t="n"/>
      <c r="D16" s="195" t="n"/>
      <c r="E16" s="195" t="n"/>
      <c r="F16" s="195" t="n"/>
      <c r="G16" s="195" t="n"/>
      <c r="H16" s="195" t="n"/>
      <c r="I16" s="195" t="n"/>
      <c r="J16" s="195" t="n"/>
    </row>
    <row r="17" ht="15.75" customHeight="1" s="193">
      <c r="B17" s="195" t="n"/>
      <c r="C17" s="195" t="n"/>
      <c r="D17" s="195" t="n"/>
      <c r="E17" s="195" t="n"/>
      <c r="F17" s="195" t="n"/>
      <c r="G17" s="195" t="n"/>
      <c r="H17" s="195" t="n"/>
      <c r="I17" s="195" t="n"/>
      <c r="J17" s="195" t="n"/>
    </row>
    <row r="18" ht="15.75" customHeight="1" s="193">
      <c r="B18" s="195" t="n"/>
      <c r="C18" s="190" t="inlineStr">
        <is>
          <t>Составил ______________________     А.Р. Маркова</t>
        </is>
      </c>
      <c r="D18" s="188" t="n"/>
      <c r="E18" s="188" t="n"/>
      <c r="F18" s="195" t="n"/>
      <c r="G18" s="195" t="n"/>
      <c r="H18" s="195" t="n"/>
      <c r="I18" s="195" t="n"/>
      <c r="J18" s="195" t="n"/>
    </row>
    <row r="19" ht="15.75" customHeight="1" s="193">
      <c r="B19" s="195" t="n"/>
      <c r="C19" s="187" t="inlineStr">
        <is>
          <t xml:space="preserve">                         (подпись, инициалы, фамилия)</t>
        </is>
      </c>
      <c r="D19" s="188" t="n"/>
      <c r="E19" s="188" t="n"/>
      <c r="F19" s="195" t="n"/>
      <c r="G19" s="195" t="n"/>
      <c r="H19" s="195" t="n"/>
      <c r="I19" s="195" t="n"/>
      <c r="J19" s="195" t="n"/>
    </row>
    <row r="20" ht="15.75" customHeight="1" s="193">
      <c r="B20" s="195" t="n"/>
      <c r="C20" s="190" t="n"/>
      <c r="D20" s="188" t="n"/>
      <c r="E20" s="188" t="n"/>
      <c r="F20" s="195" t="n"/>
      <c r="G20" s="195" t="n"/>
      <c r="H20" s="195" t="n"/>
      <c r="I20" s="195" t="n"/>
      <c r="J20" s="195" t="n"/>
    </row>
    <row r="21" ht="15.75" customHeight="1" s="193">
      <c r="B21" s="195" t="n"/>
      <c r="C21" s="190" t="inlineStr">
        <is>
          <t>Проверил ______________________        А.В. Костянецкая</t>
        </is>
      </c>
      <c r="D21" s="188" t="n"/>
      <c r="E21" s="188" t="n"/>
      <c r="F21" s="195" t="n"/>
      <c r="G21" s="195" t="n"/>
      <c r="H21" s="195" t="n"/>
      <c r="I21" s="195" t="n"/>
      <c r="J21" s="195" t="n"/>
    </row>
    <row r="22" ht="15.75" customHeight="1" s="193">
      <c r="B22" s="195" t="n"/>
      <c r="C22" s="187" t="inlineStr">
        <is>
          <t xml:space="preserve">                        (подпись, инициалы, фамилия)</t>
        </is>
      </c>
      <c r="D22" s="188" t="n"/>
      <c r="E22" s="188" t="n"/>
      <c r="F22" s="195" t="n"/>
      <c r="G22" s="195" t="n"/>
      <c r="H22" s="195" t="n"/>
      <c r="I22" s="195" t="n"/>
      <c r="J22" s="195" t="n"/>
    </row>
    <row r="23" ht="15.75" customHeight="1" s="193">
      <c r="B23" s="195" t="n"/>
      <c r="C23" s="195" t="n"/>
      <c r="D23" s="195" t="n"/>
      <c r="E23" s="195" t="n"/>
      <c r="F23" s="195" t="n"/>
      <c r="G23" s="195" t="n"/>
      <c r="H23" s="195" t="n"/>
      <c r="I23" s="195" t="n"/>
      <c r="J23" s="195" t="n"/>
    </row>
    <row r="24" ht="15.75" customHeight="1" s="193">
      <c r="B24" s="195" t="n"/>
      <c r="C24" s="195" t="n"/>
      <c r="D24" s="195" t="n"/>
      <c r="E24" s="195" t="n"/>
      <c r="F24" s="195" t="n"/>
      <c r="G24" s="195" t="n"/>
      <c r="H24" s="195" t="n"/>
      <c r="I24" s="195" t="n"/>
      <c r="J24" s="195" t="n"/>
    </row>
    <row r="25" ht="15.75" customHeight="1" s="193">
      <c r="B25" s="195" t="n"/>
      <c r="C25" s="195" t="n"/>
      <c r="D25" s="195" t="n"/>
      <c r="E25" s="195" t="n"/>
      <c r="F25" s="195" t="n"/>
      <c r="G25" s="195" t="n"/>
      <c r="H25" s="195" t="n"/>
      <c r="I25" s="195" t="n"/>
      <c r="J25" s="195" t="n"/>
    </row>
    <row r="26" ht="15.75" customHeight="1" s="193">
      <c r="B26" s="195" t="n"/>
      <c r="C26" s="195" t="n"/>
      <c r="D26" s="195" t="n"/>
      <c r="E26" s="195" t="n"/>
      <c r="F26" s="195" t="n"/>
      <c r="G26" s="195" t="n"/>
      <c r="H26" s="195" t="n"/>
      <c r="I26" s="195" t="n"/>
      <c r="J26" s="195" t="n"/>
    </row>
    <row r="27" ht="15.75" customHeight="1" s="193">
      <c r="B27" s="195" t="n"/>
      <c r="C27" s="195" t="n"/>
      <c r="D27" s="195" t="n"/>
      <c r="E27" s="195" t="n"/>
      <c r="F27" s="195" t="n"/>
      <c r="G27" s="195" t="n"/>
      <c r="H27" s="195" t="n"/>
      <c r="I27" s="195" t="n"/>
      <c r="J27" s="195" t="n"/>
    </row>
    <row r="28" ht="15.75" customHeight="1" s="193">
      <c r="B28" s="195" t="n"/>
      <c r="C28" s="195" t="n"/>
      <c r="D28" s="195" t="n"/>
      <c r="E28" s="195" t="n"/>
      <c r="F28" s="195" t="n"/>
      <c r="G28" s="195" t="n"/>
      <c r="H28" s="195" t="n"/>
      <c r="I28" s="195" t="n"/>
      <c r="J28" s="195" t="n"/>
    </row>
  </sheetData>
  <mergeCells count="14">
    <mergeCell ref="F12:G12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37" zoomScale="70" workbookViewId="0">
      <selection activeCell="D71" sqref="D71"/>
    </sheetView>
  </sheetViews>
  <sheetFormatPr baseColWidth="8" defaultRowHeight="15"/>
  <cols>
    <col width="12.5703125" customWidth="1" style="193" min="2" max="2"/>
    <col width="17" customWidth="1" style="193" min="3" max="3"/>
    <col width="49.7109375" customWidth="1" style="193" min="4" max="4"/>
    <col width="16.28515625" customWidth="1" style="193" min="5" max="5"/>
    <col width="20.7109375" customWidth="1" style="193" min="6" max="6"/>
    <col width="16.140625" customWidth="1" style="193" min="7" max="7"/>
    <col width="16.7109375" customWidth="1" style="193" min="8" max="8"/>
    <col width="4.5703125" customWidth="1" style="193" min="9" max="9"/>
    <col width="5.140625" customWidth="1" style="193" min="10" max="10"/>
    <col width="13" customWidth="1" style="193" min="11" max="11"/>
    <col width="9.140625" customWidth="1" style="193" min="12" max="12"/>
  </cols>
  <sheetData>
    <row r="2" ht="15.75" customHeight="1" s="193">
      <c r="A2" s="213" t="inlineStr">
        <is>
          <t xml:space="preserve">Приложение № 3 </t>
        </is>
      </c>
    </row>
    <row r="3" ht="18.75" customHeight="1" s="193">
      <c r="A3" s="214" t="inlineStr">
        <is>
          <t>Объектная ресурсная ведомость</t>
        </is>
      </c>
    </row>
    <row r="4" ht="18.75" customHeight="1" s="193">
      <c r="A4" s="214" t="n"/>
      <c r="B4" s="214" t="n"/>
      <c r="C4" s="229" t="n"/>
    </row>
    <row r="5" ht="18.75" customHeight="1" s="193">
      <c r="A5" s="52" t="n"/>
    </row>
    <row r="6" ht="32.25" customHeight="1" s="193">
      <c r="A6" s="225">
        <f>'Прил.1 Сравнит табл'!B7</f>
        <v/>
      </c>
    </row>
    <row r="7" ht="17.25" customHeight="1" s="193">
      <c r="A7" s="225" t="n"/>
      <c r="B7" s="225" t="n"/>
      <c r="C7" s="225" t="n"/>
      <c r="D7" s="225" t="n"/>
      <c r="E7" s="225" t="n"/>
      <c r="F7" s="225" t="n"/>
      <c r="G7" s="225" t="n"/>
      <c r="H7" s="225" t="n"/>
    </row>
    <row r="8" ht="15.75" customHeight="1" s="193">
      <c r="A8" s="27" t="n"/>
      <c r="B8" s="27" t="n"/>
      <c r="C8" s="27" t="n"/>
      <c r="D8" s="27" t="n"/>
      <c r="E8" s="27" t="n"/>
      <c r="F8" s="27" t="n"/>
      <c r="G8" s="27" t="n"/>
      <c r="H8" s="277" t="n"/>
    </row>
    <row r="9" ht="38.25" customHeight="1" s="193">
      <c r="A9" s="226" t="inlineStr">
        <is>
          <t>п/п</t>
        </is>
      </c>
      <c r="B9" s="226" t="inlineStr">
        <is>
          <t>№ЛСР</t>
        </is>
      </c>
      <c r="C9" s="226" t="inlineStr">
        <is>
          <t>Код ресурса</t>
        </is>
      </c>
      <c r="D9" s="226" t="inlineStr">
        <is>
          <t>Наименование ресурса</t>
        </is>
      </c>
      <c r="E9" s="226" t="inlineStr">
        <is>
          <t>Ед. изм.</t>
        </is>
      </c>
      <c r="F9" s="226" t="inlineStr">
        <is>
          <t>Кол-во единиц по данным объекта-представителя</t>
        </is>
      </c>
      <c r="G9" s="226" t="inlineStr">
        <is>
          <t>Сметная стоимость в ценах на 01.01.2000 (руб.)</t>
        </is>
      </c>
      <c r="H9" s="273" t="n"/>
    </row>
    <row r="10" ht="40.5" customHeight="1" s="193">
      <c r="A10" s="275" t="n"/>
      <c r="B10" s="275" t="n"/>
      <c r="C10" s="275" t="n"/>
      <c r="D10" s="275" t="n"/>
      <c r="E10" s="275" t="n"/>
      <c r="F10" s="275" t="n"/>
      <c r="G10" s="226" t="inlineStr">
        <is>
          <t>на ед.изм.</t>
        </is>
      </c>
      <c r="H10" s="226" t="inlineStr">
        <is>
          <t>общая</t>
        </is>
      </c>
    </row>
    <row r="11" ht="15.75" customHeight="1" s="193">
      <c r="A11" s="226" t="n">
        <v>1</v>
      </c>
      <c r="B11" s="97" t="n"/>
      <c r="C11" s="226" t="n">
        <v>2</v>
      </c>
      <c r="D11" s="226" t="inlineStr">
        <is>
          <t>З</t>
        </is>
      </c>
      <c r="E11" s="226" t="n">
        <v>4</v>
      </c>
      <c r="F11" s="226" t="n">
        <v>5</v>
      </c>
      <c r="G11" s="97" t="n">
        <v>6</v>
      </c>
      <c r="H11" s="97" t="n">
        <v>7</v>
      </c>
    </row>
    <row r="12" ht="15" customHeight="1" s="193">
      <c r="A12" s="227" t="inlineStr">
        <is>
          <t>Затраты труда рабочих</t>
        </is>
      </c>
      <c r="B12" s="272" t="n"/>
      <c r="C12" s="272" t="n"/>
      <c r="D12" s="272" t="n"/>
      <c r="E12" s="272" t="n"/>
      <c r="F12" s="278" t="n">
        <v>79.574375</v>
      </c>
      <c r="G12" s="166" t="n"/>
      <c r="H12" s="278">
        <f>SUM(H13:H14)</f>
        <v/>
      </c>
      <c r="J12" s="279" t="n"/>
      <c r="K12" s="91" t="n"/>
    </row>
    <row r="13">
      <c r="A13" s="170" t="n">
        <v>1</v>
      </c>
      <c r="B13" s="101" t="n"/>
      <c r="C13" s="170" t="inlineStr">
        <is>
          <t>1-4-0</t>
        </is>
      </c>
      <c r="D13" s="173" t="inlineStr">
        <is>
          <t>Затраты труда рабочих (средний разряд работы 4,0)</t>
        </is>
      </c>
      <c r="E13" s="174" t="inlineStr">
        <is>
          <t>чел.-ч</t>
        </is>
      </c>
      <c r="F13" s="280" t="n">
        <v>76.180774367379</v>
      </c>
      <c r="G13" s="172" t="n">
        <v>9.4</v>
      </c>
      <c r="H13" s="172">
        <f>ROUND(F13*G13,2)</f>
        <v/>
      </c>
    </row>
    <row r="14">
      <c r="A14" s="168">
        <f>A13+1</f>
        <v/>
      </c>
      <c r="B14" s="101" t="n"/>
      <c r="C14" s="170" t="inlineStr">
        <is>
          <t>1-4-2</t>
        </is>
      </c>
      <c r="D14" s="173" t="inlineStr">
        <is>
          <t>Затраты труда рабочих (средний разряд работы 4,2)</t>
        </is>
      </c>
      <c r="E14" s="174" t="inlineStr">
        <is>
          <t>чел.-ч</t>
        </is>
      </c>
      <c r="F14" s="280" t="n">
        <v>3.3936006326214</v>
      </c>
      <c r="G14" s="172" t="n">
        <v>9.4</v>
      </c>
      <c r="H14" s="172">
        <f>ROUND(F14*G14,2)</f>
        <v/>
      </c>
    </row>
    <row r="15" ht="15" customHeight="1" s="193">
      <c r="A15" s="224" t="inlineStr">
        <is>
          <t>Затраты труда машинистов</t>
        </is>
      </c>
      <c r="B15" s="272" t="n"/>
      <c r="C15" s="272" t="n"/>
      <c r="D15" s="272" t="n"/>
      <c r="E15" s="273" t="n"/>
      <c r="F15" s="166" t="n"/>
      <c r="G15" s="166" t="n"/>
      <c r="H15" s="278">
        <f>H16</f>
        <v/>
      </c>
    </row>
    <row r="16">
      <c r="A16" s="168">
        <f>A14+1</f>
        <v/>
      </c>
      <c r="B16" s="101" t="n"/>
      <c r="C16" s="170" t="n">
        <v>2</v>
      </c>
      <c r="D16" s="173" t="inlineStr">
        <is>
          <t>Затраты труда машинистов</t>
        </is>
      </c>
      <c r="E16" s="174" t="inlineStr">
        <is>
          <t>чел.-ч</t>
        </is>
      </c>
      <c r="F16" s="174" t="n">
        <v>21.9884375</v>
      </c>
      <c r="G16" s="172" t="n"/>
      <c r="H16" s="281">
        <f>'Прил.5 Расчет СМР и ОБ'!G17</f>
        <v/>
      </c>
      <c r="L16" s="30" t="n"/>
    </row>
    <row r="17" ht="15" customHeight="1" s="193">
      <c r="A17" s="224" t="inlineStr">
        <is>
          <t>Машины и механизмы</t>
        </is>
      </c>
      <c r="B17" s="272" t="n"/>
      <c r="C17" s="272" t="n"/>
      <c r="D17" s="272" t="n"/>
      <c r="E17" s="273" t="n"/>
      <c r="F17" s="166" t="n"/>
      <c r="G17" s="166" t="n"/>
      <c r="H17" s="278">
        <f>SUM(H18:H26)</f>
        <v/>
      </c>
      <c r="K17" s="91" t="n"/>
    </row>
    <row r="18" ht="25.5" customHeight="1" s="193">
      <c r="A18" s="170">
        <f>A16+1</f>
        <v/>
      </c>
      <c r="B18" s="101" t="n"/>
      <c r="C18" s="175" t="inlineStr">
        <is>
          <t>91.06.03-058</t>
        </is>
      </c>
      <c r="D18" s="173" t="inlineStr">
        <is>
          <t>Лебедки электрические тяговым усилием 156,96 кН (16 т)</t>
        </is>
      </c>
      <c r="E18" s="174" t="inlineStr">
        <is>
          <t>маш.-ч</t>
        </is>
      </c>
      <c r="F18" s="174" t="n">
        <v>15.538125</v>
      </c>
      <c r="G18" s="113" t="n">
        <v>131.44</v>
      </c>
      <c r="H18" s="172">
        <f>ROUND(F18*G18,2)</f>
        <v/>
      </c>
    </row>
    <row r="19" ht="25.5" customHeight="1" s="193">
      <c r="A19" s="170">
        <f>A18+1</f>
        <v/>
      </c>
      <c r="B19" s="101" t="n"/>
      <c r="C19" s="175" t="inlineStr">
        <is>
          <t>91.05.05-014</t>
        </is>
      </c>
      <c r="D19" s="173" t="inlineStr">
        <is>
          <t>Краны на автомобильном ходу, грузоподъемность 10 т</t>
        </is>
      </c>
      <c r="E19" s="174" t="inlineStr">
        <is>
          <t>маш.-ч</t>
        </is>
      </c>
      <c r="F19" s="114" t="n">
        <v>3.1253125</v>
      </c>
      <c r="G19" s="113" t="n">
        <v>111.99</v>
      </c>
      <c r="H19" s="172">
        <f>ROUND(F19*G19,2)</f>
        <v/>
      </c>
    </row>
    <row r="20">
      <c r="A20" s="170">
        <f>A19+1</f>
        <v/>
      </c>
      <c r="B20" s="101" t="n"/>
      <c r="C20" s="175" t="inlineStr">
        <is>
          <t>91.14.02-001</t>
        </is>
      </c>
      <c r="D20" s="173" t="inlineStr">
        <is>
          <t>Автомобили бортовые, грузоподъемность: до 5 т</t>
        </is>
      </c>
      <c r="E20" s="174" t="inlineStr">
        <is>
          <t>маш.-ч</t>
        </is>
      </c>
      <c r="F20" s="174" t="n">
        <v>3.096875</v>
      </c>
      <c r="G20" s="113" t="n">
        <v>65.70999999999999</v>
      </c>
      <c r="H20" s="172">
        <f>ROUND(F20*G20,2)</f>
        <v/>
      </c>
    </row>
    <row r="21" ht="25.5" customHeight="1" s="193">
      <c r="A21" s="170">
        <f>A20+1</f>
        <v/>
      </c>
      <c r="B21" s="101" t="n"/>
      <c r="C21" s="175" t="inlineStr">
        <is>
          <t>91.17.04-161</t>
        </is>
      </c>
      <c r="D21" s="173" t="inlineStr">
        <is>
          <t>Полуавтоматы сварочные номинальным сварочным током 40-500 А</t>
        </is>
      </c>
      <c r="E21" s="174" t="inlineStr">
        <is>
          <t>маш.-ч</t>
        </is>
      </c>
      <c r="F21" s="174" t="n">
        <v>3.5625</v>
      </c>
      <c r="G21" s="113" t="n">
        <v>16.44</v>
      </c>
      <c r="H21" s="172">
        <f>ROUND(F21*G21,2)</f>
        <v/>
      </c>
    </row>
    <row r="22">
      <c r="A22" s="170">
        <f>A21+1</f>
        <v/>
      </c>
      <c r="B22" s="101" t="n"/>
      <c r="C22" s="175" t="inlineStr">
        <is>
          <t>91.21.22-438</t>
        </is>
      </c>
      <c r="D22" s="173" t="inlineStr">
        <is>
          <t>Установка: передвижная цеолитовая</t>
        </is>
      </c>
      <c r="E22" s="174" t="inlineStr">
        <is>
          <t>маш.-ч</t>
        </is>
      </c>
      <c r="F22" s="174" t="n">
        <v>0.9875</v>
      </c>
      <c r="G22" s="113" t="n">
        <v>38.65</v>
      </c>
      <c r="H22" s="172">
        <f>ROUND(F22*G22,2)</f>
        <v/>
      </c>
    </row>
    <row r="23">
      <c r="A23" s="170">
        <f>A22+1</f>
        <v/>
      </c>
      <c r="B23" s="101" t="n"/>
      <c r="C23" s="175" t="inlineStr">
        <is>
          <t>91.19.12-021</t>
        </is>
      </c>
      <c r="D23" s="173" t="inlineStr">
        <is>
          <t>Насос вакуумный: 3,6 м3/мин</t>
        </is>
      </c>
      <c r="E23" s="174" t="inlineStr">
        <is>
          <t>маш.-ч</t>
        </is>
      </c>
      <c r="F23" s="174" t="n">
        <v>3.8875</v>
      </c>
      <c r="G23" s="113" t="n">
        <v>6.28</v>
      </c>
      <c r="H23" s="172">
        <f>ROUND(F23*G23,2)</f>
        <v/>
      </c>
    </row>
    <row r="24" ht="25.5" customHeight="1" s="193">
      <c r="A24" s="170">
        <f>A23+1</f>
        <v/>
      </c>
      <c r="B24" s="101" t="n"/>
      <c r="C24" s="175" t="inlineStr">
        <is>
          <t>91.21.22-091</t>
        </is>
      </c>
      <c r="D24" s="173" t="inlineStr">
        <is>
          <t>Выпрямитель полупроводниковый для подогрева трансформаторов</t>
        </is>
      </c>
      <c r="E24" s="174" t="inlineStr">
        <is>
          <t>маш.-ч</t>
        </is>
      </c>
      <c r="F24" s="174" t="n">
        <v>4.7125</v>
      </c>
      <c r="G24" s="113" t="n">
        <v>3.82</v>
      </c>
      <c r="H24" s="172">
        <f>ROUND(F24*G24,2)</f>
        <v/>
      </c>
    </row>
    <row r="25" ht="25.5" customHeight="1" s="193">
      <c r="A25" s="170">
        <f>A24+1</f>
        <v/>
      </c>
      <c r="B25" s="101" t="n"/>
      <c r="C25" s="175" t="inlineStr">
        <is>
          <t>91.19.02-002</t>
        </is>
      </c>
      <c r="D25" s="173" t="inlineStr">
        <is>
          <t>Маслонасосы шестеренные, производительность м3/час: 2,3</t>
        </is>
      </c>
      <c r="E25" s="174" t="inlineStr">
        <is>
          <t>маш.-ч</t>
        </is>
      </c>
      <c r="F25" s="174" t="n">
        <v>0.2475</v>
      </c>
      <c r="G25" s="113" t="n">
        <v>0.9</v>
      </c>
      <c r="H25" s="172">
        <f>ROUND(F25*G25,2)</f>
        <v/>
      </c>
    </row>
    <row r="26" ht="25.5" customHeight="1" s="193">
      <c r="A26" s="170">
        <f>A25+1</f>
        <v/>
      </c>
      <c r="B26" s="101" t="n"/>
      <c r="C26" s="175" t="inlineStr">
        <is>
          <t>91.17.04-233</t>
        </is>
      </c>
      <c r="D26" s="173" t="inlineStr">
        <is>
          <t>Установки для сварки: ручной дуговой (постоянного тока)</t>
        </is>
      </c>
      <c r="E26" s="174" t="inlineStr">
        <is>
          <t>маш.-ч</t>
        </is>
      </c>
      <c r="F26" s="174" t="n">
        <v>0.0125</v>
      </c>
      <c r="G26" s="113" t="n">
        <v>8.1</v>
      </c>
      <c r="H26" s="172">
        <f>ROUND(F26*G26,2)</f>
        <v/>
      </c>
    </row>
    <row r="27" ht="15" customHeight="1" s="193">
      <c r="A27" s="224" t="inlineStr">
        <is>
          <t>Оборудование</t>
        </is>
      </c>
      <c r="B27" s="272" t="n"/>
      <c r="C27" s="272" t="n"/>
      <c r="D27" s="272" t="n"/>
      <c r="E27" s="273" t="n"/>
      <c r="F27" s="166" t="n"/>
      <c r="G27" s="166" t="n"/>
      <c r="H27" s="278">
        <f>SUM(H28:H28)</f>
        <v/>
      </c>
    </row>
    <row r="28" ht="25.5" customHeight="1" s="193">
      <c r="A28" s="168">
        <f>A26+1</f>
        <v/>
      </c>
      <c r="B28" s="224" t="n"/>
      <c r="C28" s="170" t="inlineStr">
        <is>
          <t>Прайс из СД ОП</t>
        </is>
      </c>
      <c r="D28" s="171" t="inlineStr">
        <is>
          <t>Ячейка выключателя КРУ 20кВ, ном.ток 3150А, ном.ток отключения 50кА</t>
        </is>
      </c>
      <c r="E28" s="170" t="inlineStr">
        <is>
          <t>шт.</t>
        </is>
      </c>
      <c r="F28" s="170" t="n">
        <v>1</v>
      </c>
      <c r="G28" s="172" t="n">
        <v>2549079.87</v>
      </c>
      <c r="H28" s="172" t="n">
        <v>2549079.87</v>
      </c>
    </row>
    <row r="29" ht="15" customHeight="1" s="193">
      <c r="A29" s="224" t="inlineStr">
        <is>
          <t>Материалы</t>
        </is>
      </c>
      <c r="B29" s="272" t="n"/>
      <c r="C29" s="272" t="n"/>
      <c r="D29" s="272" t="n"/>
      <c r="E29" s="273" t="n"/>
      <c r="F29" s="166" t="n"/>
      <c r="G29" s="166" t="n"/>
      <c r="H29" s="278">
        <f>SUM(H30:H54)</f>
        <v/>
      </c>
      <c r="K29" s="91" t="n"/>
    </row>
    <row r="30" s="193">
      <c r="A30" s="168">
        <f>A28+1</f>
        <v/>
      </c>
      <c r="B30" s="101" t="n"/>
      <c r="C30" s="170" t="inlineStr">
        <is>
          <t>01.1.02.01-0003</t>
        </is>
      </c>
      <c r="D30" s="173" t="inlineStr">
        <is>
          <t>Асботекстолит, марка Г</t>
        </is>
      </c>
      <c r="E30" s="174" t="inlineStr">
        <is>
          <t>т</t>
        </is>
      </c>
      <c r="F30" s="174" t="n">
        <v>0.0255</v>
      </c>
      <c r="G30" s="172" t="n">
        <v>161000</v>
      </c>
      <c r="H30" s="172">
        <f>ROUND(F30*G30,2)</f>
        <v/>
      </c>
    </row>
    <row r="31" s="193">
      <c r="A31" s="168">
        <f>A30+1</f>
        <v/>
      </c>
      <c r="B31" s="101" t="n"/>
      <c r="C31" s="175" t="inlineStr">
        <is>
          <t>01.3.02.02-0001</t>
        </is>
      </c>
      <c r="D31" s="173" t="inlineStr">
        <is>
          <t>Аргон газообразный, сорт I</t>
        </is>
      </c>
      <c r="E31" s="174" t="inlineStr">
        <is>
          <t>м3</t>
        </is>
      </c>
      <c r="F31" s="174" t="n">
        <v>121.5</v>
      </c>
      <c r="G31" s="172" t="n">
        <v>17.86</v>
      </c>
      <c r="H31" s="172">
        <f>ROUND(F31*G31,2)</f>
        <v/>
      </c>
    </row>
    <row r="32" s="193">
      <c r="A32" s="168">
        <f>A31+1</f>
        <v/>
      </c>
      <c r="B32" s="101" t="n"/>
      <c r="C32" s="175" t="inlineStr">
        <is>
          <t>21.1.08.03-0078</t>
        </is>
      </c>
      <c r="D32" s="173" t="inlineStr">
        <is>
          <t>Кабель контрольный КВВГЭнг(A)-FRLS 5х2,5</t>
        </is>
      </c>
      <c r="E32" s="174" t="inlineStr">
        <is>
          <t>1000 м</t>
        </is>
      </c>
      <c r="F32" s="174" t="n">
        <v>0.05</v>
      </c>
      <c r="G32" s="172" t="n">
        <v>36884.36</v>
      </c>
      <c r="H32" s="172">
        <f>ROUND(F32*G32,2)</f>
        <v/>
      </c>
    </row>
    <row r="33" ht="25.5" customHeight="1" s="193">
      <c r="A33" s="168">
        <f>A32+1</f>
        <v/>
      </c>
      <c r="B33" s="101" t="n"/>
      <c r="C33" s="175" t="inlineStr">
        <is>
          <t>01.1.02.09-0021</t>
        </is>
      </c>
      <c r="D33" s="173" t="inlineStr">
        <is>
          <t>Ткань асбестовая со стеклонитью АСТ-1, толщина 1,8 мм</t>
        </is>
      </c>
      <c r="E33" s="174" t="inlineStr">
        <is>
          <t>т</t>
        </is>
      </c>
      <c r="F33" s="174" t="n">
        <v>0.0268</v>
      </c>
      <c r="G33" s="172" t="n">
        <v>66860</v>
      </c>
      <c r="H33" s="172">
        <f>ROUND(F33*G33,2)</f>
        <v/>
      </c>
    </row>
    <row r="34" s="193">
      <c r="A34" s="168">
        <f>A33+1</f>
        <v/>
      </c>
      <c r="B34" s="101" t="n"/>
      <c r="C34" s="175" t="inlineStr">
        <is>
          <t>01.7.11.04-0002</t>
        </is>
      </c>
      <c r="D34" s="173" t="inlineStr">
        <is>
          <t>Проволока наплавочная ПП-Нп-19СТ, диаметр 3 мм</t>
        </is>
      </c>
      <c r="E34" s="174" t="inlineStr">
        <is>
          <t>т</t>
        </is>
      </c>
      <c r="F34" s="174" t="n">
        <v>0.08699999999999999</v>
      </c>
      <c r="G34" s="172" t="n">
        <v>20300</v>
      </c>
      <c r="H34" s="172">
        <f>ROUND(F34*G34,2)</f>
        <v/>
      </c>
    </row>
    <row r="35" ht="25.5" customHeight="1" s="193">
      <c r="A35" s="168">
        <f>A34+1</f>
        <v/>
      </c>
      <c r="B35" s="101" t="n"/>
      <c r="C35" s="175" t="inlineStr">
        <is>
          <t>25.1.01.04-0012</t>
        </is>
      </c>
      <c r="D35" s="173" t="inlineStr">
        <is>
          <t>Шпалы из древесины хвойных пород для колеи 600 мм, непропитанные, длина 1200 мм, тип II</t>
        </is>
      </c>
      <c r="E35" s="174" t="inlineStr">
        <is>
          <t>шт</t>
        </is>
      </c>
      <c r="F35" s="174" t="n">
        <v>30</v>
      </c>
      <c r="G35" s="172" t="n">
        <v>42.6</v>
      </c>
      <c r="H35" s="172">
        <f>ROUND(F35*G35,2)</f>
        <v/>
      </c>
    </row>
    <row r="36" s="193">
      <c r="A36" s="168">
        <f>A35+1</f>
        <v/>
      </c>
      <c r="B36" s="101" t="n"/>
      <c r="C36" s="175" t="inlineStr">
        <is>
          <t>01.3.02.03-0001</t>
        </is>
      </c>
      <c r="D36" s="173" t="inlineStr">
        <is>
          <t>Ацетилен газообразный технический</t>
        </is>
      </c>
      <c r="E36" s="174" t="inlineStr">
        <is>
          <t>м3</t>
        </is>
      </c>
      <c r="F36" s="174" t="n">
        <v>16.5</v>
      </c>
      <c r="G36" s="172" t="n">
        <v>38.51</v>
      </c>
      <c r="H36" s="172">
        <f>ROUND(F36*G36,2)</f>
        <v/>
      </c>
    </row>
    <row r="37" s="193">
      <c r="A37" s="168">
        <f>A36+1</f>
        <v/>
      </c>
      <c r="B37" s="101" t="n"/>
      <c r="C37" s="175" t="inlineStr">
        <is>
          <t>01.7.02.06-0017</t>
        </is>
      </c>
      <c r="D37" s="173" t="inlineStr">
        <is>
          <t>Картон строительный прокладочный, марка Б</t>
        </is>
      </c>
      <c r="E37" s="174" t="inlineStr">
        <is>
          <t>т</t>
        </is>
      </c>
      <c r="F37" s="174" t="n">
        <v>0.03</v>
      </c>
      <c r="G37" s="172" t="n">
        <v>19800</v>
      </c>
      <c r="H37" s="172">
        <f>ROUND(F37*G37,2)</f>
        <v/>
      </c>
    </row>
    <row r="38" s="193">
      <c r="A38" s="168">
        <f>A37+1</f>
        <v/>
      </c>
      <c r="B38" s="101" t="n"/>
      <c r="C38" s="175" t="inlineStr">
        <is>
          <t>14.4.02.09-0001</t>
        </is>
      </c>
      <c r="D38" s="173" t="inlineStr">
        <is>
          <t>Краска</t>
        </is>
      </c>
      <c r="E38" s="174" t="inlineStr">
        <is>
          <t>кг</t>
        </is>
      </c>
      <c r="F38" s="174" t="n">
        <v>15.2</v>
      </c>
      <c r="G38" s="172" t="n">
        <v>28.6</v>
      </c>
      <c r="H38" s="172">
        <f>ROUND(F38*G38,2)</f>
        <v/>
      </c>
    </row>
    <row r="39" s="193">
      <c r="A39" s="168">
        <f>A38+1</f>
        <v/>
      </c>
      <c r="B39" s="101" t="n"/>
      <c r="C39" s="175" t="inlineStr">
        <is>
          <t>999-9950</t>
        </is>
      </c>
      <c r="D39" s="173" t="inlineStr">
        <is>
          <t>Вспомогательные ненормируемые ресурсы</t>
        </is>
      </c>
      <c r="E39" s="174" t="inlineStr">
        <is>
          <t>руб.</t>
        </is>
      </c>
      <c r="F39" s="174" t="n">
        <v>478.05</v>
      </c>
      <c r="G39" s="172" t="n">
        <v>1</v>
      </c>
      <c r="H39" s="172">
        <f>ROUND(F39*G39,2)</f>
        <v/>
      </c>
    </row>
    <row r="40" ht="25.5" customHeight="1" s="193">
      <c r="A40" s="168">
        <f>A39+1</f>
        <v/>
      </c>
      <c r="B40" s="101" t="n"/>
      <c r="C40" s="175" t="inlineStr">
        <is>
          <t>01.7.19.04-0031</t>
        </is>
      </c>
      <c r="D40" s="173" t="inlineStr">
        <is>
          <t>Прокладки резиновые (пластина техническая прессованная)</t>
        </is>
      </c>
      <c r="E40" s="174" t="inlineStr">
        <is>
          <t>кг</t>
        </is>
      </c>
      <c r="F40" s="174" t="n">
        <v>18.75</v>
      </c>
      <c r="G40" s="172" t="n">
        <v>23.09</v>
      </c>
      <c r="H40" s="172">
        <f>ROUND(F40*G40,2)</f>
        <v/>
      </c>
    </row>
    <row r="41" s="193">
      <c r="A41" s="168">
        <f>A40+1</f>
        <v/>
      </c>
      <c r="B41" s="101" t="n"/>
      <c r="C41" s="175" t="inlineStr">
        <is>
          <t>07.2.07.13-0171</t>
        </is>
      </c>
      <c r="D41" s="173" t="inlineStr">
        <is>
          <t>Подкладки металлические</t>
        </is>
      </c>
      <c r="E41" s="174" t="inlineStr">
        <is>
          <t>кг</t>
        </is>
      </c>
      <c r="F41" s="174" t="n">
        <v>30</v>
      </c>
      <c r="G41" s="172" t="n">
        <v>12.6</v>
      </c>
      <c r="H41" s="172">
        <f>ROUND(F41*G41,2)</f>
        <v/>
      </c>
    </row>
    <row r="42" ht="25.5" customHeight="1" s="193">
      <c r="A42" s="168">
        <f>A41+1</f>
        <v/>
      </c>
      <c r="B42" s="101" t="n"/>
      <c r="C42" s="175" t="inlineStr">
        <is>
          <t>11.1.03.05-0085</t>
        </is>
      </c>
      <c r="D42" s="173" t="inlineStr">
        <is>
          <t>Доски необрезные хвойных пород длиной: 4-6,5 м, все ширины, толщиной 44 мм и более, III сорта</t>
        </is>
      </c>
      <c r="E42" s="174" t="inlineStr">
        <is>
          <t>м3</t>
        </is>
      </c>
      <c r="F42" s="174" t="n">
        <v>0.3</v>
      </c>
      <c r="G42" s="172" t="n">
        <v>684</v>
      </c>
      <c r="H42" s="172">
        <f>ROUND(F42*G42,2)</f>
        <v/>
      </c>
    </row>
    <row r="43" s="193">
      <c r="A43" s="168">
        <f>A42+1</f>
        <v/>
      </c>
      <c r="B43" s="101" t="n"/>
      <c r="C43" s="175" t="inlineStr">
        <is>
          <t>01.7.15.06-0121</t>
        </is>
      </c>
      <c r="D43" s="173" t="inlineStr">
        <is>
          <t>Гвозди строительные с плоской головкой: 1,6x50 мм</t>
        </is>
      </c>
      <c r="E43" s="174" t="inlineStr">
        <is>
          <t>т</t>
        </is>
      </c>
      <c r="F43" s="174" t="n">
        <v>0.0225</v>
      </c>
      <c r="G43" s="172" t="n">
        <v>8475</v>
      </c>
      <c r="H43" s="172">
        <f>ROUND(F43*G43,2)</f>
        <v/>
      </c>
    </row>
    <row r="44" s="193">
      <c r="A44" s="168">
        <f>A43+1</f>
        <v/>
      </c>
      <c r="B44" s="101" t="n"/>
      <c r="C44" s="175" t="inlineStr">
        <is>
          <t>14.5.09.01-0003</t>
        </is>
      </c>
      <c r="D44" s="173" t="inlineStr">
        <is>
          <t>Ацетон технический, сорт высший</t>
        </is>
      </c>
      <c r="E44" s="174" t="inlineStr">
        <is>
          <t>т</t>
        </is>
      </c>
      <c r="F44" s="174" t="n">
        <v>0.018</v>
      </c>
      <c r="G44" s="172" t="n">
        <v>9360</v>
      </c>
      <c r="H44" s="172">
        <f>ROUND(F44*G44,2)</f>
        <v/>
      </c>
    </row>
    <row r="45" ht="25.5" customHeight="1" s="193">
      <c r="A45" s="168">
        <f>A44+1</f>
        <v/>
      </c>
      <c r="B45" s="101" t="n"/>
      <c r="C45" s="175" t="inlineStr">
        <is>
          <t>21.1.06.10-0376</t>
        </is>
      </c>
      <c r="D45" s="173" t="inlineStr">
        <is>
          <t>Кабель силовой с медными жилами ВВГнг(A)-LS 3х2,5ок-1000</t>
        </is>
      </c>
      <c r="E45" s="174" t="inlineStr">
        <is>
          <t>1000 м</t>
        </is>
      </c>
      <c r="F45" s="174" t="n">
        <v>0.01</v>
      </c>
      <c r="G45" s="172" t="n">
        <v>14498.24</v>
      </c>
      <c r="H45" s="172">
        <f>ROUND(F45*G45,2)</f>
        <v/>
      </c>
    </row>
    <row r="46" s="193">
      <c r="A46" s="168">
        <f>A45+1</f>
        <v/>
      </c>
      <c r="B46" s="101" t="n"/>
      <c r="C46" s="175" t="inlineStr">
        <is>
          <t>01.7.15.10-0053</t>
        </is>
      </c>
      <c r="D46" s="173" t="inlineStr">
        <is>
          <t>Скобы: металлические</t>
        </is>
      </c>
      <c r="E46" s="174" t="inlineStr">
        <is>
          <t>кг</t>
        </is>
      </c>
      <c r="F46" s="174" t="n">
        <v>21</v>
      </c>
      <c r="G46" s="172" t="n">
        <v>6.4</v>
      </c>
      <c r="H46" s="172">
        <f>ROUND(F46*G46,2)</f>
        <v/>
      </c>
    </row>
    <row r="47" s="193">
      <c r="A47" s="168">
        <f>A46+1</f>
        <v/>
      </c>
      <c r="B47" s="101" t="n"/>
      <c r="C47" s="175" t="inlineStr">
        <is>
          <t>01.7.11.07-0034</t>
        </is>
      </c>
      <c r="D47" s="173" t="inlineStr">
        <is>
          <t>Электроды диаметром: 4 мм Э42А</t>
        </is>
      </c>
      <c r="E47" s="174" t="inlineStr">
        <is>
          <t>кг</t>
        </is>
      </c>
      <c r="F47" s="174" t="n">
        <v>12</v>
      </c>
      <c r="G47" s="172" t="n">
        <v>10.57</v>
      </c>
      <c r="H47" s="172">
        <f>ROUND(F47*G47,2)</f>
        <v/>
      </c>
    </row>
    <row r="48" s="193">
      <c r="A48" s="168">
        <f>A47+1</f>
        <v/>
      </c>
      <c r="B48" s="101" t="n"/>
      <c r="C48" s="175" t="inlineStr">
        <is>
          <t>01.3.02.08-0001</t>
        </is>
      </c>
      <c r="D48" s="173" t="inlineStr">
        <is>
          <t>Кислород технический: газообразный</t>
        </is>
      </c>
      <c r="E48" s="174" t="inlineStr">
        <is>
          <t>м3</t>
        </is>
      </c>
      <c r="F48" s="174" t="n">
        <v>15.45</v>
      </c>
      <c r="G48" s="172" t="n">
        <v>6.22</v>
      </c>
      <c r="H48" s="172">
        <f>ROUND(F48*G48,2)</f>
        <v/>
      </c>
    </row>
    <row r="49" s="193">
      <c r="A49" s="168">
        <f>A48+1</f>
        <v/>
      </c>
      <c r="B49" s="101" t="n"/>
      <c r="C49" s="175" t="inlineStr">
        <is>
          <t>01.3.01.07-0008</t>
        </is>
      </c>
      <c r="D49" s="173" t="inlineStr">
        <is>
          <t>Спирт этиловый ректификованный технический, сорт I</t>
        </is>
      </c>
      <c r="E49" s="174" t="inlineStr">
        <is>
          <t>т</t>
        </is>
      </c>
      <c r="F49" s="174" t="n">
        <v>0.0024</v>
      </c>
      <c r="G49" s="172" t="n">
        <v>38890</v>
      </c>
      <c r="H49" s="172">
        <f>ROUND(F49*G49,2)</f>
        <v/>
      </c>
    </row>
    <row r="50" s="193">
      <c r="A50" s="168">
        <f>A49+1</f>
        <v/>
      </c>
      <c r="B50" s="101" t="n"/>
      <c r="C50" s="175" t="inlineStr">
        <is>
          <t>01.7.15.03-0042</t>
        </is>
      </c>
      <c r="D50" s="173" t="inlineStr">
        <is>
          <t>Болты с гайками и шайбами строительные</t>
        </is>
      </c>
      <c r="E50" s="174" t="inlineStr">
        <is>
          <t>кг</t>
        </is>
      </c>
      <c r="F50" s="174" t="n">
        <v>1.29</v>
      </c>
      <c r="G50" s="172" t="n">
        <v>9.039999999999999</v>
      </c>
      <c r="H50" s="172">
        <f>ROUND(F50*G50,2)</f>
        <v/>
      </c>
    </row>
    <row r="51" ht="25.5" customHeight="1" s="193">
      <c r="A51" s="168">
        <f>A50+1</f>
        <v/>
      </c>
      <c r="B51" s="101" t="n"/>
      <c r="C51" s="175" t="inlineStr">
        <is>
          <t>01.3.01.06-0050</t>
        </is>
      </c>
      <c r="D51" s="173" t="inlineStr">
        <is>
          <t>Смазка универсальная тугоплавкая УТ (консталин жировой)</t>
        </is>
      </c>
      <c r="E51" s="174" t="inlineStr">
        <is>
          <t>т</t>
        </is>
      </c>
      <c r="F51" s="174" t="n">
        <v>0.0003</v>
      </c>
      <c r="G51" s="172" t="n">
        <v>17500</v>
      </c>
      <c r="H51" s="172">
        <f>ROUND(F51*G51,2)</f>
        <v/>
      </c>
    </row>
    <row r="52" ht="25.5" customHeight="1" s="193">
      <c r="A52" s="168">
        <f>A51+1</f>
        <v/>
      </c>
      <c r="B52" s="101" t="n"/>
      <c r="C52" s="175" t="inlineStr">
        <is>
          <t>08.3.07.01-0076</t>
        </is>
      </c>
      <c r="D52" s="173" t="inlineStr">
        <is>
          <t>Сталь полосовая, марка стали: Ст3сп шириной 50-200 мм толщиной 4-5 мм</t>
        </is>
      </c>
      <c r="E52" s="174" t="inlineStr">
        <is>
          <t>т</t>
        </is>
      </c>
      <c r="F52" s="174" t="n">
        <v>0.001</v>
      </c>
      <c r="G52" s="172" t="n">
        <v>5000</v>
      </c>
      <c r="H52" s="172">
        <f>ROUND(F52*G52,2)</f>
        <v/>
      </c>
    </row>
    <row r="53" s="193">
      <c r="A53" s="168">
        <f>A52+1</f>
        <v/>
      </c>
      <c r="B53" s="101" t="n"/>
      <c r="C53" s="175" t="inlineStr">
        <is>
          <t>01.7.06.07-0003</t>
        </is>
      </c>
      <c r="D53" s="173" t="inlineStr">
        <is>
          <t>Лента с запонками ЛМЗ</t>
        </is>
      </c>
      <c r="E53" s="174" t="inlineStr">
        <is>
          <t>100 м</t>
        </is>
      </c>
      <c r="F53" s="174" t="n">
        <v>0.025</v>
      </c>
      <c r="G53" s="172" t="n">
        <v>126</v>
      </c>
      <c r="H53" s="172">
        <f>ROUND(F53*G53,2)</f>
        <v/>
      </c>
    </row>
    <row r="54" s="193">
      <c r="A54" s="168">
        <f>A53+1</f>
        <v/>
      </c>
      <c r="B54" s="101" t="n"/>
      <c r="C54" s="175" t="inlineStr">
        <is>
          <t>01.7.20.08-0102</t>
        </is>
      </c>
      <c r="D54" s="173" t="inlineStr">
        <is>
          <t>Миткаль «Т-2» суровый (суровье)</t>
        </is>
      </c>
      <c r="E54" s="174" t="inlineStr">
        <is>
          <t>10 м</t>
        </is>
      </c>
      <c r="F54" s="174" t="n">
        <v>0.03</v>
      </c>
      <c r="G54" s="172" t="n">
        <v>73.65000000000001</v>
      </c>
      <c r="H54" s="172">
        <f>ROUND(F54*G54,2)</f>
        <v/>
      </c>
    </row>
    <row r="55">
      <c r="K55" s="282" t="n"/>
    </row>
    <row r="57">
      <c r="B57" s="190" t="inlineStr">
        <is>
          <t>Составил ______________________        А.Р. Маркова</t>
        </is>
      </c>
      <c r="C57" s="188" t="n"/>
    </row>
    <row r="58">
      <c r="B58" s="187" t="inlineStr">
        <is>
          <t xml:space="preserve">                         (подпись, инициалы, фамилия)</t>
        </is>
      </c>
      <c r="C58" s="188" t="n"/>
    </row>
    <row r="59">
      <c r="B59" s="190" t="n"/>
      <c r="C59" s="188" t="n"/>
    </row>
    <row r="60">
      <c r="B60" s="190" t="inlineStr">
        <is>
          <t>Проверил ______________________        А.В. Костянецкая</t>
        </is>
      </c>
      <c r="C60" s="188" t="n"/>
    </row>
    <row r="61">
      <c r="B61" s="187" t="inlineStr">
        <is>
          <t xml:space="preserve">                        (подпись, инициалы, фамилия)</t>
        </is>
      </c>
      <c r="C61" s="188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12:E12"/>
    <mergeCell ref="A9:A10"/>
    <mergeCell ref="A15:E15"/>
    <mergeCell ref="A2:H2"/>
    <mergeCell ref="C4:H4"/>
    <mergeCell ref="G9:H9"/>
    <mergeCell ref="A17:E17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93" min="1" max="1"/>
    <col width="36.28515625" customWidth="1" style="193" min="2" max="2"/>
    <col width="18.85546875" customWidth="1" style="193" min="3" max="3"/>
    <col width="18.28515625" customWidth="1" style="193" min="4" max="4"/>
    <col width="18.85546875" customWidth="1" style="193" min="5" max="5"/>
    <col width="9.140625" customWidth="1" style="193" min="6" max="6"/>
    <col width="12.85546875" customWidth="1" style="193" min="7" max="7"/>
    <col width="9.140625" customWidth="1" style="193" min="8" max="11"/>
    <col width="13.5703125" customWidth="1" style="193" min="12" max="12"/>
    <col width="9.140625" customWidth="1" style="193" min="13" max="13"/>
  </cols>
  <sheetData>
    <row r="1">
      <c r="B1" s="190" t="n"/>
      <c r="C1" s="190" t="n"/>
      <c r="D1" s="190" t="n"/>
      <c r="E1" s="190" t="n"/>
    </row>
    <row r="2">
      <c r="B2" s="190" t="n"/>
      <c r="C2" s="190" t="n"/>
      <c r="D2" s="190" t="n"/>
      <c r="E2" s="256" t="inlineStr">
        <is>
          <t>Приложение № 4</t>
        </is>
      </c>
    </row>
    <row r="3">
      <c r="B3" s="190" t="n"/>
      <c r="C3" s="190" t="n"/>
      <c r="D3" s="190" t="n"/>
      <c r="E3" s="190" t="n"/>
    </row>
    <row r="4">
      <c r="B4" s="190" t="n"/>
      <c r="C4" s="190" t="n"/>
      <c r="D4" s="190" t="n"/>
      <c r="E4" s="190" t="n"/>
    </row>
    <row r="5">
      <c r="B5" s="230" t="inlineStr">
        <is>
          <t>Ресурсная модель</t>
        </is>
      </c>
    </row>
    <row r="6">
      <c r="B6" s="18" t="n"/>
      <c r="C6" s="190" t="n"/>
      <c r="D6" s="190" t="n"/>
      <c r="E6" s="190" t="n"/>
    </row>
    <row r="7" ht="34.5" customHeight="1" s="193">
      <c r="B7" s="231">
        <f>'Прил.1 Сравнит табл'!B7</f>
        <v/>
      </c>
    </row>
    <row r="8">
      <c r="B8" s="232">
        <f>'Прил.1 Сравнит табл'!B9</f>
        <v/>
      </c>
    </row>
    <row r="9">
      <c r="B9" s="18" t="n"/>
      <c r="C9" s="190" t="n"/>
      <c r="D9" s="190" t="n"/>
      <c r="E9" s="190" t="n"/>
    </row>
    <row r="10" ht="51" customHeight="1" s="193">
      <c r="B10" s="181" t="inlineStr">
        <is>
          <t>Наименование</t>
        </is>
      </c>
      <c r="C10" s="181" t="inlineStr">
        <is>
          <t>Сметная стоимость в ценах на 01.01.2023
 (руб.)</t>
        </is>
      </c>
      <c r="D10" s="181" t="inlineStr">
        <is>
          <t>Удельный вес, 
(в СМР)</t>
        </is>
      </c>
      <c r="E10" s="181" t="inlineStr">
        <is>
          <t>Удельный вес, % 
(от всего по РМ)</t>
        </is>
      </c>
    </row>
    <row r="11">
      <c r="B11" s="34" t="inlineStr">
        <is>
          <t>Оплата труда рабочих</t>
        </is>
      </c>
      <c r="C11" s="182">
        <f>'Прил.5 Расчет СМР и ОБ'!J15</f>
        <v/>
      </c>
      <c r="D11" s="36">
        <f>C11/$C$24</f>
        <v/>
      </c>
      <c r="E11" s="36">
        <f>C11/$C$40</f>
        <v/>
      </c>
    </row>
    <row r="12">
      <c r="B12" s="34" t="inlineStr">
        <is>
          <t>Эксплуатация машин основных</t>
        </is>
      </c>
      <c r="C12" s="182">
        <f>'Прил.5 Расчет СМР и ОБ'!J24</f>
        <v/>
      </c>
      <c r="D12" s="36">
        <f>C12/$C$24</f>
        <v/>
      </c>
      <c r="E12" s="36">
        <f>C12/$C$40</f>
        <v/>
      </c>
    </row>
    <row r="13">
      <c r="B13" s="34" t="inlineStr">
        <is>
          <t>Эксплуатация машин прочих</t>
        </is>
      </c>
      <c r="C13" s="182">
        <f>'Прил.5 Расчет СМР и ОБ'!J33</f>
        <v/>
      </c>
      <c r="D13" s="36">
        <f>C13/$C$24</f>
        <v/>
      </c>
      <c r="E13" s="36">
        <f>C13/$C$40</f>
        <v/>
      </c>
    </row>
    <row r="14">
      <c r="B14" s="34" t="inlineStr">
        <is>
          <t>ЭКСПЛУАТАЦИЯ МАШИН, ВСЕГО:</t>
        </is>
      </c>
      <c r="C14" s="182">
        <f>C13+C12</f>
        <v/>
      </c>
      <c r="D14" s="36">
        <f>C14/$C$24</f>
        <v/>
      </c>
      <c r="E14" s="36">
        <f>C14/$C$40</f>
        <v/>
      </c>
    </row>
    <row r="15">
      <c r="B15" s="34" t="inlineStr">
        <is>
          <t>в том числе зарплата машинистов</t>
        </is>
      </c>
      <c r="C15" s="182">
        <f>'Прил.5 Расчет СМР и ОБ'!J18</f>
        <v/>
      </c>
      <c r="D15" s="36">
        <f>C15/$C$24</f>
        <v/>
      </c>
      <c r="E15" s="36">
        <f>C15/$C$40</f>
        <v/>
      </c>
    </row>
    <row r="16">
      <c r="B16" s="34" t="inlineStr">
        <is>
          <t>Материалы основные</t>
        </is>
      </c>
      <c r="C16" s="182">
        <f>'Прил.5 Расчет СМР и ОБ'!J46</f>
        <v/>
      </c>
      <c r="D16" s="36">
        <f>C16/$C$24</f>
        <v/>
      </c>
      <c r="E16" s="36">
        <f>C16/$C$40</f>
        <v/>
      </c>
    </row>
    <row r="17">
      <c r="B17" s="34" t="inlineStr">
        <is>
          <t>Материалы прочие</t>
        </is>
      </c>
      <c r="C17" s="182">
        <f>'Прил.5 Расчет СМР и ОБ'!J47</f>
        <v/>
      </c>
      <c r="D17" s="36">
        <f>C17/$C$24</f>
        <v/>
      </c>
      <c r="E17" s="36">
        <f>C17/$C$40</f>
        <v/>
      </c>
      <c r="G17" s="283" t="n"/>
    </row>
    <row r="18">
      <c r="B18" s="34" t="inlineStr">
        <is>
          <t>МАТЕРИАЛЫ, ВСЕГО:</t>
        </is>
      </c>
      <c r="C18" s="182">
        <f>C17+C16</f>
        <v/>
      </c>
      <c r="D18" s="36">
        <f>C18/$C$24</f>
        <v/>
      </c>
      <c r="E18" s="36">
        <f>C18/$C$40</f>
        <v/>
      </c>
    </row>
    <row r="19">
      <c r="B19" s="34" t="inlineStr">
        <is>
          <t>ИТОГО</t>
        </is>
      </c>
      <c r="C19" s="182">
        <f>C18+C14+C11</f>
        <v/>
      </c>
      <c r="D19" s="36" t="n"/>
      <c r="E19" s="34" t="n"/>
    </row>
    <row r="20">
      <c r="B20" s="34" t="inlineStr">
        <is>
          <t>Сметная прибыль, руб.</t>
        </is>
      </c>
      <c r="C20" s="182">
        <f>ROUND(C21*(C11+C15),2)</f>
        <v/>
      </c>
      <c r="D20" s="36">
        <f>C20/$C$24</f>
        <v/>
      </c>
      <c r="E20" s="36">
        <f>C20/$C$40</f>
        <v/>
      </c>
    </row>
    <row r="21">
      <c r="B21" s="34" t="inlineStr">
        <is>
          <t>Сметная прибыль, %</t>
        </is>
      </c>
      <c r="C21" s="39">
        <f>'Прил.5 Расчет СМР и ОБ'!E53</f>
        <v/>
      </c>
      <c r="D21" s="36" t="n"/>
      <c r="E21" s="34" t="n"/>
    </row>
    <row r="22">
      <c r="B22" s="34" t="inlineStr">
        <is>
          <t>Накладные расходы, руб.</t>
        </is>
      </c>
      <c r="C22" s="182">
        <f>ROUND(C23*(C11+C15),2)</f>
        <v/>
      </c>
      <c r="D22" s="36">
        <f>C22/$C$24</f>
        <v/>
      </c>
      <c r="E22" s="36">
        <f>C22/$C$40</f>
        <v/>
      </c>
    </row>
    <row r="23">
      <c r="B23" s="34" t="inlineStr">
        <is>
          <t>Накладные расходы, %</t>
        </is>
      </c>
      <c r="C23" s="39">
        <f>'Прил.5 Расчет СМР и ОБ'!E51</f>
        <v/>
      </c>
      <c r="D23" s="36" t="n"/>
      <c r="E23" s="34" t="n"/>
    </row>
    <row r="24">
      <c r="B24" s="34" t="inlineStr">
        <is>
          <t>ВСЕГО СМР с НР и СП</t>
        </is>
      </c>
      <c r="C24" s="182">
        <f>C19+C20+C22</f>
        <v/>
      </c>
      <c r="D24" s="36">
        <f>C24/$C$24</f>
        <v/>
      </c>
      <c r="E24" s="36">
        <f>C24/$C$40</f>
        <v/>
      </c>
    </row>
    <row r="25" ht="25.5" customHeight="1" s="193">
      <c r="B25" s="34" t="inlineStr">
        <is>
          <t>ВСЕГО стоимость оборудования, в том числе</t>
        </is>
      </c>
      <c r="C25" s="182">
        <f>'Прил.5 Расчет СМР и ОБ'!J43</f>
        <v/>
      </c>
      <c r="D25" s="36" t="n"/>
      <c r="E25" s="36">
        <f>C25/$C$40</f>
        <v/>
      </c>
    </row>
    <row r="26" ht="25.5" customHeight="1" s="193">
      <c r="B26" s="34" t="inlineStr">
        <is>
          <t>стоимость оборудования технологического</t>
        </is>
      </c>
      <c r="C26" s="182">
        <f>C25</f>
        <v/>
      </c>
      <c r="D26" s="36" t="n"/>
      <c r="E26" s="36">
        <f>C26/$C$40</f>
        <v/>
      </c>
    </row>
    <row r="27">
      <c r="B27" s="34" t="inlineStr">
        <is>
          <t>ИТОГО (СМР + ОБОРУДОВАНИЕ)</t>
        </is>
      </c>
      <c r="C27" s="35">
        <f>C24+C25</f>
        <v/>
      </c>
      <c r="D27" s="36" t="n"/>
      <c r="E27" s="36">
        <f>C27/$C$40</f>
        <v/>
      </c>
    </row>
    <row r="28" ht="33" customHeight="1" s="193">
      <c r="B28" s="34" t="inlineStr">
        <is>
          <t>ПРОЧ. ЗАТР., УЧТЕННЫЕ ПОКАЗАТЕЛЕМ,  в том числе</t>
        </is>
      </c>
      <c r="C28" s="34" t="n"/>
      <c r="D28" s="34" t="n"/>
      <c r="E28" s="34" t="n"/>
    </row>
    <row r="29" ht="25.5" customHeight="1" s="193">
      <c r="B29" s="34" t="inlineStr">
        <is>
          <t>Временные здания и сооружения - 3,9%</t>
        </is>
      </c>
      <c r="C29" s="35">
        <f>ROUND(C24*3.9%,2)</f>
        <v/>
      </c>
      <c r="D29" s="34" t="n"/>
      <c r="E29" s="36">
        <f>C29/$C$40</f>
        <v/>
      </c>
    </row>
    <row r="30" ht="38.25" customHeight="1" s="193">
      <c r="B30" s="34" t="inlineStr">
        <is>
          <t>Дополнительные затраты при производстве строительно-монтажных работ в зимнее время - 2,1%</t>
        </is>
      </c>
      <c r="C30" s="35">
        <f>ROUND((C24+C29)*2.1%,2)</f>
        <v/>
      </c>
      <c r="D30" s="34" t="n"/>
      <c r="E30" s="36">
        <f>C30/$C$40</f>
        <v/>
      </c>
    </row>
    <row r="31">
      <c r="B31" s="34" t="inlineStr">
        <is>
          <t>Пусконаладочные работы</t>
        </is>
      </c>
      <c r="C31" s="35" t="n">
        <v>0</v>
      </c>
      <c r="D31" s="34" t="n"/>
      <c r="E31" s="36">
        <f>C31/$C$40</f>
        <v/>
      </c>
    </row>
    <row r="32" ht="25.5" customHeight="1" s="193">
      <c r="B32" s="34" t="inlineStr">
        <is>
          <t>Затраты по перевозке работников к месту работы и обратно</t>
        </is>
      </c>
      <c r="C32" s="94">
        <f>ROUND($C$27*0%,2)</f>
        <v/>
      </c>
      <c r="D32" s="34" t="n"/>
      <c r="E32" s="36">
        <f>C32/$C$40</f>
        <v/>
      </c>
    </row>
    <row r="33" ht="25.5" customHeight="1" s="193">
      <c r="B33" s="34" t="inlineStr">
        <is>
          <t>Затраты, связанные с осуществлением работ вахтовым методом</t>
        </is>
      </c>
      <c r="C33" s="94">
        <f>ROUND($C$27*0%,2)</f>
        <v/>
      </c>
      <c r="D33" s="34" t="n"/>
      <c r="E33" s="36">
        <f>C33/$C$40</f>
        <v/>
      </c>
    </row>
    <row r="34" ht="51" customHeight="1" s="193">
      <c r="B34" s="3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4">
        <f>ROUND($C$27*0%,2)</f>
        <v/>
      </c>
      <c r="D34" s="34" t="n"/>
      <c r="E34" s="36">
        <f>C34/$C$40</f>
        <v/>
      </c>
    </row>
    <row r="35" ht="76.5" customHeight="1" s="193">
      <c r="B35" s="3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4">
        <f>ROUND($C$27*0%,2)</f>
        <v/>
      </c>
      <c r="D35" s="34" t="n"/>
      <c r="E35" s="36">
        <f>C35/$C$40</f>
        <v/>
      </c>
    </row>
    <row r="36" ht="25.5" customHeight="1" s="193">
      <c r="B36" s="34" t="inlineStr">
        <is>
          <t>Строительный контроль и содержание службы заказчика - 2,14%</t>
        </is>
      </c>
      <c r="C36" s="94">
        <f>ROUND((C27+C32+C33+C34+C35+C29+C31+C30)*2.14%,2)</f>
        <v/>
      </c>
      <c r="D36" s="34" t="n"/>
      <c r="E36" s="36">
        <f>C36/$C$40</f>
        <v/>
      </c>
      <c r="G36" s="51" t="n"/>
      <c r="L36" s="91" t="n"/>
    </row>
    <row r="37">
      <c r="B37" s="34" t="inlineStr">
        <is>
          <t>Авторский надзор - 0,2%</t>
        </is>
      </c>
      <c r="C37" s="94">
        <f>ROUND((C27+C32+C33+C34+C35+C29+C31+C30)*0.2%,2)</f>
        <v/>
      </c>
      <c r="D37" s="34" t="n"/>
      <c r="E37" s="36">
        <f>C37/$C$40</f>
        <v/>
      </c>
      <c r="G37" s="51" t="n"/>
      <c r="L37" s="91" t="n"/>
    </row>
    <row r="38" ht="38.25" customHeight="1" s="193">
      <c r="B38" s="34" t="inlineStr">
        <is>
          <t>ИТОГО (СМР+ОБОРУДОВАНИЕ+ПРОЧ. ЗАТР., УЧТЕННЫЕ ПОКАЗАТЕЛЕМ)</t>
        </is>
      </c>
      <c r="C38" s="95">
        <f>C27+C32+C33+C34+C35+C29+C31+C30+C36+C37</f>
        <v/>
      </c>
      <c r="D38" s="34" t="n"/>
      <c r="E38" s="36">
        <f>C38/$C$40</f>
        <v/>
      </c>
    </row>
    <row r="39" ht="13.5" customHeight="1" s="193">
      <c r="B39" s="34" t="inlineStr">
        <is>
          <t>Непредвиденные расходы</t>
        </is>
      </c>
      <c r="C39" s="182">
        <f>ROUND(C38*3%,2)</f>
        <v/>
      </c>
      <c r="D39" s="34" t="n"/>
      <c r="E39" s="36">
        <f>C39/$C$38</f>
        <v/>
      </c>
    </row>
    <row r="40">
      <c r="B40" s="34" t="inlineStr">
        <is>
          <t>ВСЕГО:</t>
        </is>
      </c>
      <c r="C40" s="182">
        <f>C39+C38</f>
        <v/>
      </c>
      <c r="D40" s="34" t="n"/>
      <c r="E40" s="36">
        <f>C40/$C$40</f>
        <v/>
      </c>
    </row>
    <row r="41">
      <c r="B41" s="34" t="inlineStr">
        <is>
          <t>ИТОГО ПОКАЗАТЕЛЬ НА ЕД. ИЗМ.</t>
        </is>
      </c>
      <c r="C41" s="182">
        <f>C40/'Прил.5 Расчет СМР и ОБ'!E57</f>
        <v/>
      </c>
      <c r="D41" s="34" t="n"/>
      <c r="E41" s="34" t="n"/>
    </row>
    <row r="42">
      <c r="B42" s="21" t="n"/>
      <c r="C42" s="190" t="n"/>
      <c r="D42" s="190" t="n"/>
      <c r="E42" s="190" t="n"/>
    </row>
    <row r="43">
      <c r="B43" s="190" t="inlineStr">
        <is>
          <t>Составил ______________________        А.Р. Маркова</t>
        </is>
      </c>
      <c r="C43" s="188" t="n"/>
      <c r="D43" s="190" t="n"/>
      <c r="E43" s="190" t="n"/>
    </row>
    <row r="44">
      <c r="B44" s="187" t="inlineStr">
        <is>
          <t xml:space="preserve">                         (подпись, инициалы, фамилия)</t>
        </is>
      </c>
      <c r="C44" s="188" t="n"/>
      <c r="D44" s="190" t="n"/>
      <c r="E44" s="190" t="n"/>
    </row>
    <row r="45">
      <c r="B45" s="190" t="n"/>
      <c r="C45" s="188" t="n"/>
      <c r="D45" s="190" t="n"/>
      <c r="E45" s="190" t="n"/>
    </row>
    <row r="46">
      <c r="B46" s="190" t="inlineStr">
        <is>
          <t>Проверил ______________________        А.В. Костянецкая</t>
        </is>
      </c>
      <c r="C46" s="188" t="n"/>
      <c r="D46" s="190" t="n"/>
      <c r="E46" s="190" t="n"/>
    </row>
    <row r="47">
      <c r="B47" s="187" t="inlineStr">
        <is>
          <t xml:space="preserve">                        (подпись, инициалы, фамилия)</t>
        </is>
      </c>
      <c r="C47" s="188" t="n"/>
      <c r="D47" s="190" t="n"/>
      <c r="E47" s="190" t="n"/>
    </row>
    <row r="49">
      <c r="B49" s="190" t="n"/>
      <c r="C49" s="190" t="n"/>
      <c r="D49" s="190" t="n"/>
      <c r="E49" s="190" t="n"/>
    </row>
    <row r="50">
      <c r="B50" s="190" t="n"/>
      <c r="C50" s="190" t="n"/>
      <c r="D50" s="190" t="n"/>
      <c r="E50" s="190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N64"/>
  <sheetViews>
    <sheetView view="pageBreakPreview" topLeftCell="A47" zoomScale="90" workbookViewId="0">
      <selection activeCell="C70" sqref="C70"/>
    </sheetView>
  </sheetViews>
  <sheetFormatPr baseColWidth="8" defaultColWidth="9.140625" defaultRowHeight="15" outlineLevelRow="1"/>
  <cols>
    <col width="5.7109375" customWidth="1" style="188" min="1" max="1"/>
    <col width="22.5703125" customWidth="1" style="188" min="2" max="2"/>
    <col width="39.140625" customWidth="1" style="188" min="3" max="3"/>
    <col width="10.7109375" customWidth="1" style="188" min="4" max="4"/>
    <col width="12.7109375" customWidth="1" style="188" min="5" max="5"/>
    <col width="14.5703125" customWidth="1" style="188" min="6" max="6"/>
    <col width="13.42578125" customWidth="1" style="188" min="7" max="7"/>
    <col width="12.7109375" customWidth="1" style="188" min="8" max="8"/>
    <col width="14.5703125" customWidth="1" style="188" min="9" max="9"/>
    <col width="15.140625" customWidth="1" style="188" min="10" max="10"/>
    <col width="3.7109375" customWidth="1" style="188" min="11" max="11"/>
    <col width="9.42578125" customWidth="1" style="188" min="12" max="12"/>
    <col width="10.85546875" customWidth="1" style="188" min="13" max="13"/>
    <col width="9.140625" customWidth="1" style="188" min="14" max="14"/>
    <col width="9.140625" customWidth="1" style="193" min="15" max="15"/>
  </cols>
  <sheetData>
    <row r="2" ht="15.75" customHeight="1" s="193">
      <c r="I2" s="195" t="n"/>
      <c r="J2" s="57" t="inlineStr">
        <is>
          <t>Приложение №5</t>
        </is>
      </c>
    </row>
    <row r="4" ht="12.75" customFormat="1" customHeight="1" s="190">
      <c r="A4" s="230" t="inlineStr">
        <is>
          <t>Расчет стоимости СМР и оборудования</t>
        </is>
      </c>
      <c r="I4" s="230" t="n"/>
      <c r="J4" s="230" t="n"/>
    </row>
    <row r="5" ht="12.75" customFormat="1" customHeight="1" s="190">
      <c r="A5" s="230" t="n"/>
      <c r="B5" s="230" t="n"/>
      <c r="C5" s="230" t="n"/>
      <c r="D5" s="230" t="n"/>
      <c r="E5" s="230" t="n"/>
      <c r="F5" s="230" t="n"/>
      <c r="G5" s="230" t="n"/>
      <c r="H5" s="230" t="n"/>
      <c r="I5" s="230" t="n"/>
      <c r="J5" s="230" t="n"/>
    </row>
    <row r="6" ht="26.25" customFormat="1" customHeight="1" s="190">
      <c r="A6" s="244" t="inlineStr">
        <is>
          <t>Наименование разрабатываемого показателя УНЦ</t>
        </is>
      </c>
      <c r="D6" s="244" t="inlineStr">
        <is>
          <t>Демонтаж ячейки выключателя КРУ 6-20кВ</t>
        </is>
      </c>
    </row>
    <row r="7" ht="12.75" customFormat="1" customHeight="1" s="190">
      <c r="A7" s="244">
        <f>'Прил.1 Сравнит табл'!B9</f>
        <v/>
      </c>
      <c r="I7" s="231" t="n"/>
      <c r="J7" s="231" t="n"/>
    </row>
    <row r="8" ht="12.75" customFormat="1" customHeight="1" s="190"/>
    <row r="9" ht="27" customHeight="1" s="193">
      <c r="A9" s="234" t="inlineStr">
        <is>
          <t>№ пп.</t>
        </is>
      </c>
      <c r="B9" s="234" t="inlineStr">
        <is>
          <t>Код ресурса</t>
        </is>
      </c>
      <c r="C9" s="234" t="inlineStr">
        <is>
          <t>Наименование</t>
        </is>
      </c>
      <c r="D9" s="234" t="inlineStr">
        <is>
          <t>Ед. изм.</t>
        </is>
      </c>
      <c r="E9" s="234" t="inlineStr">
        <is>
          <t>Кол-во единиц по проектным данным</t>
        </is>
      </c>
      <c r="F9" s="234" t="inlineStr">
        <is>
          <t>Сметная стоимость в ценах на 01.01.2000 (руб.)</t>
        </is>
      </c>
      <c r="G9" s="273" t="n"/>
      <c r="H9" s="234" t="inlineStr">
        <is>
          <t>Удельный вес, %</t>
        </is>
      </c>
      <c r="I9" s="234" t="inlineStr">
        <is>
          <t>Сметная стоимость в ценах на 01.01.2023 (руб.)</t>
        </is>
      </c>
      <c r="J9" s="273" t="n"/>
    </row>
    <row r="10" ht="28.5" customHeight="1" s="193">
      <c r="A10" s="275" t="n"/>
      <c r="B10" s="275" t="n"/>
      <c r="C10" s="275" t="n"/>
      <c r="D10" s="275" t="n"/>
      <c r="E10" s="275" t="n"/>
      <c r="F10" s="234" t="inlineStr">
        <is>
          <t>на ед. изм.</t>
        </is>
      </c>
      <c r="G10" s="234" t="inlineStr">
        <is>
          <t>общая</t>
        </is>
      </c>
      <c r="H10" s="275" t="n"/>
      <c r="I10" s="234" t="inlineStr">
        <is>
          <t>на ед. изм.</t>
        </is>
      </c>
      <c r="J10" s="234" t="inlineStr">
        <is>
          <t>общая</t>
        </is>
      </c>
    </row>
    <row r="11">
      <c r="A11" s="234" t="n">
        <v>1</v>
      </c>
      <c r="B11" s="234" t="n">
        <v>2</v>
      </c>
      <c r="C11" s="234" t="n">
        <v>3</v>
      </c>
      <c r="D11" s="234" t="n">
        <v>4</v>
      </c>
      <c r="E11" s="234" t="n">
        <v>5</v>
      </c>
      <c r="F11" s="234" t="n">
        <v>6</v>
      </c>
      <c r="G11" s="234" t="n">
        <v>7</v>
      </c>
      <c r="H11" s="234" t="n">
        <v>8</v>
      </c>
      <c r="I11" s="234" t="n">
        <v>9</v>
      </c>
      <c r="J11" s="234" t="n">
        <v>10</v>
      </c>
    </row>
    <row r="12">
      <c r="A12" s="234" t="n"/>
      <c r="B12" s="224" t="inlineStr">
        <is>
          <t>Затраты труда рабочих-строителей</t>
        </is>
      </c>
      <c r="C12" s="272" t="n"/>
      <c r="D12" s="272" t="n"/>
      <c r="E12" s="272" t="n"/>
      <c r="F12" s="272" t="n"/>
      <c r="G12" s="272" t="n"/>
      <c r="H12" s="273" t="n"/>
      <c r="I12" s="122" t="n"/>
      <c r="J12" s="122" t="n"/>
      <c r="L12" s="92" t="n"/>
    </row>
    <row r="13" ht="25.5" customHeight="1" s="193">
      <c r="A13" s="234" t="n">
        <v>1</v>
      </c>
      <c r="B13" s="175" t="inlineStr">
        <is>
          <t>1-4-0</t>
        </is>
      </c>
      <c r="C13" s="233" t="inlineStr">
        <is>
          <t>Затраты труда рабочих (средний разряд работы 4,0)</t>
        </is>
      </c>
      <c r="D13" s="234" t="inlineStr">
        <is>
          <t>чел.-ч.</t>
        </is>
      </c>
      <c r="E13" s="284" t="n">
        <v>79.574375</v>
      </c>
      <c r="F13" s="126" t="n">
        <v>9.4</v>
      </c>
      <c r="G13" s="126">
        <f>ROUND(E13*F13,2)</f>
        <v/>
      </c>
      <c r="H13" s="238">
        <f>G13/G14</f>
        <v/>
      </c>
      <c r="I13" s="126">
        <f>'ФОТр.тек.'!E13</f>
        <v/>
      </c>
      <c r="J13" s="126">
        <f>ROUND(I13*E13,2)</f>
        <v/>
      </c>
    </row>
    <row r="14" ht="25.5" customFormat="1" customHeight="1" s="188">
      <c r="A14" s="234" t="n"/>
      <c r="B14" s="234" t="n"/>
      <c r="C14" s="224" t="inlineStr">
        <is>
          <t>Итого по разделу "Затраты труда рабочих-строителей"</t>
        </is>
      </c>
      <c r="D14" s="234" t="inlineStr">
        <is>
          <t>чел.-ч.</t>
        </is>
      </c>
      <c r="E14" s="284">
        <f>SUM(E13:E13)</f>
        <v/>
      </c>
      <c r="F14" s="126" t="n"/>
      <c r="G14" s="126">
        <f>SUM(G13:G13)</f>
        <v/>
      </c>
      <c r="H14" s="238" t="n">
        <v>1</v>
      </c>
      <c r="I14" s="126" t="n"/>
      <c r="J14" s="126">
        <f>SUM(J13:J13)</f>
        <v/>
      </c>
      <c r="K14" s="285" t="n"/>
      <c r="L14" s="93" t="n"/>
    </row>
    <row r="15" ht="42" customFormat="1" customHeight="1" s="188">
      <c r="A15" s="234" t="n"/>
      <c r="B15" s="234" t="n"/>
      <c r="C15" s="159" t="inlineStr">
        <is>
          <t>Итого по разделу "Затраты труда рабочих-строителей" 
(с коэффициентом на демонтаж 0,7)</t>
        </is>
      </c>
      <c r="D15" s="181" t="n"/>
      <c r="E15" s="286" t="n"/>
      <c r="F15" s="156" t="n"/>
      <c r="G15" s="156">
        <f>G14*0.7</f>
        <v/>
      </c>
      <c r="H15" s="151" t="n">
        <v>1</v>
      </c>
      <c r="I15" s="152" t="n"/>
      <c r="J15" s="156">
        <f>J14*0.7</f>
        <v/>
      </c>
      <c r="K15" s="285" t="n"/>
      <c r="L15" s="93" t="n"/>
    </row>
    <row r="16" ht="14.25" customFormat="1" customHeight="1" s="188">
      <c r="A16" s="234" t="n"/>
      <c r="B16" s="233" t="inlineStr">
        <is>
          <t>Затраты труда машинистов</t>
        </is>
      </c>
      <c r="C16" s="272" t="n"/>
      <c r="D16" s="272" t="n"/>
      <c r="E16" s="272" t="n"/>
      <c r="F16" s="272" t="n"/>
      <c r="G16" s="272" t="n"/>
      <c r="H16" s="273" t="n"/>
      <c r="I16" s="122" t="n"/>
      <c r="J16" s="122" t="n"/>
    </row>
    <row r="17" ht="14.25" customFormat="1" customHeight="1" s="188">
      <c r="A17" s="234" t="n">
        <v>2</v>
      </c>
      <c r="B17" s="234" t="n">
        <v>2</v>
      </c>
      <c r="C17" s="233" t="inlineStr">
        <is>
          <t>Затраты труда машинистов</t>
        </is>
      </c>
      <c r="D17" s="234" t="inlineStr">
        <is>
          <t>чел.-ч.</t>
        </is>
      </c>
      <c r="E17" s="284" t="n">
        <v>21.9884375</v>
      </c>
      <c r="F17" s="126" t="n">
        <v>11.85</v>
      </c>
      <c r="G17" s="126">
        <f>ROUND(E17*F17,2)</f>
        <v/>
      </c>
      <c r="H17" s="238" t="n">
        <v>1</v>
      </c>
      <c r="I17" s="126">
        <f>ROUND(F17*Прил.10!D10,2)</f>
        <v/>
      </c>
      <c r="J17" s="126">
        <f>ROUND(I17*E17,2)</f>
        <v/>
      </c>
      <c r="L17" s="48" t="n"/>
    </row>
    <row r="18" ht="29.45" customFormat="1" customHeight="1" s="188">
      <c r="A18" s="234" t="n"/>
      <c r="B18" s="234" t="n"/>
      <c r="C18" s="252" t="inlineStr">
        <is>
          <t>Затраты труда машинистов 
(с коэффициентом на демонтаж 0,7)</t>
        </is>
      </c>
      <c r="D18" s="181" t="n"/>
      <c r="E18" s="286" t="n"/>
      <c r="F18" s="156" t="n"/>
      <c r="G18" s="156">
        <f>G17*0.7</f>
        <v/>
      </c>
      <c r="H18" s="151" t="n">
        <v>1</v>
      </c>
      <c r="I18" s="156" t="n"/>
      <c r="J18" s="156">
        <f>J17*0.7</f>
        <v/>
      </c>
      <c r="L18" s="48" t="n"/>
    </row>
    <row r="19" ht="14.25" customFormat="1" customHeight="1" s="188">
      <c r="A19" s="234" t="n"/>
      <c r="B19" s="224" t="inlineStr">
        <is>
          <t>Машины и механизмы</t>
        </is>
      </c>
      <c r="C19" s="272" t="n"/>
      <c r="D19" s="272" t="n"/>
      <c r="E19" s="272" t="n"/>
      <c r="F19" s="272" t="n"/>
      <c r="G19" s="272" t="n"/>
      <c r="H19" s="273" t="n"/>
      <c r="I19" s="238" t="n"/>
      <c r="J19" s="238" t="n"/>
      <c r="L19" s="92" t="n"/>
    </row>
    <row r="20" ht="14.25" customFormat="1" customHeight="1" s="188">
      <c r="A20" s="234" t="n"/>
      <c r="B20" s="233" t="inlineStr">
        <is>
          <t>Основные машины и механизмы</t>
        </is>
      </c>
      <c r="C20" s="272" t="n"/>
      <c r="D20" s="272" t="n"/>
      <c r="E20" s="272" t="n"/>
      <c r="F20" s="272" t="n"/>
      <c r="G20" s="272" t="n"/>
      <c r="H20" s="273" t="n"/>
      <c r="I20" s="122" t="n"/>
      <c r="J20" s="122" t="n"/>
    </row>
    <row r="21" ht="25.5" customFormat="1" customHeight="1" s="188">
      <c r="A21" s="234">
        <f>A17+1</f>
        <v/>
      </c>
      <c r="B21" s="175" t="inlineStr">
        <is>
          <t>91.06.03-058</t>
        </is>
      </c>
      <c r="C21" s="233" t="inlineStr">
        <is>
          <t>Лебедки электрические тяговым усилием 156,96 кН (16 т)</t>
        </is>
      </c>
      <c r="D21" s="234" t="inlineStr">
        <is>
          <t>маш.час</t>
        </is>
      </c>
      <c r="E21" s="287" t="n">
        <v>15.538125</v>
      </c>
      <c r="F21" s="130" t="n">
        <v>131.44</v>
      </c>
      <c r="G21" s="126">
        <f>ROUND(E21*F21,2)</f>
        <v/>
      </c>
      <c r="H21" s="238">
        <f>G21/$G$34</f>
        <v/>
      </c>
      <c r="I21" s="126">
        <f>ROUND(F21*Прил.10!$D$11,2)</f>
        <v/>
      </c>
      <c r="J21" s="126">
        <f>ROUND(I21*E21,2)</f>
        <v/>
      </c>
    </row>
    <row r="22" ht="25.5" customFormat="1" customHeight="1" s="188">
      <c r="A22" s="234">
        <f>A21+1</f>
        <v/>
      </c>
      <c r="B22" s="175" t="inlineStr">
        <is>
          <t>91.05.05-014</t>
        </is>
      </c>
      <c r="C22" s="233" t="inlineStr">
        <is>
          <t>Краны на автомобильном ходу, грузоподъемность 10 т</t>
        </is>
      </c>
      <c r="D22" s="234" t="inlineStr">
        <is>
          <t>маш.час</t>
        </is>
      </c>
      <c r="E22" s="287" t="n">
        <v>3.1253125</v>
      </c>
      <c r="F22" s="130" t="n">
        <v>111.99</v>
      </c>
      <c r="G22" s="126">
        <f>ROUND(E22*F22,2)</f>
        <v/>
      </c>
      <c r="H22" s="238">
        <f>G22/$G$34</f>
        <v/>
      </c>
      <c r="I22" s="126">
        <f>ROUND(F22*Прил.10!$D$11,2)</f>
        <v/>
      </c>
      <c r="J22" s="126">
        <f>ROUND(I22*E22,2)</f>
        <v/>
      </c>
    </row>
    <row r="23" ht="14.25" customFormat="1" customHeight="1" s="188">
      <c r="A23" s="234" t="n"/>
      <c r="B23" s="234" t="n"/>
      <c r="C23" s="233" t="inlineStr">
        <is>
          <t>Итого основные машины и механизмы</t>
        </is>
      </c>
      <c r="D23" s="234" t="n"/>
      <c r="E23" s="288" t="n"/>
      <c r="F23" s="126" t="n"/>
      <c r="G23" s="126">
        <f>SUM(G21:G22)</f>
        <v/>
      </c>
      <c r="H23" s="238">
        <f>G23/G34</f>
        <v/>
      </c>
      <c r="I23" s="126" t="n"/>
      <c r="J23" s="126">
        <f>SUM(J21:J22)</f>
        <v/>
      </c>
      <c r="L23" s="285" t="n"/>
    </row>
    <row r="24" ht="27.6" customFormat="1" customHeight="1" s="188">
      <c r="A24" s="234" t="n"/>
      <c r="B24" s="234" t="n"/>
      <c r="C24" s="252" t="inlineStr">
        <is>
          <t>Итого основные машины и механизмы 
(с коэффициентом на демонтаж 0,7)</t>
        </is>
      </c>
      <c r="D24" s="181" t="n"/>
      <c r="E24" s="286" t="n"/>
      <c r="F24" s="156" t="n"/>
      <c r="G24" s="156">
        <f>G23*0.7</f>
        <v/>
      </c>
      <c r="H24" s="157">
        <f>G24/G35</f>
        <v/>
      </c>
      <c r="I24" s="156" t="n"/>
      <c r="J24" s="156">
        <f>J23*0.7</f>
        <v/>
      </c>
      <c r="L24" s="285" t="n"/>
    </row>
    <row r="25" hidden="1" outlineLevel="1" ht="25.5" customFormat="1" customHeight="1" s="188">
      <c r="A25" s="234" t="n">
        <v>5</v>
      </c>
      <c r="B25" s="175" t="inlineStr">
        <is>
          <t>91.14.02-001</t>
        </is>
      </c>
      <c r="C25" s="233" t="inlineStr">
        <is>
          <t>Автомобили бортовые, грузоподъемность: до 5 т</t>
        </is>
      </c>
      <c r="D25" s="234" t="inlineStr">
        <is>
          <t>маш.час</t>
        </is>
      </c>
      <c r="E25" s="287" t="n">
        <v>3.096875</v>
      </c>
      <c r="F25" s="130" t="n">
        <v>65.70999999999999</v>
      </c>
      <c r="G25" s="126">
        <f>ROUND(E25*F25,2)</f>
        <v/>
      </c>
      <c r="H25" s="238">
        <f>G25/$G$34</f>
        <v/>
      </c>
      <c r="I25" s="126">
        <f>ROUND(F25*Прил.10!$D$11,2)</f>
        <v/>
      </c>
      <c r="J25" s="126">
        <f>ROUND(I25*E25,2)</f>
        <v/>
      </c>
      <c r="L25" s="285" t="n"/>
    </row>
    <row r="26" hidden="1" outlineLevel="1" ht="25.5" customFormat="1" customHeight="1" s="188">
      <c r="A26" s="234" t="n">
        <v>6</v>
      </c>
      <c r="B26" s="175" t="inlineStr">
        <is>
          <t>91.17.04-161</t>
        </is>
      </c>
      <c r="C26" s="233" t="inlineStr">
        <is>
          <t>Полуавтоматы сварочные номинальным сварочным током 40-500 А</t>
        </is>
      </c>
      <c r="D26" s="234" t="inlineStr">
        <is>
          <t>маш.час</t>
        </is>
      </c>
      <c r="E26" s="287" t="n">
        <v>3.5625</v>
      </c>
      <c r="F26" s="130" t="n">
        <v>16.44</v>
      </c>
      <c r="G26" s="126">
        <f>ROUND(E26*F26,2)</f>
        <v/>
      </c>
      <c r="H26" s="238">
        <f>G26/$G$34</f>
        <v/>
      </c>
      <c r="I26" s="126">
        <f>ROUND(F26*Прил.10!$D$11,2)</f>
        <v/>
      </c>
      <c r="J26" s="126">
        <f>ROUND(I26*E26,2)</f>
        <v/>
      </c>
      <c r="L26" s="285" t="n"/>
    </row>
    <row r="27" hidden="1" outlineLevel="1" ht="14.25" customFormat="1" customHeight="1" s="188">
      <c r="A27" s="234" t="n">
        <v>7</v>
      </c>
      <c r="B27" s="175" t="inlineStr">
        <is>
          <t>91.21.22-438</t>
        </is>
      </c>
      <c r="C27" s="233" t="inlineStr">
        <is>
          <t>Установка: передвижная цеолитовая</t>
        </is>
      </c>
      <c r="D27" s="234" t="inlineStr">
        <is>
          <t>маш.час</t>
        </is>
      </c>
      <c r="E27" s="287" t="n">
        <v>0.9875</v>
      </c>
      <c r="F27" s="130" t="n">
        <v>38.65</v>
      </c>
      <c r="G27" s="126">
        <f>ROUND(E27*F27,2)</f>
        <v/>
      </c>
      <c r="H27" s="238">
        <f>G27/$G$34</f>
        <v/>
      </c>
      <c r="I27" s="126">
        <f>ROUND(F27*Прил.10!$D$11,2)</f>
        <v/>
      </c>
      <c r="J27" s="126">
        <f>ROUND(I27*E27,2)</f>
        <v/>
      </c>
      <c r="L27" s="285" t="n"/>
    </row>
    <row r="28" hidden="1" outlineLevel="1" ht="14.25" customFormat="1" customHeight="1" s="188">
      <c r="A28" s="234" t="n">
        <v>8</v>
      </c>
      <c r="B28" s="175" t="inlineStr">
        <is>
          <t>91.19.12-021</t>
        </is>
      </c>
      <c r="C28" s="233" t="inlineStr">
        <is>
          <t>Насос вакуумный: 3,6 м3/мин</t>
        </is>
      </c>
      <c r="D28" s="234" t="inlineStr">
        <is>
          <t>маш.час</t>
        </is>
      </c>
      <c r="E28" s="287" t="n">
        <v>3.8875</v>
      </c>
      <c r="F28" s="130" t="n">
        <v>6.28</v>
      </c>
      <c r="G28" s="126">
        <f>ROUND(E28*F28,2)</f>
        <v/>
      </c>
      <c r="H28" s="238">
        <f>G28/$G$34</f>
        <v/>
      </c>
      <c r="I28" s="126">
        <f>ROUND(F28*Прил.10!$D$11,2)</f>
        <v/>
      </c>
      <c r="J28" s="126">
        <f>ROUND(I28*E28,2)</f>
        <v/>
      </c>
      <c r="L28" s="285" t="n"/>
    </row>
    <row r="29" hidden="1" outlineLevel="1" ht="25.5" customFormat="1" customHeight="1" s="188">
      <c r="A29" s="234" t="n">
        <v>9</v>
      </c>
      <c r="B29" s="175" t="inlineStr">
        <is>
          <t>91.21.22-091</t>
        </is>
      </c>
      <c r="C29" s="233" t="inlineStr">
        <is>
          <t>Выпрямитель полупроводниковый для подогрева трансформаторов</t>
        </is>
      </c>
      <c r="D29" s="234" t="inlineStr">
        <is>
          <t>маш.час</t>
        </is>
      </c>
      <c r="E29" s="287" t="n">
        <v>4.7125</v>
      </c>
      <c r="F29" s="130" t="n">
        <v>3.82</v>
      </c>
      <c r="G29" s="126">
        <f>ROUND(E29*F29,2)</f>
        <v/>
      </c>
      <c r="H29" s="238">
        <f>G29/$G$34</f>
        <v/>
      </c>
      <c r="I29" s="126">
        <f>ROUND(F29*Прил.10!$D$11,2)</f>
        <v/>
      </c>
      <c r="J29" s="126">
        <f>ROUND(I29*E29,2)</f>
        <v/>
      </c>
      <c r="L29" s="285" t="n"/>
    </row>
    <row r="30" hidden="1" outlineLevel="1" ht="25.5" customFormat="1" customHeight="1" s="188">
      <c r="A30" s="234" t="n">
        <v>10</v>
      </c>
      <c r="B30" s="175" t="inlineStr">
        <is>
          <t>91.19.02-002</t>
        </is>
      </c>
      <c r="C30" s="233" t="inlineStr">
        <is>
          <t>Маслонасосы шестеренные, производительность м3/час: 2,3</t>
        </is>
      </c>
      <c r="D30" s="234" t="inlineStr">
        <is>
          <t>маш.час</t>
        </is>
      </c>
      <c r="E30" s="287" t="n">
        <v>0.2475</v>
      </c>
      <c r="F30" s="130" t="n">
        <v>0.9</v>
      </c>
      <c r="G30" s="126">
        <f>ROUND(E30*F30,2)</f>
        <v/>
      </c>
      <c r="H30" s="238">
        <f>G30/$G$34</f>
        <v/>
      </c>
      <c r="I30" s="126">
        <f>ROUND(F30*Прил.10!$D$11,2)</f>
        <v/>
      </c>
      <c r="J30" s="126">
        <f>ROUND(I30*E30,2)</f>
        <v/>
      </c>
      <c r="L30" s="285" t="n"/>
    </row>
    <row r="31" hidden="1" outlineLevel="1" ht="25.5" customFormat="1" customHeight="1" s="188">
      <c r="A31" s="234" t="n">
        <v>11</v>
      </c>
      <c r="B31" s="175" t="inlineStr">
        <is>
          <t>91.17.04-233</t>
        </is>
      </c>
      <c r="C31" s="233" t="inlineStr">
        <is>
          <t>Установки для сварки: ручной дуговой (постоянного тока)</t>
        </is>
      </c>
      <c r="D31" s="234" t="inlineStr">
        <is>
          <t>маш.час</t>
        </is>
      </c>
      <c r="E31" s="287" t="n">
        <v>0.0125</v>
      </c>
      <c r="F31" s="130" t="n">
        <v>8.1</v>
      </c>
      <c r="G31" s="126">
        <f>ROUND(E31*F31,2)</f>
        <v/>
      </c>
      <c r="H31" s="238">
        <f>G31/$G$34</f>
        <v/>
      </c>
      <c r="I31" s="126">
        <f>ROUND(F31*Прил.10!$D$11,2)</f>
        <v/>
      </c>
      <c r="J31" s="126">
        <f>ROUND(I31*E31,2)</f>
        <v/>
      </c>
      <c r="L31" s="285" t="n"/>
    </row>
    <row r="32" collapsed="1" ht="14.25" customFormat="1" customHeight="1" s="188">
      <c r="A32" s="234" t="n"/>
      <c r="B32" s="234" t="n"/>
      <c r="C32" s="233" t="inlineStr">
        <is>
          <t>Итого прочие машины и механизмы</t>
        </is>
      </c>
      <c r="D32" s="234" t="n"/>
      <c r="E32" s="235" t="n"/>
      <c r="F32" s="126" t="n"/>
      <c r="G32" s="126">
        <f>SUM(G25:G31)</f>
        <v/>
      </c>
      <c r="H32" s="238">
        <f>G32/G34</f>
        <v/>
      </c>
      <c r="I32" s="126" t="n"/>
      <c r="J32" s="126">
        <f>SUM(J25:J31)</f>
        <v/>
      </c>
      <c r="K32" s="285" t="n"/>
      <c r="L32" s="92" t="n"/>
    </row>
    <row r="33" ht="28.15" customFormat="1" customHeight="1" s="188">
      <c r="A33" s="234" t="n"/>
      <c r="B33" s="245" t="n"/>
      <c r="C33" s="252" t="inlineStr">
        <is>
          <t>Итого прочие машины и механизмы 
(с коэффициентом на демонтаж 0,7)</t>
        </is>
      </c>
      <c r="D33" s="181" t="n"/>
      <c r="E33" s="161" t="n"/>
      <c r="F33" s="156" t="n"/>
      <c r="G33" s="156">
        <f>G32*0.7</f>
        <v/>
      </c>
      <c r="H33" s="157">
        <f>G33/G35</f>
        <v/>
      </c>
      <c r="I33" s="156" t="n"/>
      <c r="J33" s="156">
        <f>J32*0.7</f>
        <v/>
      </c>
      <c r="K33" s="285" t="n"/>
      <c r="L33" s="92" t="n"/>
    </row>
    <row r="34" ht="25.5" customFormat="1" customHeight="1" s="188">
      <c r="A34" s="234" t="n"/>
      <c r="B34" s="245" t="n"/>
      <c r="C34" s="132" t="inlineStr">
        <is>
          <t>Итого по разделу «Машины и механизмы»</t>
        </is>
      </c>
      <c r="D34" s="245" t="n"/>
      <c r="E34" s="133" t="n"/>
      <c r="F34" s="134" t="n"/>
      <c r="G34" s="134">
        <f>G23+G32</f>
        <v/>
      </c>
      <c r="H34" s="135" t="n">
        <v>1</v>
      </c>
      <c r="I34" s="134" t="n"/>
      <c r="J34" s="134">
        <f>J23+J32</f>
        <v/>
      </c>
    </row>
    <row r="35" ht="45" customFormat="1" customHeight="1" s="188">
      <c r="A35" s="247" t="n"/>
      <c r="B35" s="245" t="n"/>
      <c r="C35" s="159" t="inlineStr">
        <is>
          <t>Итого по разделу «Машины и механизмы»  
(с коэффициентом на демонтаж 0,7)</t>
        </is>
      </c>
      <c r="D35" s="181" t="n"/>
      <c r="E35" s="161" t="n"/>
      <c r="F35" s="156" t="n"/>
      <c r="G35" s="156">
        <f>G24+G33</f>
        <v/>
      </c>
      <c r="H35" s="157" t="n">
        <v>1</v>
      </c>
      <c r="I35" s="156" t="n"/>
      <c r="J35" s="156">
        <f>J24+J33</f>
        <v/>
      </c>
    </row>
    <row r="36" s="193">
      <c r="A36" s="247" t="n"/>
      <c r="B36" s="224" t="inlineStr">
        <is>
          <t xml:space="preserve">Оборудование </t>
        </is>
      </c>
      <c r="C36" s="272" t="n"/>
      <c r="D36" s="272" t="n"/>
      <c r="E36" s="272" t="n"/>
      <c r="F36" s="272" t="n"/>
      <c r="G36" s="272" t="n"/>
      <c r="H36" s="272" t="n"/>
      <c r="I36" s="272" t="n"/>
      <c r="J36" s="273" t="n"/>
      <c r="K36" s="188" t="n"/>
      <c r="L36" s="188" t="n"/>
      <c r="M36" s="188" t="n"/>
      <c r="N36" s="188" t="n"/>
    </row>
    <row r="37" ht="15" customHeight="1" s="193">
      <c r="A37" s="234" t="n"/>
      <c r="B37" s="239" t="inlineStr">
        <is>
          <t>Основное оборудование</t>
        </is>
      </c>
      <c r="K37" s="188" t="n"/>
      <c r="L37" s="188" t="n"/>
      <c r="M37" s="188" t="n"/>
      <c r="N37" s="188" t="n"/>
    </row>
    <row r="38" s="193">
      <c r="A38" s="234" t="n"/>
      <c r="B38" s="234" t="n"/>
      <c r="C38" s="233" t="inlineStr">
        <is>
          <t>Итого основное оборудование</t>
        </is>
      </c>
      <c r="D38" s="234" t="n"/>
      <c r="E38" s="284" t="n"/>
      <c r="F38" s="236" t="n"/>
      <c r="G38" s="126" t="n">
        <v>0</v>
      </c>
      <c r="H38" s="238" t="n">
        <v>0</v>
      </c>
      <c r="I38" s="126" t="n"/>
      <c r="J38" s="126" t="n">
        <v>0</v>
      </c>
      <c r="K38" s="285" t="n"/>
      <c r="L38" s="188" t="n"/>
      <c r="M38" s="188" t="n"/>
      <c r="N38" s="188" t="n"/>
    </row>
    <row r="39" hidden="1" outlineLevel="1" s="193">
      <c r="A39" s="234" t="n"/>
      <c r="B39" s="234" t="n"/>
      <c r="C39" s="233" t="n"/>
      <c r="D39" s="234" t="n"/>
      <c r="E39" s="284" t="n"/>
      <c r="F39" s="236" t="n"/>
      <c r="G39" s="126">
        <f>ROUND(E39*F39,2)</f>
        <v/>
      </c>
      <c r="H39" s="238">
        <f>G39/$G$42</f>
        <v/>
      </c>
      <c r="I39" s="126">
        <f>ROUND(F39*Прил.10!$D$13,2)</f>
        <v/>
      </c>
      <c r="J39" s="126">
        <f>ROUND(I39*E39,2)</f>
        <v/>
      </c>
      <c r="K39" s="285" t="n"/>
      <c r="L39" s="188" t="n"/>
      <c r="M39" s="188" t="n"/>
      <c r="N39" s="188" t="n"/>
    </row>
    <row r="40" hidden="1" outlineLevel="1" s="193">
      <c r="A40" s="234" t="n"/>
      <c r="B40" s="234" t="n"/>
      <c r="C40" s="233" t="n"/>
      <c r="D40" s="234" t="n"/>
      <c r="E40" s="284" t="n"/>
      <c r="F40" s="236" t="n"/>
      <c r="G40" s="126">
        <f>ROUND(E40*F40,2)</f>
        <v/>
      </c>
      <c r="H40" s="238">
        <f>G40/$G$42</f>
        <v/>
      </c>
      <c r="I40" s="126">
        <f>ROUND(F40*Прил.10!$D$13,2)</f>
        <v/>
      </c>
      <c r="J40" s="126">
        <f>ROUND(I40*E40,2)</f>
        <v/>
      </c>
      <c r="K40" s="285" t="n"/>
      <c r="L40" s="188" t="n"/>
      <c r="M40" s="188" t="n"/>
      <c r="N40" s="188" t="n"/>
    </row>
    <row r="41" collapsed="1" s="193">
      <c r="A41" s="234" t="n"/>
      <c r="B41" s="234" t="n"/>
      <c r="C41" s="233" t="inlineStr">
        <is>
          <t>Итого прочее оборудование</t>
        </is>
      </c>
      <c r="D41" s="234" t="n"/>
      <c r="E41" s="235" t="n"/>
      <c r="F41" s="236" t="n"/>
      <c r="G41" s="126" t="n">
        <v>0</v>
      </c>
      <c r="H41" s="238" t="n">
        <v>0</v>
      </c>
      <c r="I41" s="126" t="n"/>
      <c r="J41" s="126" t="n">
        <v>0</v>
      </c>
      <c r="K41" s="285" t="n"/>
      <c r="L41" s="92" t="n"/>
      <c r="M41" s="188" t="n"/>
      <c r="N41" s="188" t="n"/>
    </row>
    <row r="42" s="193">
      <c r="A42" s="234" t="n"/>
      <c r="B42" s="234" t="n"/>
      <c r="C42" s="224" t="inlineStr">
        <is>
          <t>Итого по разделу «Оборудование»</t>
        </is>
      </c>
      <c r="D42" s="234" t="n"/>
      <c r="E42" s="235" t="n"/>
      <c r="F42" s="236" t="n"/>
      <c r="G42" s="126">
        <f>G41+G38</f>
        <v/>
      </c>
      <c r="H42" s="238" t="n">
        <v>0</v>
      </c>
      <c r="I42" s="126" t="n"/>
      <c r="J42" s="126">
        <f>J41+J38</f>
        <v/>
      </c>
      <c r="K42" s="285" t="n"/>
      <c r="L42" s="188" t="n"/>
      <c r="M42" s="188" t="n"/>
      <c r="N42" s="188" t="n"/>
    </row>
    <row r="43" ht="25.5" customHeight="1" s="193">
      <c r="A43" s="234" t="n"/>
      <c r="B43" s="234" t="n"/>
      <c r="C43" s="233" t="inlineStr">
        <is>
          <t>в том числе технологическое оборудование</t>
        </is>
      </c>
      <c r="D43" s="234" t="n"/>
      <c r="E43" s="235" t="n"/>
      <c r="F43" s="236" t="n"/>
      <c r="G43" s="126">
        <f>'Прил.6 Расчет ОБ'!G12</f>
        <v/>
      </c>
      <c r="H43" s="238" t="n"/>
      <c r="I43" s="126" t="n"/>
      <c r="J43" s="126">
        <f>ROUND(G43*Прил.10!$D$13,2)</f>
        <v/>
      </c>
      <c r="K43" s="285" t="n"/>
      <c r="L43" s="188" t="n"/>
      <c r="M43" s="188" t="n"/>
      <c r="N43" s="188" t="n"/>
    </row>
    <row r="44" ht="14.25" customFormat="1" customHeight="1" s="188">
      <c r="A44" s="234" t="n"/>
      <c r="B44" s="289" t="inlineStr">
        <is>
          <t>Материалы</t>
        </is>
      </c>
      <c r="J44" s="290" t="n"/>
      <c r="K44" s="285" t="n"/>
    </row>
    <row r="45" ht="14.25" customFormat="1" customHeight="1" s="188">
      <c r="A45" s="234" t="n"/>
      <c r="B45" s="233" t="inlineStr">
        <is>
          <t>Основные материалы</t>
        </is>
      </c>
      <c r="C45" s="272" t="n"/>
      <c r="D45" s="272" t="n"/>
      <c r="E45" s="272" t="n"/>
      <c r="F45" s="272" t="n"/>
      <c r="G45" s="272" t="n"/>
      <c r="H45" s="273" t="n"/>
      <c r="I45" s="238" t="n"/>
      <c r="J45" s="238" t="n"/>
    </row>
    <row r="46" ht="14.25" customFormat="1" customHeight="1" s="188">
      <c r="A46" s="234" t="n"/>
      <c r="B46" s="234" t="n"/>
      <c r="C46" s="233" t="inlineStr">
        <is>
          <t>Итого основные материалы</t>
        </is>
      </c>
      <c r="D46" s="234" t="n"/>
      <c r="E46" s="284" t="n"/>
      <c r="F46" s="236" t="n"/>
      <c r="G46" s="126" t="n">
        <v>0</v>
      </c>
      <c r="H46" s="238" t="n">
        <v>0</v>
      </c>
      <c r="I46" s="126" t="n"/>
      <c r="J46" s="126" t="n">
        <v>0</v>
      </c>
      <c r="K46" s="285" t="n"/>
    </row>
    <row r="47" ht="14.25" customFormat="1" customHeight="1" s="188">
      <c r="A47" s="234" t="n"/>
      <c r="B47" s="234" t="n"/>
      <c r="C47" s="233" t="inlineStr">
        <is>
          <t>Итого прочие материалы</t>
        </is>
      </c>
      <c r="D47" s="234" t="n"/>
      <c r="E47" s="235" t="n"/>
      <c r="F47" s="236" t="n"/>
      <c r="G47" s="126" t="n">
        <v>0</v>
      </c>
      <c r="H47" s="238" t="n">
        <v>0</v>
      </c>
      <c r="I47" s="126" t="n"/>
      <c r="J47" s="126" t="n">
        <v>0</v>
      </c>
      <c r="L47" s="92" t="n"/>
    </row>
    <row r="48" ht="14.25" customFormat="1" customHeight="1" s="188">
      <c r="A48" s="234" t="n"/>
      <c r="B48" s="234" t="n"/>
      <c r="C48" s="224" t="inlineStr">
        <is>
          <t>Итого по разделу «Материалы»</t>
        </is>
      </c>
      <c r="D48" s="234" t="n"/>
      <c r="E48" s="235" t="n"/>
      <c r="F48" s="236" t="n"/>
      <c r="G48" s="126">
        <f>G46+G47</f>
        <v/>
      </c>
      <c r="H48" s="238" t="n">
        <v>0</v>
      </c>
      <c r="I48" s="236" t="n"/>
      <c r="J48" s="126" t="n">
        <v>0</v>
      </c>
      <c r="K48" s="285" t="n"/>
    </row>
    <row r="49" ht="14.25" customFormat="1" customHeight="1" s="188">
      <c r="A49" s="234" t="n"/>
      <c r="B49" s="234" t="n"/>
      <c r="C49" s="233" t="inlineStr">
        <is>
          <t>ИТОГО ПО РМ</t>
        </is>
      </c>
      <c r="D49" s="234" t="n"/>
      <c r="E49" s="235" t="n"/>
      <c r="F49" s="236" t="n"/>
      <c r="G49" s="126">
        <f>G14+G34+G48</f>
        <v/>
      </c>
      <c r="H49" s="238" t="n"/>
      <c r="I49" s="236" t="n"/>
      <c r="J49" s="126">
        <f>J14+J34+J48</f>
        <v/>
      </c>
    </row>
    <row r="50" ht="28.15" customFormat="1" customHeight="1" s="188">
      <c r="A50" s="234" t="n"/>
      <c r="B50" s="234" t="n"/>
      <c r="C50" s="252" t="inlineStr">
        <is>
          <t>ИТОГО ПО РМ
(с коэффициентом на демонтаж 0,7)</t>
        </is>
      </c>
      <c r="D50" s="181" t="n"/>
      <c r="E50" s="161" t="n"/>
      <c r="F50" s="254" t="n"/>
      <c r="G50" s="156">
        <f>G15+G35</f>
        <v/>
      </c>
      <c r="H50" s="151" t="n"/>
      <c r="I50" s="156" t="n"/>
      <c r="J50" s="156">
        <f>J15+J35</f>
        <v/>
      </c>
    </row>
    <row r="51" ht="14.25" customFormat="1" customHeight="1" s="188">
      <c r="A51" s="234" t="n"/>
      <c r="B51" s="234" t="n"/>
      <c r="C51" s="252" t="inlineStr">
        <is>
          <t>Накладные расходы</t>
        </is>
      </c>
      <c r="D51" s="234" t="inlineStr">
        <is>
          <t>%</t>
        </is>
      </c>
      <c r="E51" s="143" t="n">
        <v>1.04</v>
      </c>
      <c r="F51" s="236" t="n"/>
      <c r="G51" s="126" t="n">
        <v>37118</v>
      </c>
      <c r="H51" s="238" t="n"/>
      <c r="I51" s="236" t="n"/>
      <c r="J51" s="126">
        <f>ROUND(E51*(J14+J17),2)</f>
        <v/>
      </c>
      <c r="K51" s="47" t="n"/>
    </row>
    <row r="52" ht="28.15" customFormat="1" customHeight="1" s="188">
      <c r="A52" s="234" t="n"/>
      <c r="B52" s="234" t="n"/>
      <c r="C52" s="252" t="inlineStr">
        <is>
          <t>Накладные расходы 
(с коэффициентом на демонтаж 0,7)</t>
        </is>
      </c>
      <c r="D52" s="162">
        <f>D51</f>
        <v/>
      </c>
      <c r="E52" s="163">
        <f>E51</f>
        <v/>
      </c>
      <c r="F52" s="254" t="n"/>
      <c r="G52" s="156">
        <f>G51*0.7</f>
        <v/>
      </c>
      <c r="H52" s="151" t="n"/>
      <c r="I52" s="156" t="n"/>
      <c r="J52" s="156">
        <f>ROUND(E52*(J15+J18),2)</f>
        <v/>
      </c>
      <c r="K52" s="47" t="n"/>
    </row>
    <row r="53" ht="14.25" customFormat="1" customHeight="1" s="188">
      <c r="A53" s="234" t="n"/>
      <c r="B53" s="234" t="n"/>
      <c r="C53" s="252" t="inlineStr">
        <is>
          <t>Сметная прибыль</t>
        </is>
      </c>
      <c r="D53" s="234" t="inlineStr">
        <is>
          <t>%</t>
        </is>
      </c>
      <c r="E53" s="143" t="n">
        <v>0.71</v>
      </c>
      <c r="F53" s="236" t="n"/>
      <c r="G53" s="126" t="n">
        <v>24127</v>
      </c>
      <c r="H53" s="238" t="n"/>
      <c r="I53" s="236" t="n"/>
      <c r="J53" s="126">
        <f>ROUND(E53*(J14+J17),2)</f>
        <v/>
      </c>
      <c r="K53" s="47" t="n"/>
    </row>
    <row r="54" ht="27" customFormat="1" customHeight="1" s="188">
      <c r="A54" s="234" t="n"/>
      <c r="B54" s="234" t="n"/>
      <c r="C54" s="252" t="inlineStr">
        <is>
          <t>Сметная прибыль 
(с коэффициентом на демонтаж 0,7)</t>
        </is>
      </c>
      <c r="D54" s="162">
        <f>D53</f>
        <v/>
      </c>
      <c r="E54" s="163">
        <f>E53</f>
        <v/>
      </c>
      <c r="F54" s="254" t="n"/>
      <c r="G54" s="156">
        <f>G53*0.7</f>
        <v/>
      </c>
      <c r="H54" s="151" t="n"/>
      <c r="I54" s="156" t="n"/>
      <c r="J54" s="156">
        <f>ROUND(E54*(J15+J18),2)</f>
        <v/>
      </c>
      <c r="K54" s="47" t="n"/>
    </row>
    <row r="55" ht="25.9" customFormat="1" customHeight="1" s="188">
      <c r="A55" s="234" t="n"/>
      <c r="B55" s="234" t="n"/>
      <c r="C55" s="252" t="inlineStr">
        <is>
          <t>Итого СМР (с НР и СП) 
(с коэффициентом на демонтаж 0,7)</t>
        </is>
      </c>
      <c r="D55" s="234" t="n"/>
      <c r="E55" s="235" t="n"/>
      <c r="F55" s="236" t="n"/>
      <c r="G55" s="126">
        <f>G50+G52+G54</f>
        <v/>
      </c>
      <c r="H55" s="238" t="n"/>
      <c r="I55" s="236" t="n"/>
      <c r="J55" s="126">
        <f>J50+J52+J54</f>
        <v/>
      </c>
      <c r="L55" s="48" t="n"/>
    </row>
    <row r="56" ht="30" customFormat="1" customHeight="1" s="188">
      <c r="A56" s="234" t="n"/>
      <c r="B56" s="234" t="n"/>
      <c r="C56" s="252" t="inlineStr">
        <is>
          <t>ВСЕГО СМР + ОБОРУДОВАНИЕ 
(с коэффициентом на демонтаж 0,7)</t>
        </is>
      </c>
      <c r="D56" s="234" t="n"/>
      <c r="E56" s="235" t="n"/>
      <c r="F56" s="236" t="n"/>
      <c r="G56" s="126">
        <f>G55</f>
        <v/>
      </c>
      <c r="H56" s="238" t="n"/>
      <c r="I56" s="236" t="n"/>
      <c r="J56" s="126">
        <f>J55</f>
        <v/>
      </c>
      <c r="L56" s="47" t="n"/>
    </row>
    <row r="57" ht="14.25" customFormat="1" customHeight="1" s="188">
      <c r="A57" s="234" t="n"/>
      <c r="B57" s="234" t="n"/>
      <c r="C57" s="233" t="inlineStr">
        <is>
          <t>ИТОГО ПОКАЗАТЕЛЬ НА ЕД. ИЗМ.</t>
        </is>
      </c>
      <c r="D57" s="234" t="inlineStr">
        <is>
          <t>ячейка</t>
        </is>
      </c>
      <c r="E57" s="284" t="n">
        <v>1</v>
      </c>
      <c r="F57" s="236" t="n"/>
      <c r="G57" s="126">
        <f>G56/E57</f>
        <v/>
      </c>
      <c r="H57" s="238" t="n"/>
      <c r="I57" s="236" t="n"/>
      <c r="J57" s="126">
        <f>J56/E57</f>
        <v/>
      </c>
      <c r="L57" s="92" t="n"/>
    </row>
    <row r="59" ht="14.25" customFormat="1" customHeight="1" s="188">
      <c r="A59" s="189" t="n"/>
    </row>
    <row r="60" ht="14.25" customFormat="1" customHeight="1" s="188">
      <c r="A60" s="190" t="inlineStr">
        <is>
          <t>Составил ______________________       А.Р. Маркова</t>
        </is>
      </c>
      <c r="B60" s="188" t="n"/>
    </row>
    <row r="61" ht="14.25" customFormat="1" customHeight="1" s="188">
      <c r="A61" s="187" t="inlineStr">
        <is>
          <t xml:space="preserve">                         (подпись, инициалы, фамилия)</t>
        </is>
      </c>
      <c r="B61" s="188" t="n"/>
    </row>
    <row r="62" ht="14.25" customFormat="1" customHeight="1" s="188">
      <c r="A62" s="190" t="n"/>
      <c r="B62" s="188" t="n"/>
    </row>
    <row r="63" ht="14.25" customFormat="1" customHeight="1" s="188">
      <c r="A63" s="190" t="inlineStr">
        <is>
          <t>Проверил ______________________        А.В. Костянецкая</t>
        </is>
      </c>
      <c r="B63" s="188" t="n"/>
    </row>
    <row r="64" ht="14.25" customFormat="1" customHeight="1" s="188">
      <c r="A64" s="187" t="inlineStr">
        <is>
          <t xml:space="preserve">                        (подпись, инициалы, фамилия)</t>
        </is>
      </c>
      <c r="B64" s="188" t="n"/>
    </row>
  </sheetData>
  <mergeCells count="20">
    <mergeCell ref="H9:H10"/>
    <mergeCell ref="B20:H20"/>
    <mergeCell ref="B44:J44"/>
    <mergeCell ref="B45:H45"/>
    <mergeCell ref="C9:C10"/>
    <mergeCell ref="E9:E10"/>
    <mergeCell ref="B37:J37"/>
    <mergeCell ref="A7:H7"/>
    <mergeCell ref="B16:H16"/>
    <mergeCell ref="B9:B10"/>
    <mergeCell ref="D9:D10"/>
    <mergeCell ref="B36:J36"/>
    <mergeCell ref="B12:H12"/>
    <mergeCell ref="D6:J6"/>
    <mergeCell ref="F9:G9"/>
    <mergeCell ref="A4:H4"/>
    <mergeCell ref="A9:A10"/>
    <mergeCell ref="A6:C6"/>
    <mergeCell ref="B19:H1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19"/>
  <sheetViews>
    <sheetView view="pageBreakPreview" workbookViewId="0">
      <selection activeCell="B15" sqref="B15"/>
    </sheetView>
  </sheetViews>
  <sheetFormatPr baseColWidth="8" defaultRowHeight="15"/>
  <cols>
    <col width="5.7109375" customWidth="1" style="193" min="1" max="1"/>
    <col width="14.85546875" customWidth="1" style="193" min="2" max="2"/>
    <col width="39.140625" customWidth="1" style="193" min="3" max="3"/>
    <col width="8.28515625" customWidth="1" style="193" min="4" max="4"/>
    <col width="13.5703125" customWidth="1" style="193" min="5" max="5"/>
    <col width="12.42578125" customWidth="1" style="193" min="6" max="6"/>
    <col width="14.140625" customWidth="1" style="193" min="7" max="7"/>
  </cols>
  <sheetData>
    <row r="1">
      <c r="A1" s="256" t="inlineStr">
        <is>
          <t>Приложение №6</t>
        </is>
      </c>
    </row>
    <row r="2" ht="21.75" customHeight="1" s="193">
      <c r="A2" s="256" t="n"/>
      <c r="B2" s="256" t="n"/>
      <c r="C2" s="256" t="n"/>
      <c r="D2" s="256" t="n"/>
      <c r="E2" s="256" t="n"/>
      <c r="F2" s="256" t="n"/>
      <c r="G2" s="256" t="n"/>
    </row>
    <row r="3">
      <c r="A3" s="230" t="inlineStr">
        <is>
          <t>Расчет стоимости оборудования</t>
        </is>
      </c>
    </row>
    <row r="4" ht="25.5" customHeight="1" s="193">
      <c r="A4" s="255">
        <f>'Прил.1 Сравнит табл'!B7</f>
        <v/>
      </c>
    </row>
    <row r="5">
      <c r="A5" s="190" t="n"/>
      <c r="B5" s="190" t="n"/>
      <c r="C5" s="190" t="n"/>
      <c r="D5" s="190" t="n"/>
      <c r="E5" s="190" t="n"/>
      <c r="F5" s="190" t="n"/>
      <c r="G5" s="190" t="n"/>
    </row>
    <row r="6" ht="30" customHeight="1" s="193">
      <c r="A6" s="257" t="inlineStr">
        <is>
          <t>№ пп.</t>
        </is>
      </c>
      <c r="B6" s="257" t="inlineStr">
        <is>
          <t>Код ресурса</t>
        </is>
      </c>
      <c r="C6" s="257" t="inlineStr">
        <is>
          <t>Наименование</t>
        </is>
      </c>
      <c r="D6" s="257" t="inlineStr">
        <is>
          <t>Ед. изм.</t>
        </is>
      </c>
      <c r="E6" s="181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273" t="n"/>
    </row>
    <row r="7">
      <c r="A7" s="275" t="n"/>
      <c r="B7" s="275" t="n"/>
      <c r="C7" s="275" t="n"/>
      <c r="D7" s="275" t="n"/>
      <c r="E7" s="275" t="n"/>
      <c r="F7" s="181" t="inlineStr">
        <is>
          <t>на ед. изм.</t>
        </is>
      </c>
      <c r="G7" s="181" t="inlineStr">
        <is>
          <t>общая</t>
        </is>
      </c>
    </row>
    <row r="8">
      <c r="A8" s="181" t="n">
        <v>1</v>
      </c>
      <c r="B8" s="181" t="n">
        <v>2</v>
      </c>
      <c r="C8" s="181" t="n">
        <v>3</v>
      </c>
      <c r="D8" s="181" t="n">
        <v>4</v>
      </c>
      <c r="E8" s="181" t="n">
        <v>5</v>
      </c>
      <c r="F8" s="181" t="n">
        <v>6</v>
      </c>
      <c r="G8" s="181" t="n">
        <v>7</v>
      </c>
    </row>
    <row r="9" ht="15" customHeight="1" s="193">
      <c r="A9" s="34" t="n"/>
      <c r="B9" s="252" t="inlineStr">
        <is>
          <t>ИНЖЕНЕРНОЕ ОБОРУДОВАНИЕ</t>
        </is>
      </c>
      <c r="C9" s="272" t="n"/>
      <c r="D9" s="272" t="n"/>
      <c r="E9" s="272" t="n"/>
      <c r="F9" s="272" t="n"/>
      <c r="G9" s="273" t="n"/>
    </row>
    <row r="10" ht="27" customHeight="1" s="193">
      <c r="A10" s="181" t="n"/>
      <c r="B10" s="159" t="n"/>
      <c r="C10" s="252" t="inlineStr">
        <is>
          <t>ИТОГО ИНЖЕНЕРНОЕ ОБОРУДОВАНИЕ</t>
        </is>
      </c>
      <c r="D10" s="159" t="n"/>
      <c r="E10" s="9" t="n"/>
      <c r="F10" s="254" t="n"/>
      <c r="G10" s="254" t="n">
        <v>0</v>
      </c>
    </row>
    <row r="11">
      <c r="A11" s="181" t="n"/>
      <c r="B11" s="252" t="inlineStr">
        <is>
          <t>ТЕХНОЛОГИЧЕСКОЕ ОБОРУДОВАНИЕ</t>
        </is>
      </c>
      <c r="C11" s="272" t="n"/>
      <c r="D11" s="272" t="n"/>
      <c r="E11" s="272" t="n"/>
      <c r="F11" s="272" t="n"/>
      <c r="G11" s="273" t="n"/>
    </row>
    <row r="12" ht="25.5" customHeight="1" s="193">
      <c r="A12" s="181" t="n"/>
      <c r="B12" s="13" t="n"/>
      <c r="C12" s="13" t="inlineStr">
        <is>
          <t>ИТОГО ТЕХНОЛОГИЧЕСКОЕ ОБОРУДОВАНИЕ</t>
        </is>
      </c>
      <c r="D12" s="13" t="n"/>
      <c r="E12" s="14" t="n"/>
      <c r="F12" s="254" t="n"/>
      <c r="G12" s="156" t="n">
        <v>0</v>
      </c>
    </row>
    <row r="13" ht="19.5" customHeight="1" s="193">
      <c r="A13" s="181" t="n"/>
      <c r="B13" s="252" t="n"/>
      <c r="C13" s="252" t="inlineStr">
        <is>
          <t>Всего по разделу «Оборудование»</t>
        </is>
      </c>
      <c r="D13" s="252" t="n"/>
      <c r="E13" s="253" t="n"/>
      <c r="F13" s="254" t="n"/>
      <c r="G13" s="156">
        <f>G10+G12</f>
        <v/>
      </c>
    </row>
    <row r="14">
      <c r="A14" s="189" t="n"/>
      <c r="B14" s="185" t="n"/>
      <c r="C14" s="189" t="n"/>
      <c r="D14" s="189" t="n"/>
      <c r="E14" s="189" t="n"/>
      <c r="F14" s="189" t="n"/>
      <c r="G14" s="189" t="n"/>
    </row>
    <row r="15" s="193">
      <c r="A15" s="190" t="inlineStr">
        <is>
          <t>Составил ______________________        А.Р. Маркова</t>
        </is>
      </c>
      <c r="B15" s="188" t="n"/>
      <c r="C15" s="188" t="n"/>
      <c r="D15" s="189" t="n"/>
      <c r="E15" s="189" t="n"/>
      <c r="F15" s="189" t="n"/>
      <c r="G15" s="189" t="n"/>
    </row>
    <row r="16" s="193">
      <c r="A16" s="187" t="inlineStr">
        <is>
          <t xml:space="preserve">                         (подпись, инициалы, фамилия)</t>
        </is>
      </c>
      <c r="B16" s="188" t="n"/>
      <c r="C16" s="188" t="n"/>
      <c r="D16" s="189" t="n"/>
      <c r="E16" s="189" t="n"/>
      <c r="F16" s="189" t="n"/>
      <c r="G16" s="189" t="n"/>
    </row>
    <row r="17" s="193">
      <c r="A17" s="190" t="n"/>
      <c r="B17" s="188" t="n"/>
      <c r="C17" s="188" t="n"/>
      <c r="D17" s="189" t="n"/>
      <c r="E17" s="189" t="n"/>
      <c r="F17" s="189" t="n"/>
      <c r="G17" s="189" t="n"/>
    </row>
    <row r="18" s="193">
      <c r="A18" s="190" t="inlineStr">
        <is>
          <t>Проверил ______________________        А.В. Костянецкая</t>
        </is>
      </c>
      <c r="B18" s="188" t="n"/>
      <c r="C18" s="188" t="n"/>
      <c r="D18" s="189" t="n"/>
      <c r="E18" s="189" t="n"/>
      <c r="F18" s="189" t="n"/>
      <c r="G18" s="189" t="n"/>
    </row>
    <row r="19" s="193">
      <c r="A19" s="187" t="inlineStr">
        <is>
          <t xml:space="preserve">                        (подпись, инициалы, фамилия)</t>
        </is>
      </c>
      <c r="B19" s="188" t="n"/>
      <c r="C19" s="188" t="n"/>
      <c r="D19" s="189" t="n"/>
      <c r="E19" s="189" t="n"/>
      <c r="F19" s="189" t="n"/>
      <c r="G19" s="18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zoomScale="115" workbookViewId="0">
      <selection activeCell="B13" sqref="B13"/>
    </sheetView>
  </sheetViews>
  <sheetFormatPr baseColWidth="8" defaultRowHeight="15"/>
  <cols>
    <col width="15.28515625" customWidth="1" style="193" min="1" max="1"/>
    <col width="20.140625" customWidth="1" style="193" min="2" max="2"/>
    <col width="39.85546875" customWidth="1" style="193" min="3" max="3"/>
    <col width="24.42578125" customWidth="1" style="193" min="4" max="4"/>
    <col width="9.140625" customWidth="1" style="193" min="5" max="5"/>
  </cols>
  <sheetData>
    <row r="1">
      <c r="B1" s="190" t="n"/>
      <c r="C1" s="190" t="n"/>
      <c r="D1" s="256" t="inlineStr">
        <is>
          <t>Приложение №7</t>
        </is>
      </c>
    </row>
    <row r="2">
      <c r="A2" s="256" t="n"/>
      <c r="B2" s="256" t="n"/>
      <c r="C2" s="256" t="n"/>
      <c r="D2" s="256" t="n"/>
    </row>
    <row r="3">
      <c r="A3" s="230" t="inlineStr">
        <is>
          <t>Расчет показателя УНЦ</t>
        </is>
      </c>
    </row>
    <row r="4">
      <c r="A4" s="230" t="n"/>
      <c r="B4" s="230" t="n"/>
      <c r="C4" s="230" t="n"/>
      <c r="D4" s="230" t="n"/>
    </row>
    <row r="5" ht="25.5" customHeight="1" s="193">
      <c r="A5" s="244" t="inlineStr">
        <is>
          <t xml:space="preserve">Наименование разрабатываемого показателя УНЦ - </t>
        </is>
      </c>
      <c r="D5" s="244">
        <f>'Прил.5 Расчет СМР и ОБ'!D6:J6</f>
        <v/>
      </c>
    </row>
    <row r="6">
      <c r="A6" s="244" t="inlineStr">
        <is>
          <t>Единица измерения  — 1 ячейка</t>
        </is>
      </c>
      <c r="D6" s="244" t="n"/>
    </row>
    <row r="7">
      <c r="A7" s="190" t="n"/>
      <c r="B7" s="190" t="n"/>
      <c r="C7" s="190" t="n"/>
      <c r="D7" s="190" t="n"/>
    </row>
    <row r="8">
      <c r="A8" s="217" t="inlineStr">
        <is>
          <t>Код показателя</t>
        </is>
      </c>
      <c r="B8" s="217" t="inlineStr">
        <is>
          <t>Наименование показателя</t>
        </is>
      </c>
      <c r="C8" s="217" t="inlineStr">
        <is>
          <t>Наименование РМ, входящих в состав показателя</t>
        </is>
      </c>
      <c r="D8" s="217" t="inlineStr">
        <is>
          <t>Норматив цены на 01.01.2023, тыс.руб.</t>
        </is>
      </c>
    </row>
    <row r="9">
      <c r="A9" s="275" t="n"/>
      <c r="B9" s="275" t="n"/>
      <c r="C9" s="275" t="n"/>
      <c r="D9" s="275" t="n"/>
    </row>
    <row r="10">
      <c r="A10" s="181" t="n">
        <v>1</v>
      </c>
      <c r="B10" s="181" t="n">
        <v>2</v>
      </c>
      <c r="C10" s="181" t="n">
        <v>3</v>
      </c>
      <c r="D10" s="181" t="n">
        <v>4</v>
      </c>
    </row>
    <row r="11" ht="25.5" customHeight="1" s="193">
      <c r="A11" s="181" t="inlineStr">
        <is>
          <t>М6-02-1</t>
        </is>
      </c>
      <c r="B11" s="181" t="inlineStr">
        <is>
          <t>УНЦ на демонтажные работы ПС</t>
        </is>
      </c>
      <c r="C11" s="182" t="inlineStr">
        <is>
          <t>Демонтаж ячейки выключателя КРУ 6-20кВ</t>
        </is>
      </c>
      <c r="D11" s="183">
        <f>'Прил.4 РМ'!C41/1000</f>
        <v/>
      </c>
    </row>
    <row r="12">
      <c r="A12" s="189" t="n"/>
      <c r="B12" s="185" t="n"/>
      <c r="C12" s="189" t="n"/>
      <c r="D12" s="189" t="n"/>
    </row>
    <row r="13">
      <c r="A13" s="190" t="inlineStr">
        <is>
          <t>Составил ______________________      А.Р. Маркова</t>
        </is>
      </c>
      <c r="B13" s="188" t="n"/>
      <c r="C13" s="188" t="n"/>
      <c r="D13" s="189" t="n"/>
    </row>
    <row r="14">
      <c r="A14" s="187" t="inlineStr">
        <is>
          <t xml:space="preserve">                         (подпись, инициалы, фамилия)</t>
        </is>
      </c>
      <c r="B14" s="188" t="n"/>
      <c r="C14" s="188" t="n"/>
      <c r="D14" s="189" t="n"/>
    </row>
    <row r="15">
      <c r="A15" s="190" t="n"/>
      <c r="B15" s="188" t="n"/>
      <c r="C15" s="188" t="n"/>
      <c r="D15" s="189" t="n"/>
    </row>
    <row r="16">
      <c r="A16" s="190" t="inlineStr">
        <is>
          <t>Проверил ______________________        А.В. Костянецкая</t>
        </is>
      </c>
      <c r="B16" s="188" t="n"/>
      <c r="C16" s="188" t="n"/>
      <c r="D16" s="189" t="n"/>
    </row>
    <row r="17">
      <c r="A17" s="187" t="inlineStr">
        <is>
          <t xml:space="preserve">                        (подпись, инициалы, фамилия)</t>
        </is>
      </c>
      <c r="B17" s="188" t="n"/>
      <c r="C17" s="188" t="n"/>
      <c r="D17" s="18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8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26"/>
  <sheetViews>
    <sheetView view="pageBreakPreview" zoomScale="60" zoomScaleNormal="100" workbookViewId="0">
      <selection activeCell="C22" sqref="C22"/>
    </sheetView>
  </sheetViews>
  <sheetFormatPr baseColWidth="8" defaultRowHeight="15"/>
  <cols>
    <col width="40.7109375" customWidth="1" style="193" min="2" max="2"/>
    <col width="37" customWidth="1" style="193" min="3" max="3"/>
    <col width="32" customWidth="1" style="193" min="4" max="4"/>
  </cols>
  <sheetData>
    <row r="4" ht="15.75" customHeight="1" s="193">
      <c r="B4" s="213" t="inlineStr">
        <is>
          <t>Приложение № 10</t>
        </is>
      </c>
    </row>
    <row r="5" ht="18.75" customHeight="1" s="193">
      <c r="B5" s="22" t="n"/>
    </row>
    <row r="6" ht="15.75" customHeight="1" s="193">
      <c r="B6" s="223" t="inlineStr">
        <is>
          <t>Используемые индексы изменений сметной стоимости и нормы сопутствующих затрат</t>
        </is>
      </c>
    </row>
    <row r="7" ht="18.75" customHeight="1" s="193">
      <c r="B7" s="52" t="n"/>
    </row>
    <row r="8" ht="47.25" customHeight="1" s="193">
      <c r="B8" s="217" t="inlineStr">
        <is>
          <t>Наименование индекса / норм сопутствующих затрат</t>
        </is>
      </c>
      <c r="C8" s="217" t="inlineStr">
        <is>
          <t>Дата применения и обоснование индекса / норм сопутствующих затрат</t>
        </is>
      </c>
      <c r="D8" s="217" t="inlineStr">
        <is>
          <t>Размер индекса / норма сопутствующих затрат</t>
        </is>
      </c>
    </row>
    <row r="9" ht="15.75" customHeight="1" s="193">
      <c r="B9" s="217" t="n">
        <v>1</v>
      </c>
      <c r="C9" s="217" t="n">
        <v>2</v>
      </c>
      <c r="D9" s="217" t="n">
        <v>3</v>
      </c>
    </row>
    <row r="10" ht="45" customHeight="1" s="193">
      <c r="B10" s="217" t="inlineStr">
        <is>
          <t xml:space="preserve">Индекс изменения сметной стоимости на 1 квартал 2023 года. ОЗП </t>
        </is>
      </c>
      <c r="C10" s="217" t="inlineStr">
        <is>
          <t>Письмо Минстроя России от 30.03.2023г. №17106-ИФ/09  прил.1</t>
        </is>
      </c>
      <c r="D10" s="217" t="n">
        <v>44.29</v>
      </c>
    </row>
    <row r="11" ht="29.25" customHeight="1" s="193">
      <c r="B11" s="217" t="inlineStr">
        <is>
          <t>Индекс изменения сметной стоимости на 1 квартал 2023 года. ЭМ</t>
        </is>
      </c>
      <c r="C11" s="217" t="inlineStr">
        <is>
          <t>Письмо Минстроя России от 30.03.2023г. №17106-ИФ/09  прил.1</t>
        </is>
      </c>
      <c r="D11" s="217" t="n">
        <v>13.47</v>
      </c>
    </row>
    <row r="12" ht="29.25" customHeight="1" s="193">
      <c r="B12" s="217" t="inlineStr">
        <is>
          <t>Индекс изменения сметной стоимости на 1 квартал 2023 года. МАТ</t>
        </is>
      </c>
      <c r="C12" s="217" t="inlineStr">
        <is>
          <t>Письмо Минстроя России от 30.03.2023г. №17106-ИФ/09  прил.1</t>
        </is>
      </c>
      <c r="D12" s="217" t="n">
        <v>8.039999999999999</v>
      </c>
    </row>
    <row r="13" ht="30.75" customHeight="1" s="193">
      <c r="B13" s="217" t="inlineStr">
        <is>
          <t>Индекс изменения сметной стоимости на 1 квартал 2023 года. ОБ</t>
        </is>
      </c>
      <c r="C13" s="55" t="inlineStr">
        <is>
          <t>Письмо Минстроя России от 23.02.2023г. №9791-ИФ/09 прил.6</t>
        </is>
      </c>
      <c r="D13" s="217" t="n">
        <v>6.26</v>
      </c>
    </row>
    <row r="14" ht="89.25" customHeight="1" s="193">
      <c r="B14" s="217" t="inlineStr">
        <is>
          <t>Временные здания и сооружения</t>
        </is>
      </c>
      <c r="C14" s="21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32" t="n">
        <v>0.039</v>
      </c>
    </row>
    <row r="15" ht="78.75" customHeight="1" s="193">
      <c r="B15" s="217" t="inlineStr">
        <is>
          <t>Дополнительные затраты при производстве строительно-монтажных работ в зимнее время</t>
        </is>
      </c>
      <c r="C15" s="21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32" t="n">
        <v>0.021</v>
      </c>
    </row>
    <row r="16" ht="34.5" customHeight="1" s="193">
      <c r="B16" s="217" t="n"/>
      <c r="C16" s="217" t="n"/>
      <c r="D16" s="217" t="n"/>
    </row>
    <row r="17" ht="31.5" customHeight="1" s="193">
      <c r="B17" s="217" t="inlineStr">
        <is>
          <t>Строительный контроль</t>
        </is>
      </c>
      <c r="C17" s="217" t="inlineStr">
        <is>
          <t>Постановление Правительства РФ от 21.06.10 г. № 468</t>
        </is>
      </c>
      <c r="D17" s="32" t="n">
        <v>0.0214</v>
      </c>
    </row>
    <row r="18" ht="31.5" customHeight="1" s="193">
      <c r="B18" s="217" t="inlineStr">
        <is>
          <t>Авторский надзор - 0,2%</t>
        </is>
      </c>
      <c r="C18" s="217" t="inlineStr">
        <is>
          <t>Приказ от 4.08.2020 № 421/пр п.173</t>
        </is>
      </c>
      <c r="D18" s="32" t="n">
        <v>0.002</v>
      </c>
    </row>
    <row r="19" ht="24" customHeight="1" s="193">
      <c r="B19" s="217" t="inlineStr">
        <is>
          <t>Непредвиденные расходы</t>
        </is>
      </c>
      <c r="C19" s="217" t="inlineStr">
        <is>
          <t>Приказ от 4.08.2020 № 421/пр п.179</t>
        </is>
      </c>
      <c r="D19" s="32" t="n">
        <v>0.03</v>
      </c>
    </row>
    <row r="20" ht="18.75" customHeight="1" s="193">
      <c r="B20" s="52" t="n"/>
    </row>
    <row r="22">
      <c r="B22" s="190" t="inlineStr">
        <is>
          <t>Составил ______________________        А.Р. Маркова</t>
        </is>
      </c>
      <c r="C22" s="188" t="n"/>
    </row>
    <row r="23">
      <c r="B23" s="187" t="inlineStr">
        <is>
          <t xml:space="preserve">                         (подпись, инициалы, фамилия)</t>
        </is>
      </c>
      <c r="C23" s="188" t="n"/>
    </row>
    <row r="24">
      <c r="B24" s="190" t="n"/>
      <c r="C24" s="188" t="n"/>
    </row>
    <row r="25">
      <c r="B25" s="190" t="inlineStr">
        <is>
          <t>Проверил ______________________        А.В. Костянецкая</t>
        </is>
      </c>
      <c r="C25" s="188" t="n"/>
    </row>
    <row r="26">
      <c r="B26" s="187" t="inlineStr">
        <is>
          <t xml:space="preserve">                        (подпись, инициалы, фамилия)</t>
        </is>
      </c>
      <c r="C26" s="188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4" cellComments="atEnd"/>
</worksheet>
</file>

<file path=xl/worksheets/sheet9.xml><?xml version="1.0" encoding="utf-8"?>
<worksheet xmlns="http://schemas.openxmlformats.org/spreadsheetml/2006/main">
  <sheetPr codeName="Лист10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93" min="2" max="2"/>
    <col width="13" customWidth="1" style="193" min="3" max="3"/>
    <col width="22.85546875" customWidth="1" style="193" min="4" max="4"/>
    <col width="21.5703125" customWidth="1" style="193" min="5" max="5"/>
    <col width="53.7109375" bestFit="1" customWidth="1" style="193" min="6" max="6"/>
  </cols>
  <sheetData>
    <row r="1" s="193"/>
    <row r="2" ht="17.25" customHeight="1" s="193">
      <c r="A2" s="223" t="inlineStr">
        <is>
          <t>Расчет размера средств на оплату труда рабочих-строителей в текущем уровне цен (ФОТр.тек.)</t>
        </is>
      </c>
    </row>
    <row r="3" s="193"/>
    <row r="4" ht="18" customHeight="1" s="193">
      <c r="A4" s="194" t="inlineStr">
        <is>
          <t>Составлен в уровне цен на 01.01.2023 г.</t>
        </is>
      </c>
      <c r="B4" s="195" t="n"/>
      <c r="C4" s="195" t="n"/>
      <c r="D4" s="195" t="n"/>
      <c r="E4" s="195" t="n"/>
      <c r="F4" s="195" t="n"/>
      <c r="G4" s="195" t="n"/>
    </row>
    <row r="5" ht="15.75" customHeight="1" s="193">
      <c r="A5" s="196" t="inlineStr">
        <is>
          <t>№ пп.</t>
        </is>
      </c>
      <c r="B5" s="196" t="inlineStr">
        <is>
          <t>Наименование элемента</t>
        </is>
      </c>
      <c r="C5" s="196" t="inlineStr">
        <is>
          <t>Обозначение</t>
        </is>
      </c>
      <c r="D5" s="196" t="inlineStr">
        <is>
          <t>Формула</t>
        </is>
      </c>
      <c r="E5" s="196" t="inlineStr">
        <is>
          <t>Величина элемента</t>
        </is>
      </c>
      <c r="F5" s="196" t="inlineStr">
        <is>
          <t>Наименования обосновывающих документов</t>
        </is>
      </c>
      <c r="G5" s="195" t="n"/>
    </row>
    <row r="6" ht="15.75" customHeight="1" s="193">
      <c r="A6" s="196" t="n">
        <v>1</v>
      </c>
      <c r="B6" s="196" t="n">
        <v>2</v>
      </c>
      <c r="C6" s="196" t="n">
        <v>3</v>
      </c>
      <c r="D6" s="196" t="n">
        <v>4</v>
      </c>
      <c r="E6" s="196" t="n">
        <v>5</v>
      </c>
      <c r="F6" s="196" t="n">
        <v>6</v>
      </c>
      <c r="G6" s="195" t="n"/>
    </row>
    <row r="7" ht="110.25" customHeight="1" s="193">
      <c r="A7" s="197" t="inlineStr">
        <is>
          <t>1.1</t>
        </is>
      </c>
      <c r="B7" s="20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17" t="inlineStr">
        <is>
          <t>С1ср</t>
        </is>
      </c>
      <c r="D7" s="217" t="inlineStr">
        <is>
          <t>-</t>
        </is>
      </c>
      <c r="E7" s="200" t="n">
        <v>47872.94</v>
      </c>
      <c r="F7" s="20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5" t="n"/>
    </row>
    <row r="8" ht="31.5" customHeight="1" s="193">
      <c r="A8" s="197" t="inlineStr">
        <is>
          <t>1.2</t>
        </is>
      </c>
      <c r="B8" s="202" t="inlineStr">
        <is>
          <t>Среднегодовое нормативное число часов работы одного рабочего в месяц, часы (ч.)</t>
        </is>
      </c>
      <c r="C8" s="217" t="inlineStr">
        <is>
          <t>tср</t>
        </is>
      </c>
      <c r="D8" s="217" t="inlineStr">
        <is>
          <t>1973ч/12мес.</t>
        </is>
      </c>
      <c r="E8" s="201">
        <f>1973/12</f>
        <v/>
      </c>
      <c r="F8" s="202" t="inlineStr">
        <is>
          <t>Производственный календарь 2023 год
(40-часов.неделя)</t>
        </is>
      </c>
      <c r="G8" s="204" t="n"/>
    </row>
    <row r="9" ht="15.75" customHeight="1" s="193">
      <c r="A9" s="197" t="inlineStr">
        <is>
          <t>1.3</t>
        </is>
      </c>
      <c r="B9" s="202" t="inlineStr">
        <is>
          <t>Коэффициент увеличения</t>
        </is>
      </c>
      <c r="C9" s="217" t="inlineStr">
        <is>
          <t>Кув</t>
        </is>
      </c>
      <c r="D9" s="217" t="inlineStr">
        <is>
          <t>-</t>
        </is>
      </c>
      <c r="E9" s="201" t="n">
        <v>1</v>
      </c>
      <c r="F9" s="202" t="n"/>
      <c r="G9" s="204" t="n"/>
    </row>
    <row r="10" ht="15.75" customHeight="1" s="193">
      <c r="A10" s="197" t="inlineStr">
        <is>
          <t>1.4</t>
        </is>
      </c>
      <c r="B10" s="202" t="inlineStr">
        <is>
          <t>Средний разряд работ</t>
        </is>
      </c>
      <c r="C10" s="217" t="n"/>
      <c r="D10" s="217" t="n"/>
      <c r="E10" s="291" t="n">
        <v>4</v>
      </c>
      <c r="F10" s="202" t="inlineStr">
        <is>
          <t>РТМ</t>
        </is>
      </c>
      <c r="G10" s="204" t="n"/>
    </row>
    <row r="11" ht="78.75" customHeight="1" s="193">
      <c r="A11" s="197" t="inlineStr">
        <is>
          <t>1.5</t>
        </is>
      </c>
      <c r="B11" s="202" t="inlineStr">
        <is>
          <t>Тарифный коэффициент среднего разряда работ</t>
        </is>
      </c>
      <c r="C11" s="217" t="inlineStr">
        <is>
          <t>КТ</t>
        </is>
      </c>
      <c r="D11" s="217" t="inlineStr">
        <is>
          <t>-</t>
        </is>
      </c>
      <c r="E11" s="292" t="n">
        <v>1.34</v>
      </c>
      <c r="F11" s="20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5" t="n"/>
    </row>
    <row r="12" ht="78.75" customHeight="1" s="193">
      <c r="A12" s="207" t="inlineStr">
        <is>
          <t>1.6</t>
        </is>
      </c>
      <c r="B12" s="264" t="inlineStr">
        <is>
          <t>Коэффициент инфляции, определяемый поквартально</t>
        </is>
      </c>
      <c r="C12" s="208" t="inlineStr">
        <is>
          <t>Кинф</t>
        </is>
      </c>
      <c r="D12" s="208" t="inlineStr">
        <is>
          <t>-</t>
        </is>
      </c>
      <c r="E12" s="293" t="n">
        <v>1.139</v>
      </c>
      <c r="F12" s="26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3">
      <c r="A13" s="267" t="inlineStr">
        <is>
          <t>1.7</t>
        </is>
      </c>
      <c r="B13" s="268" t="inlineStr">
        <is>
          <t>Размер средств на оплату труда рабочих-строителей в текущем уровне цен (ФОТр.тек.), руб/чел.-ч</t>
        </is>
      </c>
      <c r="C13" s="269" t="inlineStr">
        <is>
          <t>ФОТр.тек.</t>
        </is>
      </c>
      <c r="D13" s="269" t="inlineStr">
        <is>
          <t>(С1ср/tср*КТ*Т*Кув)*Кинф</t>
        </is>
      </c>
      <c r="E13" s="270">
        <f>((E7*E9/E8)*E11)*E12</f>
        <v/>
      </c>
      <c r="F13" s="27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5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2025-01-24T12:11:32Z</dcterms:modified>
  <cp:lastModifiedBy>Николай Трофименко</cp:lastModifiedBy>
  <cp:lastPrinted>2023-11-29T08:55:11Z</cp:lastPrinted>
</cp:coreProperties>
</file>