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Прил.3!$A$3</definedName>
    <definedName name="_xlnm.Print_Titles" localSheetId="2">'Прил.3'!$9:$11</definedName>
    <definedName name="_xlnm.Print_Area" localSheetId="2">'Прил.3'!$A$1:$H$67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ОБ'!$A$1:$J$71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#,##0.0000"/>
    <numFmt numFmtId="165" formatCode="_-* #,##0.0\ _₽_-;\-* #,##0.0\ _₽_-;_-* &quot;-&quot;??\ _₽_-;_-@_-"/>
    <numFmt numFmtId="166" formatCode="0.0_ ;\-0.0\ "/>
    <numFmt numFmtId="167" formatCode="0.0000"/>
    <numFmt numFmtId="168" formatCode="#,##0.00_ ;\-#,##0.00\ "/>
    <numFmt numFmtId="169" formatCode="0.000"/>
    <numFmt numFmtId="170" formatCode="#,##0.00000"/>
    <numFmt numFmtId="171" formatCode="#,##0.0"/>
    <numFmt numFmtId="172" formatCode="#,##0.000"/>
  </numFmts>
  <fonts count="23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Calibri"/>
      <b val="1"/>
      <color rgb="FF000000"/>
      <sz val="12"/>
    </font>
    <font>
      <name val="Arial"/>
      <b val="1"/>
      <color rgb="FFC00000"/>
      <sz val="11"/>
    </font>
    <font>
      <name val="Times New Roman"/>
      <color rgb="FF000000"/>
      <sz val="10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Calibri"/>
      <b val="1"/>
      <color rgb="FF000000"/>
      <sz val="11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0" fontId="4" fillId="0" borderId="0" pivotButton="0" quotePrefix="0" xfId="0"/>
    <xf numFmtId="165" fontId="8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166" fontId="9" fillId="2" borderId="0" pivotButton="0" quotePrefix="0" xfId="0"/>
    <xf numFmtId="0" fontId="6" fillId="0" borderId="0" applyAlignment="1" pivotButton="0" quotePrefix="0" xfId="0">
      <alignment horizontal="right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167" fontId="0" fillId="4" borderId="7" applyAlignment="1" pivotButton="0" quotePrefix="0" xfId="0">
      <alignment horizontal="center" vertical="center"/>
    </xf>
    <xf numFmtId="167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7" fontId="0" fillId="4" borderId="9" applyAlignment="1" pivotButton="0" quotePrefix="0" xfId="0">
      <alignment horizontal="center" vertical="center"/>
    </xf>
    <xf numFmtId="167" fontId="0" fillId="0" borderId="9" applyAlignment="1" pivotButton="0" quotePrefix="0" xfId="0">
      <alignment horizontal="center" vertical="center"/>
    </xf>
    <xf numFmtId="167" fontId="0" fillId="4" borderId="5" applyAlignment="1" pivotButton="0" quotePrefix="0" xfId="0">
      <alignment horizontal="center" vertical="center"/>
    </xf>
    <xf numFmtId="167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4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0" fillId="0" borderId="0" pivotButton="0" quotePrefix="0" xfId="0"/>
    <xf numFmtId="0" fontId="0" fillId="5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0" pivotButton="0" quotePrefix="0" xfId="0"/>
    <xf numFmtId="0" fontId="2" fillId="0" borderId="0" pivotButton="0" quotePrefix="0" xfId="0"/>
    <xf numFmtId="0" fontId="10" fillId="0" borderId="0" applyAlignment="1" pivotButton="0" quotePrefix="0" xfId="0">
      <alignment vertical="center"/>
    </xf>
    <xf numFmtId="168" fontId="11" fillId="0" borderId="0" pivotButton="0" quotePrefix="0" xfId="0"/>
    <xf numFmtId="0" fontId="0" fillId="0" borderId="0" pivotButton="0" quotePrefix="0" xfId="0"/>
    <xf numFmtId="0" fontId="12" fillId="0" borderId="1" applyAlignment="1" pivotButton="0" quotePrefix="0" xfId="0">
      <alignment vertical="center" wrapText="1"/>
    </xf>
    <xf numFmtId="2" fontId="0" fillId="0" borderId="0" pivotButton="0" quotePrefix="0" xfId="0"/>
    <xf numFmtId="4" fontId="0" fillId="0" borderId="0" pivotButton="0" quotePrefix="0" xfId="0"/>
    <xf numFmtId="167" fontId="1" fillId="0" borderId="0" pivotButton="0" quotePrefix="0" xfId="0"/>
    <xf numFmtId="0" fontId="1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6" fillId="0" borderId="1" applyAlignment="1" pivotButton="0" quotePrefix="0" xfId="0">
      <alignment vertical="center" wrapText="1"/>
    </xf>
    <xf numFmtId="0" fontId="14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49" fontId="6" fillId="0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43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center" vertical="top" wrapText="1"/>
    </xf>
    <xf numFmtId="169" fontId="2" fillId="2" borderId="1" applyAlignment="1" pivotButton="0" quotePrefix="0" xfId="0">
      <alignment horizontal="center" vertical="top" wrapText="1"/>
    </xf>
    <xf numFmtId="4" fontId="2" fillId="2" borderId="1" applyAlignment="1" pivotButton="0" quotePrefix="0" xfId="0">
      <alignment horizontal="right" vertical="top" wrapText="1"/>
    </xf>
    <xf numFmtId="4" fontId="2" fillId="2" borderId="1" applyAlignment="1" pivotButton="0" quotePrefix="0" xfId="0">
      <alignment horizontal="right" vertical="top" wrapText="1"/>
    </xf>
    <xf numFmtId="1" fontId="2" fillId="2" borderId="1" applyAlignment="1" pivotButton="0" quotePrefix="0" xfId="0">
      <alignment horizontal="center" vertical="top" wrapText="1"/>
    </xf>
    <xf numFmtId="49" fontId="2" fillId="2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center" vertical="top" wrapText="1"/>
    </xf>
    <xf numFmtId="43" fontId="2" fillId="2" borderId="1" applyAlignment="1" pivotButton="0" quotePrefix="0" xfId="0">
      <alignment horizontal="right" vertical="top" wrapText="1"/>
    </xf>
    <xf numFmtId="49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top" wrapText="1"/>
    </xf>
    <xf numFmtId="2" fontId="2" fillId="2" borderId="1" applyAlignment="1" pivotButton="0" quotePrefix="0" xfId="0">
      <alignment horizontal="center" vertical="top" wrapText="1"/>
    </xf>
    <xf numFmtId="164" fontId="2" fillId="2" borderId="1" applyAlignment="1" pivotButton="0" quotePrefix="0" xfId="0">
      <alignment horizontal="center" vertical="center" wrapText="1"/>
    </xf>
    <xf numFmtId="17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10" fontId="2" fillId="2" borderId="1" applyAlignment="1" pivotButton="0" quotePrefix="0" xfId="0">
      <alignment horizontal="right" vertical="center" wrapText="1"/>
    </xf>
    <xf numFmtId="10" fontId="2" fillId="2" borderId="0" applyAlignment="1" pivotButton="0" quotePrefix="0" xfId="0">
      <alignment horizontal="right" vertical="center" wrapText="1"/>
    </xf>
    <xf numFmtId="49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left" vertical="center" wrapText="1"/>
    </xf>
    <xf numFmtId="2" fontId="2" fillId="2" borderId="11" applyAlignment="1" pivotButton="0" quotePrefix="0" xfId="0">
      <alignment horizontal="center" vertical="center" wrapText="1"/>
    </xf>
    <xf numFmtId="4" fontId="2" fillId="2" borderId="11" applyAlignment="1" pivotButton="0" quotePrefix="0" xfId="0">
      <alignment horizontal="right" vertical="center" wrapText="1"/>
    </xf>
    <xf numFmtId="10" fontId="2" fillId="2" borderId="1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14" fillId="0" borderId="1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vertical="center" wrapText="1"/>
    </xf>
    <xf numFmtId="43" fontId="3" fillId="2" borderId="1" applyAlignment="1" pivotButton="0" quotePrefix="0" xfId="0">
      <alignment vertical="center" wrapText="1"/>
    </xf>
    <xf numFmtId="1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4" fontId="2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center" wrapText="1"/>
    </xf>
    <xf numFmtId="43" fontId="3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center" vertical="top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0" fontId="6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10" fillId="0" borderId="0" applyAlignment="1" pivotButton="0" quotePrefix="0" xfId="0">
      <alignment vertical="center"/>
    </xf>
    <xf numFmtId="49" fontId="2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171" fontId="6" fillId="0" borderId="1" applyAlignment="1" pivotButton="0" quotePrefix="0" xfId="0">
      <alignment horizontal="center" vertical="center"/>
    </xf>
    <xf numFmtId="172" fontId="6" fillId="0" borderId="1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6" fillId="0" borderId="15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right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5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2" borderId="3" applyAlignment="1" pivotButton="0" quotePrefix="0" xfId="0">
      <alignment horizontal="left" vertical="center" wrapText="1"/>
    </xf>
    <xf numFmtId="0" fontId="3" fillId="2" borderId="12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10" fontId="2" fillId="2" borderId="3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4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18" fillId="0" borderId="0" applyAlignment="1" pivotButton="0" quotePrefix="0" xfId="0">
      <alignment horizontal="center"/>
    </xf>
    <xf numFmtId="2" fontId="18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6" fillId="0" borderId="11" applyAlignment="1" pivotButton="0" quotePrefix="0" xfId="0">
      <alignment vertical="center" wrapText="1"/>
    </xf>
    <xf numFmtId="167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wrapText="1"/>
    </xf>
    <xf numFmtId="49" fontId="6" fillId="0" borderId="18" applyAlignment="1" pivotButton="0" quotePrefix="0" xfId="0">
      <alignment horizontal="center" vertical="center"/>
    </xf>
    <xf numFmtId="0" fontId="17" fillId="0" borderId="18" applyAlignment="1" pivotButton="0" quotePrefix="0" xfId="0">
      <alignment vertical="center" wrapText="1"/>
    </xf>
    <xf numFmtId="0" fontId="6" fillId="0" borderId="18" applyAlignment="1" pivotButton="0" quotePrefix="0" xfId="0">
      <alignment horizontal="center" vertical="center" wrapText="1"/>
    </xf>
    <xf numFmtId="4" fontId="17" fillId="0" borderId="18" applyAlignment="1" pivotButton="0" quotePrefix="0" xfId="0">
      <alignment horizontal="center" vertical="center"/>
    </xf>
    <xf numFmtId="0" fontId="6" fillId="0" borderId="18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5" pivotButton="0" quotePrefix="0" xfId="0"/>
    <xf numFmtId="0" fontId="0" fillId="0" borderId="21" pivotButton="0" quotePrefix="0" xfId="0"/>
    <xf numFmtId="0" fontId="0" fillId="0" borderId="2" pivotButton="0" quotePrefix="0" xfId="0"/>
    <xf numFmtId="0" fontId="12" fillId="0" borderId="1" applyAlignment="1" pivotButton="0" quotePrefix="0" xfId="0">
      <alignment horizontal="center" vertical="center" wrapText="1"/>
    </xf>
    <xf numFmtId="165" fontId="8" fillId="2" borderId="0" pivotButton="0" quotePrefix="0" xfId="0"/>
    <xf numFmtId="43" fontId="3" fillId="2" borderId="1" applyAlignment="1" pivotButton="0" quotePrefix="0" xfId="0">
      <alignment vertical="center" wrapText="1"/>
    </xf>
    <xf numFmtId="166" fontId="9" fillId="2" borderId="0" pivotButton="0" quotePrefix="0" xfId="0"/>
    <xf numFmtId="169" fontId="2" fillId="2" borderId="1" applyAlignment="1" pivotButton="0" quotePrefix="0" xfId="0">
      <alignment horizontal="center" vertical="top" wrapText="1"/>
    </xf>
    <xf numFmtId="43" fontId="2" fillId="2" borderId="1" applyAlignment="1" pivotButton="0" quotePrefix="0" xfId="0">
      <alignment horizontal="right" vertical="top" wrapText="1"/>
    </xf>
    <xf numFmtId="164" fontId="2" fillId="2" borderId="1" applyAlignment="1" pivotButton="0" quotePrefix="0" xfId="0">
      <alignment horizontal="center" vertical="center" wrapText="1"/>
    </xf>
    <xf numFmtId="43" fontId="3" fillId="0" borderId="1" applyAlignment="1" pivotButton="0" quotePrefix="0" xfId="0">
      <alignment vertical="center" wrapText="1"/>
    </xf>
    <xf numFmtId="168" fontId="11" fillId="0" borderId="0" pivotButton="0" quotePrefix="0" xfId="0"/>
    <xf numFmtId="43" fontId="0" fillId="0" borderId="0" pivotButton="0" quotePrefix="0" xfId="0"/>
    <xf numFmtId="167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70" fontId="2" fillId="2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3" fillId="0" borderId="21" applyAlignment="1" pivotButton="0" quotePrefix="0" xfId="0">
      <alignment horizontal="left" vertical="center" wrapText="1"/>
    </xf>
    <xf numFmtId="0" fontId="0" fillId="0" borderId="14" pivotButton="0" quotePrefix="0" xfId="0"/>
    <xf numFmtId="171" fontId="6" fillId="0" borderId="1" applyAlignment="1" pivotButton="0" quotePrefix="0" xfId="0">
      <alignment horizontal="center" vertical="center"/>
    </xf>
    <xf numFmtId="172" fontId="6" fillId="0" borderId="1" applyAlignment="1" pivotButton="0" quotePrefix="0" xfId="0">
      <alignment horizontal="center" vertical="center"/>
    </xf>
    <xf numFmtId="167" fontId="6" fillId="0" borderId="1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G35"/>
  <sheetViews>
    <sheetView tabSelected="1" view="pageBreakPreview" topLeftCell="A17" zoomScale="60" zoomScaleNormal="85" workbookViewId="0">
      <selection activeCell="D27" sqref="D27"/>
    </sheetView>
  </sheetViews>
  <sheetFormatPr baseColWidth="8" defaultRowHeight="15"/>
  <cols>
    <col width="36.85546875" customWidth="1" style="202" min="3" max="3"/>
    <col width="39.42578125" customWidth="1" style="202" min="4" max="4"/>
    <col width="14.28515625" customWidth="1" style="202" min="7" max="7"/>
    <col width="15" customWidth="1" style="202" min="10" max="10"/>
  </cols>
  <sheetData>
    <row r="3" ht="15.75" customHeight="1" s="202">
      <c r="B3" s="223" t="inlineStr">
        <is>
          <t>Приложение № 1</t>
        </is>
      </c>
    </row>
    <row r="4" ht="18.75" customHeight="1" s="202">
      <c r="B4" s="224" t="inlineStr">
        <is>
          <t>Сравнительная таблица отбора объекта-представителя</t>
        </is>
      </c>
    </row>
    <row r="5" ht="84" customHeight="1" s="202">
      <c r="B5" s="22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2">
      <c r="B6" s="95" t="n"/>
      <c r="C6" s="95" t="n"/>
      <c r="D6" s="95" t="n"/>
    </row>
    <row r="7" ht="64.5" customHeight="1" s="202">
      <c r="B7" s="222" t="inlineStr">
        <is>
          <t>Наименование разрабатываемого показателя УНЦ - Демонтаж ячейки выключателя КРУ 35кВ</t>
        </is>
      </c>
    </row>
    <row r="8" ht="31.5" customHeight="1" s="202">
      <c r="B8" s="222" t="inlineStr">
        <is>
          <t>Сопоставимый уровень цен: 2 квартал 2011</t>
        </is>
      </c>
    </row>
    <row r="9" ht="15.75" customHeight="1" s="202">
      <c r="B9" s="222" t="inlineStr">
        <is>
          <t>Единица измерения  — 1 ячейка</t>
        </is>
      </c>
    </row>
    <row r="10" ht="18.75" customHeight="1" s="202">
      <c r="B10" s="109" t="n"/>
    </row>
    <row r="11" ht="15.75" customHeight="1" s="202">
      <c r="B11" s="232" t="inlineStr">
        <is>
          <t>№ п/п</t>
        </is>
      </c>
      <c r="C11" s="232" t="inlineStr">
        <is>
          <t>Параметр</t>
        </is>
      </c>
      <c r="D11" s="232" t="inlineStr">
        <is>
          <t>Объект-представитель</t>
        </is>
      </c>
    </row>
    <row r="12" ht="31.5" customHeight="1" s="202">
      <c r="B12" s="232" t="n">
        <v>1</v>
      </c>
      <c r="C12" s="111" t="inlineStr">
        <is>
          <t>Наименование объекта-представителя</t>
        </is>
      </c>
      <c r="D12" s="200" t="inlineStr">
        <is>
          <t>ПС 35 кВ Ужовка-2 (МРСК Центра и Приволжья)</t>
        </is>
      </c>
    </row>
    <row r="13" ht="31.5" customHeight="1" s="202">
      <c r="B13" s="232" t="n">
        <v>2</v>
      </c>
      <c r="C13" s="111" t="inlineStr">
        <is>
          <t>Наименование субъекта Российской Федерации</t>
        </is>
      </c>
      <c r="D13" s="200" t="inlineStr">
        <is>
          <t>Нижегородская обл.</t>
        </is>
      </c>
    </row>
    <row r="14" ht="15.75" customHeight="1" s="202">
      <c r="B14" s="232" t="n">
        <v>3</v>
      </c>
      <c r="C14" s="111" t="inlineStr">
        <is>
          <t>Климатический район и подрайон</t>
        </is>
      </c>
      <c r="D14" s="201" t="inlineStr">
        <is>
          <t>IIB</t>
        </is>
      </c>
    </row>
    <row r="15" ht="15.75" customHeight="1" s="202">
      <c r="B15" s="232" t="n">
        <v>4</v>
      </c>
      <c r="C15" s="111" t="inlineStr">
        <is>
          <t>Мощность объекта</t>
        </is>
      </c>
      <c r="D15" s="112" t="n">
        <v>1</v>
      </c>
    </row>
    <row r="16" ht="100.5" customHeight="1" s="202">
      <c r="B16" s="232" t="n">
        <v>5</v>
      </c>
      <c r="C16" s="11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2" t="inlineStr">
        <is>
          <t>КРУ 35 кВ</t>
        </is>
      </c>
    </row>
    <row r="17" ht="78.75" customHeight="1" s="202">
      <c r="B17" s="232" t="n">
        <v>6</v>
      </c>
      <c r="C17" s="11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0">
        <f>D18+D19</f>
        <v/>
      </c>
    </row>
    <row r="18" ht="15.75" customHeight="1" s="202">
      <c r="B18" s="114" t="inlineStr">
        <is>
          <t>6.1</t>
        </is>
      </c>
      <c r="C18" s="111" t="inlineStr">
        <is>
          <t>строительно-монтажные работы</t>
        </is>
      </c>
      <c r="D18" s="220">
        <f>'Прил.2 Расч стоим'!F12</f>
        <v/>
      </c>
    </row>
    <row r="19" ht="15.75" customHeight="1" s="202">
      <c r="B19" s="114" t="inlineStr">
        <is>
          <t>6.2</t>
        </is>
      </c>
      <c r="C19" s="111" t="inlineStr">
        <is>
          <t>оборудование и инвентарь</t>
        </is>
      </c>
      <c r="D19" s="220" t="n">
        <v>0</v>
      </c>
    </row>
    <row r="20" ht="15.75" customHeight="1" s="202">
      <c r="B20" s="114" t="inlineStr">
        <is>
          <t>6.3</t>
        </is>
      </c>
      <c r="C20" s="111" t="inlineStr">
        <is>
          <t>пусконаладочные работы</t>
        </is>
      </c>
      <c r="D20" s="220" t="n"/>
    </row>
    <row r="21" ht="15.75" customHeight="1" s="202">
      <c r="B21" s="114" t="inlineStr">
        <is>
          <t>6.4</t>
        </is>
      </c>
      <c r="C21" s="111" t="inlineStr">
        <is>
          <t>прочие и лимитированные затраты</t>
        </is>
      </c>
      <c r="D21" s="220" t="n"/>
    </row>
    <row r="22" ht="15.75" customHeight="1" s="202">
      <c r="B22" s="232" t="n">
        <v>7</v>
      </c>
      <c r="C22" s="111" t="inlineStr">
        <is>
          <t>Сопоставимый уровень цен</t>
        </is>
      </c>
      <c r="D22" s="221" t="inlineStr">
        <is>
          <t>2 квартал 2011</t>
        </is>
      </c>
      <c r="G22" s="105" t="n"/>
    </row>
    <row r="23" ht="110.25" customHeight="1" s="202">
      <c r="B23" s="232" t="n">
        <v>8</v>
      </c>
      <c r="C23" s="11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0">
        <f>D17</f>
        <v/>
      </c>
    </row>
    <row r="24" ht="47.25" customHeight="1" s="202">
      <c r="B24" s="232" t="n">
        <v>9</v>
      </c>
      <c r="C24" s="113" t="inlineStr">
        <is>
          <t>Приведенная сметная стоимость на единицу мощности, тыс. руб. (строка 8/строку 4)</t>
        </is>
      </c>
      <c r="D24" s="220">
        <f>D17/D15</f>
        <v/>
      </c>
      <c r="G24" s="105" t="n"/>
    </row>
    <row r="25" hidden="1" ht="110.25" customHeight="1" s="202">
      <c r="B25" s="232" t="n">
        <v>10</v>
      </c>
      <c r="C25" s="111" t="inlineStr">
        <is>
          <t>Примечание</t>
        </is>
      </c>
      <c r="D25" s="111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 s="202">
      <c r="B26" s="98" t="n"/>
      <c r="C26" s="99" t="n"/>
      <c r="D26" s="99" t="n"/>
    </row>
    <row r="27">
      <c r="B27" s="191" t="inlineStr">
        <is>
          <t>Составил ______________________        А.Р. Маркова</t>
        </is>
      </c>
      <c r="C27" s="197" t="n"/>
    </row>
    <row r="28">
      <c r="B28" s="198" t="inlineStr">
        <is>
          <t xml:space="preserve">                         (подпись, инициалы, фамилия)</t>
        </is>
      </c>
      <c r="C28" s="197" t="n"/>
    </row>
    <row r="29">
      <c r="B29" s="198" t="n"/>
      <c r="C29" s="197" t="n"/>
    </row>
    <row r="30" hidden="1" s="202">
      <c r="B30" s="191" t="inlineStr">
        <is>
          <t>Составил ______________________        Е. М. Добровольская</t>
        </is>
      </c>
      <c r="C30" s="197" t="n"/>
    </row>
    <row r="31" hidden="1" s="202">
      <c r="B31" s="198" t="inlineStr">
        <is>
          <t xml:space="preserve">                         (подпись, инициалы, фамилия)</t>
        </is>
      </c>
      <c r="C31" s="197" t="n"/>
    </row>
    <row r="32" hidden="1" s="202">
      <c r="B32" s="191" t="n"/>
      <c r="C32" s="197" t="n"/>
    </row>
    <row r="33">
      <c r="B33" s="191" t="inlineStr">
        <is>
          <t>Проверил ______________________        А.В. Костянецкая</t>
        </is>
      </c>
      <c r="C33" s="197" t="n"/>
    </row>
    <row r="34">
      <c r="B34" s="198" t="inlineStr">
        <is>
          <t xml:space="preserve">                        (подпись, инициалы, фамилия)</t>
        </is>
      </c>
      <c r="C34" s="197" t="n"/>
    </row>
    <row r="35" ht="15.75" customHeight="1" s="202">
      <c r="B35" s="99" t="n"/>
      <c r="C35" s="99" t="n"/>
      <c r="D35" s="99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1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5"/>
  <sheetViews>
    <sheetView view="pageBreakPreview" zoomScale="60" zoomScaleNormal="100" workbookViewId="0">
      <selection activeCell="H18" sqref="H18"/>
    </sheetView>
  </sheetViews>
  <sheetFormatPr baseColWidth="8" defaultRowHeight="15"/>
  <cols>
    <col width="5.5703125" customWidth="1" style="202" min="1" max="1"/>
    <col width="35.28515625" customWidth="1" style="202" min="3" max="3"/>
    <col width="13.85546875" customWidth="1" style="202" min="4" max="4"/>
    <col width="17.42578125" customWidth="1" style="202" min="5" max="5"/>
    <col width="12.7109375" customWidth="1" style="202" min="6" max="6"/>
    <col width="14.85546875" customWidth="1" style="202" min="7" max="7"/>
    <col width="16.7109375" customWidth="1" style="202" min="8" max="8"/>
    <col width="13" customWidth="1" style="202" min="9" max="10"/>
    <col width="18" customWidth="1" style="202" min="11" max="11"/>
  </cols>
  <sheetData>
    <row r="3" ht="15.75" customHeight="1" s="202">
      <c r="B3" s="223" t="inlineStr">
        <is>
          <t>Приложение № 2</t>
        </is>
      </c>
    </row>
    <row r="4" ht="15.75" customHeight="1" s="202">
      <c r="B4" s="226" t="inlineStr">
        <is>
          <t>Расчет стоимости основных видов работ для выбора объекта-представителя</t>
        </is>
      </c>
    </row>
    <row r="5" ht="15.75" customHeight="1" s="202"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</row>
    <row r="6" ht="15.75" customHeight="1" s="202">
      <c r="B6" s="222">
        <f>'Прил.1 Сравнит табл'!B7</f>
        <v/>
      </c>
    </row>
    <row r="7" ht="15.75" customHeight="1" s="202">
      <c r="B7" s="222">
        <f>'Прил.1 Сравнит табл'!B9</f>
        <v/>
      </c>
    </row>
    <row r="8" ht="18.75" customHeight="1" s="202">
      <c r="B8" s="109" t="n"/>
    </row>
    <row r="9" ht="15.75" customHeight="1" s="202">
      <c r="B9" s="232" t="inlineStr">
        <is>
          <t>№ п/п</t>
        </is>
      </c>
      <c r="C9" s="2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2" t="inlineStr">
        <is>
          <t>Объект-представитель 1</t>
        </is>
      </c>
      <c r="E9" s="281" t="n"/>
      <c r="F9" s="281" t="n"/>
      <c r="G9" s="281" t="n"/>
      <c r="H9" s="281" t="n"/>
      <c r="I9" s="281" t="n"/>
      <c r="J9" s="282" t="n"/>
    </row>
    <row r="10" ht="15.75" customHeight="1" s="202">
      <c r="B10" s="283" t="n"/>
      <c r="C10" s="283" t="n"/>
      <c r="D10" s="232" t="inlineStr">
        <is>
          <t>Номер сметы</t>
        </is>
      </c>
      <c r="E10" s="232" t="inlineStr">
        <is>
          <t>Наименование сметы</t>
        </is>
      </c>
      <c r="F10" s="232" t="inlineStr">
        <is>
          <t>Сметная стоимость в уровне цен 2 кв. 2011г., тыс. руб.</t>
        </is>
      </c>
      <c r="G10" s="281" t="n"/>
      <c r="H10" s="281" t="n"/>
      <c r="I10" s="281" t="n"/>
      <c r="J10" s="282" t="n"/>
    </row>
    <row r="11" ht="31.5" customHeight="1" s="202">
      <c r="B11" s="284" t="n"/>
      <c r="C11" s="284" t="n"/>
      <c r="D11" s="284" t="n"/>
      <c r="E11" s="284" t="n"/>
      <c r="F11" s="232" t="inlineStr">
        <is>
          <t>Строительные работы</t>
        </is>
      </c>
      <c r="G11" s="232" t="inlineStr">
        <is>
          <t>Монтажные работы</t>
        </is>
      </c>
      <c r="H11" s="232" t="inlineStr">
        <is>
          <t>Оборудование</t>
        </is>
      </c>
      <c r="I11" s="232" t="inlineStr">
        <is>
          <t>Прочее</t>
        </is>
      </c>
      <c r="J11" s="232" t="inlineStr">
        <is>
          <t>Всего</t>
        </is>
      </c>
    </row>
    <row r="12" ht="15" customHeight="1" s="202">
      <c r="B12" s="232" t="n"/>
      <c r="C12" s="232" t="inlineStr">
        <is>
          <t>Демонтаж ячейки выключателя КРУ 35кВ</t>
        </is>
      </c>
      <c r="D12" s="232" t="n"/>
      <c r="E12" s="232" t="n"/>
      <c r="F12" s="232" t="n">
        <v>22.2344672</v>
      </c>
      <c r="G12" s="282" t="n"/>
      <c r="H12" s="232" t="n">
        <v>0</v>
      </c>
      <c r="I12" s="232" t="n"/>
      <c r="J12" s="232" t="n">
        <v>22.2344672</v>
      </c>
    </row>
    <row r="13" ht="15" customHeight="1" s="202">
      <c r="B13" s="229" t="inlineStr">
        <is>
          <t>Всего по объекту:</t>
        </is>
      </c>
      <c r="C13" s="281" t="n"/>
      <c r="D13" s="281" t="n"/>
      <c r="E13" s="282" t="n"/>
      <c r="F13" s="104" t="n"/>
      <c r="G13" s="104" t="n"/>
      <c r="H13" s="104" t="n"/>
      <c r="I13" s="104" t="n"/>
      <c r="J13" s="104" t="n"/>
    </row>
    <row r="14" ht="15.75" customHeight="1" s="202">
      <c r="B14" s="229" t="inlineStr">
        <is>
          <t>Всего по объекту в сопоставимом уровне цен 2кв. 2011г:</t>
        </is>
      </c>
      <c r="C14" s="281" t="n"/>
      <c r="D14" s="281" t="n"/>
      <c r="E14" s="282" t="n"/>
      <c r="F14" s="285">
        <f>F12</f>
        <v/>
      </c>
      <c r="G14" s="282" t="n"/>
      <c r="H14" s="104">
        <f>H12</f>
        <v/>
      </c>
      <c r="I14" s="104" t="n"/>
      <c r="J14" s="104">
        <f>J12</f>
        <v/>
      </c>
    </row>
    <row r="15" ht="15.75" customHeight="1" s="202">
      <c r="B15" s="204" t="n"/>
      <c r="C15" s="204" t="n"/>
      <c r="D15" s="204" t="n"/>
      <c r="E15" s="204" t="n"/>
      <c r="F15" s="204" t="n"/>
      <c r="G15" s="204" t="n"/>
      <c r="H15" s="204" t="n"/>
      <c r="I15" s="204" t="n"/>
      <c r="J15" s="204" t="n"/>
    </row>
    <row r="16" ht="15.75" customHeight="1" s="202">
      <c r="B16" s="204" t="n"/>
      <c r="C16" s="204" t="n"/>
      <c r="D16" s="204" t="n"/>
      <c r="E16" s="204" t="n"/>
      <c r="F16" s="204" t="n"/>
      <c r="G16" s="204" t="n"/>
      <c r="H16" s="204" t="n"/>
      <c r="I16" s="204" t="n"/>
      <c r="J16" s="204" t="n"/>
    </row>
    <row r="17" ht="15.75" customHeight="1" s="202">
      <c r="B17" s="204" t="n"/>
      <c r="C17" s="204" t="n"/>
      <c r="D17" s="204" t="n"/>
      <c r="E17" s="204" t="n"/>
      <c r="F17" s="204" t="n"/>
      <c r="G17" s="204" t="n"/>
      <c r="H17" s="204" t="n"/>
      <c r="I17" s="204" t="n"/>
      <c r="J17" s="204" t="n"/>
    </row>
    <row r="18" ht="15.75" customHeight="1" s="202">
      <c r="B18" s="204" t="n"/>
      <c r="C18" s="191" t="inlineStr">
        <is>
          <t>Составил ______________________     А.Р. Маркова</t>
        </is>
      </c>
      <c r="D18" s="197" t="n"/>
      <c r="E18" s="197" t="n"/>
      <c r="F18" s="204" t="n"/>
      <c r="G18" s="204" t="n"/>
      <c r="H18" s="204" t="n"/>
      <c r="I18" s="204" t="n"/>
      <c r="J18" s="204" t="n"/>
    </row>
    <row r="19" ht="15.75" customHeight="1" s="202">
      <c r="B19" s="204" t="n"/>
      <c r="C19" s="198" t="inlineStr">
        <is>
          <t xml:space="preserve">                         (подпись, инициалы, фамилия)</t>
        </is>
      </c>
      <c r="D19" s="197" t="n"/>
      <c r="E19" s="197" t="n"/>
      <c r="F19" s="204" t="n"/>
      <c r="G19" s="204" t="n"/>
      <c r="H19" s="204" t="n"/>
      <c r="I19" s="204" t="n"/>
      <c r="J19" s="204" t="n"/>
    </row>
    <row r="20" ht="15.75" customHeight="1" s="202">
      <c r="B20" s="204" t="n"/>
      <c r="C20" s="191" t="n"/>
      <c r="D20" s="197" t="n"/>
      <c r="E20" s="197" t="n"/>
      <c r="F20" s="204" t="n"/>
      <c r="G20" s="204" t="n"/>
      <c r="H20" s="204" t="n"/>
      <c r="I20" s="204" t="n"/>
      <c r="J20" s="204" t="n"/>
    </row>
    <row r="21" ht="15.75" customHeight="1" s="202">
      <c r="B21" s="204" t="n"/>
      <c r="C21" s="191" t="inlineStr">
        <is>
          <t>Проверил ______________________        А.В. Костянецкая</t>
        </is>
      </c>
      <c r="D21" s="197" t="n"/>
      <c r="E21" s="197" t="n"/>
      <c r="F21" s="204" t="n"/>
      <c r="G21" s="204" t="n"/>
      <c r="H21" s="204" t="n"/>
      <c r="I21" s="204" t="n"/>
      <c r="J21" s="204" t="n"/>
    </row>
    <row r="22" ht="15.75" customHeight="1" s="202">
      <c r="B22" s="204" t="n"/>
      <c r="C22" s="198" t="inlineStr">
        <is>
          <t xml:space="preserve">                        (подпись, инициалы, фамилия)</t>
        </is>
      </c>
      <c r="D22" s="197" t="n"/>
      <c r="E22" s="197" t="n"/>
      <c r="F22" s="204" t="n"/>
      <c r="G22" s="204" t="n"/>
      <c r="H22" s="204" t="n"/>
      <c r="I22" s="204" t="n"/>
      <c r="J22" s="204" t="n"/>
    </row>
    <row r="23" ht="15.75" customHeight="1" s="202">
      <c r="B23" s="204" t="n"/>
      <c r="C23" s="204" t="n"/>
      <c r="D23" s="204" t="n"/>
      <c r="E23" s="204" t="n"/>
      <c r="F23" s="204" t="n"/>
      <c r="G23" s="204" t="n"/>
      <c r="H23" s="204" t="n"/>
      <c r="I23" s="204" t="n"/>
      <c r="J23" s="204" t="n"/>
    </row>
    <row r="24" ht="15.75" customHeight="1" s="202">
      <c r="B24" s="204" t="n"/>
      <c r="C24" s="204" t="n"/>
      <c r="D24" s="204" t="n"/>
      <c r="E24" s="204" t="n"/>
      <c r="F24" s="204" t="n"/>
      <c r="G24" s="204" t="n"/>
      <c r="H24" s="204" t="n"/>
      <c r="I24" s="204" t="n"/>
      <c r="J24" s="204" t="n"/>
    </row>
    <row r="25" ht="15.75" customHeight="1" s="202">
      <c r="B25" s="204" t="n"/>
      <c r="C25" s="204" t="n"/>
      <c r="D25" s="204" t="n"/>
      <c r="E25" s="204" t="n"/>
      <c r="F25" s="204" t="n"/>
      <c r="G25" s="204" t="n"/>
      <c r="H25" s="204" t="n"/>
      <c r="I25" s="204" t="n"/>
      <c r="J25" s="204" t="n"/>
    </row>
  </sheetData>
  <mergeCells count="14">
    <mergeCell ref="F12:G12"/>
    <mergeCell ref="D10:D11"/>
    <mergeCell ref="B4:K4"/>
    <mergeCell ref="D9:J9"/>
    <mergeCell ref="B13:E13"/>
    <mergeCell ref="F10:J10"/>
    <mergeCell ref="B9:B11"/>
    <mergeCell ref="B7:K7"/>
    <mergeCell ref="F14:G14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66"/>
  <sheetViews>
    <sheetView view="pageBreakPreview" topLeftCell="A57" zoomScale="70" workbookViewId="0">
      <selection activeCell="D66" sqref="D66"/>
    </sheetView>
  </sheetViews>
  <sheetFormatPr baseColWidth="8" defaultRowHeight="15"/>
  <cols>
    <col width="12.5703125" customWidth="1" style="202" min="2" max="2"/>
    <col width="17" customWidth="1" style="202" min="3" max="3"/>
    <col width="49.7109375" customWidth="1" style="202" min="4" max="4"/>
    <col width="16.28515625" customWidth="1" style="202" min="5" max="5"/>
    <col width="20.7109375" customWidth="1" style="202" min="6" max="6"/>
    <col width="16.140625" customWidth="1" style="202" min="7" max="7"/>
    <col width="16.7109375" customWidth="1" style="202" min="8" max="8"/>
    <col width="4.5703125" customWidth="1" style="202" min="9" max="9"/>
    <col width="5.140625" customWidth="1" style="202" min="10" max="10"/>
    <col width="13" customWidth="1" style="202" min="11" max="11"/>
    <col width="9.140625" customWidth="1" style="202" min="12" max="12"/>
  </cols>
  <sheetData>
    <row r="2" ht="15.75" customHeight="1" s="202">
      <c r="A2" s="223" t="inlineStr">
        <is>
          <t xml:space="preserve">Приложение № 3 </t>
        </is>
      </c>
    </row>
    <row r="3" ht="18.75" customHeight="1" s="202">
      <c r="A3" s="224" t="inlineStr">
        <is>
          <t>Объектная ресурсная ведомость</t>
        </is>
      </c>
    </row>
    <row r="4" ht="13.5" customHeight="1" s="202">
      <c r="A4" s="224" t="n"/>
      <c r="B4" s="224" t="n"/>
      <c r="C4" s="235" t="n"/>
    </row>
    <row r="5" ht="11.25" customHeight="1" s="202">
      <c r="A5" s="109" t="n"/>
    </row>
    <row r="6" ht="22.5" customHeight="1" s="202">
      <c r="A6" s="233">
        <f>'Прил.1 Сравнит табл'!B7</f>
        <v/>
      </c>
    </row>
    <row r="7" ht="12" customHeight="1" s="202">
      <c r="A7" s="233" t="n"/>
      <c r="B7" s="233" t="n"/>
      <c r="C7" s="233" t="n"/>
      <c r="D7" s="233" t="n"/>
      <c r="E7" s="233" t="n"/>
      <c r="F7" s="233" t="n"/>
      <c r="G7" s="233" t="n"/>
      <c r="H7" s="233" t="n"/>
    </row>
    <row r="8" ht="7.5" customHeight="1" s="202">
      <c r="A8" s="27" t="n"/>
      <c r="B8" s="27" t="n"/>
      <c r="C8" s="27" t="n"/>
      <c r="D8" s="27" t="n"/>
      <c r="E8" s="27" t="n"/>
      <c r="F8" s="27" t="n"/>
      <c r="G8" s="27" t="n"/>
      <c r="H8" s="286" t="n"/>
    </row>
    <row r="9" ht="33" customHeight="1" s="202">
      <c r="A9" s="232" t="inlineStr">
        <is>
          <t>п/п</t>
        </is>
      </c>
      <c r="B9" s="232" t="inlineStr">
        <is>
          <t>№ЛСР</t>
        </is>
      </c>
      <c r="C9" s="232" t="inlineStr">
        <is>
          <t>Код ресурса</t>
        </is>
      </c>
      <c r="D9" s="232" t="inlineStr">
        <is>
          <t>Наименование ресурса</t>
        </is>
      </c>
      <c r="E9" s="232" t="inlineStr">
        <is>
          <t>Ед. изм.</t>
        </is>
      </c>
      <c r="F9" s="232" t="inlineStr">
        <is>
          <t>Кол-во единиц по данным объекта-представителя</t>
        </is>
      </c>
      <c r="G9" s="232" t="inlineStr">
        <is>
          <t>Сметная стоимость в ценах на 01.01.2000 (руб.)</t>
        </is>
      </c>
      <c r="H9" s="282" t="n"/>
    </row>
    <row r="10" ht="20.25" customHeight="1" s="202">
      <c r="A10" s="284" t="n"/>
      <c r="B10" s="284" t="n"/>
      <c r="C10" s="284" t="n"/>
      <c r="D10" s="284" t="n"/>
      <c r="E10" s="284" t="n"/>
      <c r="F10" s="284" t="n"/>
      <c r="G10" s="232" t="inlineStr">
        <is>
          <t>на ед.изм.</t>
        </is>
      </c>
      <c r="H10" s="232" t="inlineStr">
        <is>
          <t>общая</t>
        </is>
      </c>
    </row>
    <row r="11" ht="15.75" customHeight="1" s="202">
      <c r="A11" s="232" t="n">
        <v>1</v>
      </c>
      <c r="B11" s="34" t="n"/>
      <c r="C11" s="232" t="n">
        <v>2</v>
      </c>
      <c r="D11" s="232" t="inlineStr">
        <is>
          <t>З</t>
        </is>
      </c>
      <c r="E11" s="232" t="n">
        <v>4</v>
      </c>
      <c r="F11" s="232" t="n">
        <v>5</v>
      </c>
      <c r="G11" s="34" t="n">
        <v>6</v>
      </c>
      <c r="H11" s="34" t="n">
        <v>7</v>
      </c>
    </row>
    <row r="12" ht="15" customHeight="1" s="202">
      <c r="A12" s="236" t="inlineStr">
        <is>
          <t>Затраты труда рабочих</t>
        </is>
      </c>
      <c r="B12" s="281" t="n"/>
      <c r="C12" s="281" t="n"/>
      <c r="D12" s="281" t="n"/>
      <c r="E12" s="281" t="n"/>
      <c r="F12" s="287" t="n">
        <v>197.600625</v>
      </c>
      <c r="G12" s="174" t="n"/>
      <c r="H12" s="287">
        <f>SUM(H13:H14)</f>
        <v/>
      </c>
      <c r="J12" s="288" t="n"/>
      <c r="K12" s="106" t="n"/>
    </row>
    <row r="13">
      <c r="A13" s="127" t="n">
        <v>1</v>
      </c>
      <c r="B13" s="120" t="n"/>
      <c r="C13" s="127" t="inlineStr">
        <is>
          <t>1-4-0</t>
        </is>
      </c>
      <c r="D13" s="128" t="inlineStr">
        <is>
          <t>Затраты труда рабочих (средний разряд работы 4,0)</t>
        </is>
      </c>
      <c r="E13" s="129" t="inlineStr">
        <is>
          <t>чел.-ч</t>
        </is>
      </c>
      <c r="F13" s="289" t="n">
        <v>195.90382516497</v>
      </c>
      <c r="G13" s="125" t="n">
        <v>9.4</v>
      </c>
      <c r="H13" s="125">
        <f>ROUND(F13*G13,2)</f>
        <v/>
      </c>
    </row>
    <row r="14">
      <c r="A14" s="126" t="n">
        <v>2</v>
      </c>
      <c r="B14" s="120" t="n"/>
      <c r="C14" s="127" t="inlineStr">
        <is>
          <t>1-4-2</t>
        </is>
      </c>
      <c r="D14" s="128" t="inlineStr">
        <is>
          <t>Затраты труда рабочих (средний разряд работы 4,2)</t>
        </is>
      </c>
      <c r="E14" s="129" t="inlineStr">
        <is>
          <t>чел.-ч</t>
        </is>
      </c>
      <c r="F14" s="289" t="n">
        <v>1.6967998350297</v>
      </c>
      <c r="G14" s="125" t="n">
        <v>9.4</v>
      </c>
      <c r="H14" s="125">
        <f>ROUND(F14*G14,2)</f>
        <v/>
      </c>
    </row>
    <row r="15" ht="15" customHeight="1" s="202">
      <c r="A15" s="238" t="inlineStr">
        <is>
          <t>Затраты труда машинистов</t>
        </is>
      </c>
      <c r="B15" s="281" t="n"/>
      <c r="C15" s="281" t="n"/>
      <c r="D15" s="281" t="n"/>
      <c r="E15" s="282" t="n"/>
      <c r="F15" s="174" t="n"/>
      <c r="G15" s="174" t="n"/>
      <c r="H15" s="287">
        <f>H16</f>
        <v/>
      </c>
    </row>
    <row r="16">
      <c r="A16" s="126" t="n">
        <v>3</v>
      </c>
      <c r="B16" s="120" t="n"/>
      <c r="C16" s="127" t="n">
        <v>2</v>
      </c>
      <c r="D16" s="128" t="inlineStr">
        <is>
          <t>Затраты труда машинистов</t>
        </is>
      </c>
      <c r="E16" s="129" t="inlineStr">
        <is>
          <t>чел.-ч</t>
        </is>
      </c>
      <c r="F16" s="129" t="n">
        <v>16.818125</v>
      </c>
      <c r="G16" s="125" t="n"/>
      <c r="H16" s="290">
        <f>'Прил.5 Расчет СМР и ОБ'!G17</f>
        <v/>
      </c>
      <c r="L16" s="30" t="n"/>
    </row>
    <row r="17" ht="15" customHeight="1" s="202">
      <c r="A17" s="238" t="inlineStr">
        <is>
          <t>Машины и механизмы</t>
        </is>
      </c>
      <c r="B17" s="281" t="n"/>
      <c r="C17" s="281" t="n"/>
      <c r="D17" s="281" t="n"/>
      <c r="E17" s="282" t="n"/>
      <c r="F17" s="174" t="n"/>
      <c r="G17" s="174" t="n"/>
      <c r="H17" s="287">
        <f>SUM(H18:H28)</f>
        <v/>
      </c>
      <c r="K17" s="106" t="n"/>
    </row>
    <row r="18" ht="25.5" customHeight="1" s="202">
      <c r="A18" s="127" t="inlineStr">
        <is>
          <t>4</t>
        </is>
      </c>
      <c r="B18" s="120" t="n"/>
      <c r="C18" s="199" t="inlineStr">
        <is>
          <t>91.06.03-058</t>
        </is>
      </c>
      <c r="D18" s="128" t="inlineStr">
        <is>
          <t>Лебедки электрические тяговым усилием: 156,96 кН (16 т)</t>
        </is>
      </c>
      <c r="E18" s="129" t="inlineStr">
        <is>
          <t>маш.час</t>
        </is>
      </c>
      <c r="F18" s="129" t="n">
        <v>11.431875</v>
      </c>
      <c r="G18" s="132" t="n">
        <v>131.44</v>
      </c>
      <c r="H18" s="125">
        <f>ROUND(F18*G18,2)</f>
        <v/>
      </c>
    </row>
    <row r="19" ht="25.5" customHeight="1" s="202">
      <c r="A19" s="127" t="inlineStr">
        <is>
          <t>5</t>
        </is>
      </c>
      <c r="B19" s="120" t="n"/>
      <c r="C19" s="199" t="inlineStr">
        <is>
          <t>91.05.05-014</t>
        </is>
      </c>
      <c r="D19" s="128" t="inlineStr">
        <is>
          <t>Краны на автомобильном ходу, грузоподъемность 10 т</t>
        </is>
      </c>
      <c r="E19" s="129" t="inlineStr">
        <is>
          <t>маш.час</t>
        </is>
      </c>
      <c r="F19" s="133" t="n">
        <v>6.049375</v>
      </c>
      <c r="G19" s="132" t="n">
        <v>111.99</v>
      </c>
      <c r="H19" s="125">
        <f>ROUND(F19*G19,2)</f>
        <v/>
      </c>
    </row>
    <row r="20">
      <c r="A20" s="127" t="inlineStr">
        <is>
          <t>6</t>
        </is>
      </c>
      <c r="B20" s="120" t="n"/>
      <c r="C20" s="199" t="inlineStr">
        <is>
          <t>91.14.02-001</t>
        </is>
      </c>
      <c r="D20" s="128" t="inlineStr">
        <is>
          <t>Автомобили бортовые, грузоподъемность: до 5 т</t>
        </is>
      </c>
      <c r="E20" s="129" t="inlineStr">
        <is>
          <t>маш.час</t>
        </is>
      </c>
      <c r="F20" s="291" t="n">
        <v>1.56625</v>
      </c>
      <c r="G20" s="132" t="n">
        <v>65.70999999999999</v>
      </c>
      <c r="H20" s="125">
        <f>ROUND(F20*G20,2)</f>
        <v/>
      </c>
    </row>
    <row r="21">
      <c r="A21" s="127" t="inlineStr">
        <is>
          <t>7</t>
        </is>
      </c>
      <c r="B21" s="120" t="n"/>
      <c r="C21" s="199" t="inlineStr">
        <is>
          <t>91.10.01-002</t>
        </is>
      </c>
      <c r="D21" s="128" t="inlineStr">
        <is>
          <t>Агрегаты наполнительно-опрессовочные: до 300 м3/ч</t>
        </is>
      </c>
      <c r="E21" s="129" t="inlineStr">
        <is>
          <t>маш.час</t>
        </is>
      </c>
      <c r="F21" s="291" t="n">
        <v>0.3125</v>
      </c>
      <c r="G21" s="132" t="n">
        <v>287.99</v>
      </c>
      <c r="H21" s="125">
        <f>ROUND(F21*G21,2)</f>
        <v/>
      </c>
    </row>
    <row r="22" ht="25.5" customHeight="1" s="202">
      <c r="A22" s="127" t="inlineStr">
        <is>
          <t>8</t>
        </is>
      </c>
      <c r="B22" s="120" t="n"/>
      <c r="C22" s="199" t="inlineStr">
        <is>
          <t>91.17.04-161</t>
        </is>
      </c>
      <c r="D22" s="128" t="inlineStr">
        <is>
          <t>Полуавтоматы сварочные номинальным сварочным током 40-500 А</t>
        </is>
      </c>
      <c r="E22" s="129" t="inlineStr">
        <is>
          <t>маш.час</t>
        </is>
      </c>
      <c r="F22" s="291" t="n">
        <v>4.1875</v>
      </c>
      <c r="G22" s="132" t="n">
        <v>16.44</v>
      </c>
      <c r="H22" s="125">
        <f>ROUND(F22*G22,2)</f>
        <v/>
      </c>
    </row>
    <row r="23">
      <c r="A23" s="127" t="inlineStr">
        <is>
          <t>9</t>
        </is>
      </c>
      <c r="B23" s="120" t="n"/>
      <c r="C23" s="199" t="inlineStr">
        <is>
          <t>91.21.22-438</t>
        </is>
      </c>
      <c r="D23" s="128" t="inlineStr">
        <is>
          <t>Установка: передвижная цеолитовая</t>
        </is>
      </c>
      <c r="E23" s="129" t="inlineStr">
        <is>
          <t>маш.час</t>
        </is>
      </c>
      <c r="F23" s="291" t="n">
        <v>0.9875</v>
      </c>
      <c r="G23" s="132" t="n">
        <v>38.65</v>
      </c>
      <c r="H23" s="125">
        <f>ROUND(F23*G23,2)</f>
        <v/>
      </c>
    </row>
    <row r="24" ht="25.5" customHeight="1" s="202">
      <c r="A24" s="127" t="inlineStr">
        <is>
          <t>10</t>
        </is>
      </c>
      <c r="B24" s="120" t="n"/>
      <c r="C24" s="199" t="inlineStr">
        <is>
          <t>91.17.04-233</t>
        </is>
      </c>
      <c r="D24" s="128" t="inlineStr">
        <is>
          <t>Установки для сварки: ручной дуговой (постоянного тока)</t>
        </is>
      </c>
      <c r="E24" s="129" t="inlineStr">
        <is>
          <t>маш.час</t>
        </is>
      </c>
      <c r="F24" s="291" t="n">
        <v>3.08125</v>
      </c>
      <c r="G24" s="132" t="n">
        <v>8.1</v>
      </c>
      <c r="H24" s="125">
        <f>ROUND(F24*G24,2)</f>
        <v/>
      </c>
    </row>
    <row r="25">
      <c r="A25" s="127" t="inlineStr">
        <is>
          <t>11</t>
        </is>
      </c>
      <c r="B25" s="120" t="n"/>
      <c r="C25" s="199" t="inlineStr">
        <is>
          <t>91.19.12-021</t>
        </is>
      </c>
      <c r="D25" s="128" t="inlineStr">
        <is>
          <t>Насос вакуумный: 3,6 м3/мин</t>
        </is>
      </c>
      <c r="E25" s="129" t="inlineStr">
        <is>
          <t>маш.час</t>
        </is>
      </c>
      <c r="F25" s="291" t="n">
        <v>3.2625</v>
      </c>
      <c r="G25" s="132" t="n">
        <v>6.28</v>
      </c>
      <c r="H25" s="125">
        <f>ROUND(F25*G25,2)</f>
        <v/>
      </c>
    </row>
    <row r="26" ht="25.5" customHeight="1" s="202">
      <c r="A26" s="127" t="inlineStr">
        <is>
          <t>12</t>
        </is>
      </c>
      <c r="B26" s="120" t="n"/>
      <c r="C26" s="199" t="inlineStr">
        <is>
          <t>91.21.22-091</t>
        </is>
      </c>
      <c r="D26" s="128" t="inlineStr">
        <is>
          <t>Выпрямитель полупроводниковый для подогрева трансформаторов</t>
        </is>
      </c>
      <c r="E26" s="129" t="inlineStr">
        <is>
          <t>маш.час</t>
        </is>
      </c>
      <c r="F26" s="291" t="n">
        <v>4.7125</v>
      </c>
      <c r="G26" s="132" t="n">
        <v>3.82</v>
      </c>
      <c r="H26" s="125">
        <f>ROUND(F26*G26,2)</f>
        <v/>
      </c>
    </row>
    <row r="27">
      <c r="A27" s="127" t="inlineStr">
        <is>
          <t>13</t>
        </is>
      </c>
      <c r="B27" s="120" t="n"/>
      <c r="C27" s="199" t="inlineStr">
        <is>
          <t>91.06.06-042</t>
        </is>
      </c>
      <c r="D27" s="128" t="inlineStr">
        <is>
          <t>Подъемники гидравлические высотой подъема: 10 м</t>
        </is>
      </c>
      <c r="E27" s="129" t="inlineStr">
        <is>
          <t>маш.час</t>
        </is>
      </c>
      <c r="F27" s="291" t="n">
        <v>0.28125</v>
      </c>
      <c r="G27" s="132" t="n">
        <v>29.6</v>
      </c>
      <c r="H27" s="125">
        <f>ROUND(F27*G27,2)</f>
        <v/>
      </c>
    </row>
    <row r="28" ht="25.5" customHeight="1" s="202">
      <c r="A28" s="127" t="inlineStr">
        <is>
          <t>14</t>
        </is>
      </c>
      <c r="B28" s="120" t="n"/>
      <c r="C28" s="199" t="inlineStr">
        <is>
          <t>91.19.02-002</t>
        </is>
      </c>
      <c r="D28" s="128" t="inlineStr">
        <is>
          <t>Маслонасосы шестеренные, производительность м3/час: 2,3</t>
        </is>
      </c>
      <c r="E28" s="129" t="inlineStr">
        <is>
          <t>маш.час</t>
        </is>
      </c>
      <c r="F28" s="291" t="n">
        <v>0.435</v>
      </c>
      <c r="G28" s="132" t="n">
        <v>0.9</v>
      </c>
      <c r="H28" s="125">
        <f>ROUND(F28*G28,2)</f>
        <v/>
      </c>
    </row>
    <row r="29" ht="15" customHeight="1" s="202">
      <c r="A29" s="238" t="inlineStr">
        <is>
          <t>Оборудование</t>
        </is>
      </c>
      <c r="B29" s="281" t="n"/>
      <c r="C29" s="281" t="n"/>
      <c r="D29" s="281" t="n"/>
      <c r="E29" s="282" t="n"/>
      <c r="F29" s="174" t="n"/>
      <c r="G29" s="174" t="n"/>
      <c r="H29" s="287">
        <f>SUM(H30:H30)</f>
        <v/>
      </c>
    </row>
    <row r="30" s="202">
      <c r="A30" s="176" t="n">
        <v>15</v>
      </c>
      <c r="B30" s="234" t="n"/>
      <c r="C30" s="199" t="inlineStr">
        <is>
          <t>Прайс из СД ОП</t>
        </is>
      </c>
      <c r="D30" s="178" t="inlineStr">
        <is>
          <t>КРУ 35 кВ</t>
        </is>
      </c>
      <c r="E30" s="268" t="inlineStr">
        <is>
          <t>шт.</t>
        </is>
      </c>
      <c r="F30" s="268" t="n">
        <v>1</v>
      </c>
      <c r="G30" s="180" t="n">
        <v>2962581.47</v>
      </c>
      <c r="H30" s="180">
        <f>ROUND(F30*G30,2)</f>
        <v/>
      </c>
    </row>
    <row r="31" ht="15" customHeight="1" s="202">
      <c r="A31" s="234" t="inlineStr">
        <is>
          <t>Материалы</t>
        </is>
      </c>
      <c r="B31" s="281" t="n"/>
      <c r="C31" s="281" t="n"/>
      <c r="D31" s="281" t="n"/>
      <c r="E31" s="282" t="n"/>
      <c r="F31" s="181" t="n"/>
      <c r="G31" s="181" t="n"/>
      <c r="H31" s="292">
        <f>SUM(H32:H59)</f>
        <v/>
      </c>
      <c r="K31" s="106" t="n"/>
    </row>
    <row r="32" s="202">
      <c r="A32" s="176" t="n">
        <v>16</v>
      </c>
      <c r="B32" s="183" t="n"/>
      <c r="C32" s="184" t="inlineStr">
        <is>
          <t>01.1.02.01-0003</t>
        </is>
      </c>
      <c r="D32" s="178" t="inlineStr">
        <is>
          <t>Асботекстолит, марка Г</t>
        </is>
      </c>
      <c r="E32" s="268" t="inlineStr">
        <is>
          <t>т</t>
        </is>
      </c>
      <c r="F32" s="268" t="n">
        <v>0.0255</v>
      </c>
      <c r="G32" s="180" t="n">
        <v>161000</v>
      </c>
      <c r="H32" s="180">
        <f>ROUND(F32*G32,2)</f>
        <v/>
      </c>
    </row>
    <row r="33" s="202">
      <c r="A33" s="176" t="n">
        <v>17</v>
      </c>
      <c r="B33" s="183" t="n"/>
      <c r="C33" s="185" t="inlineStr">
        <is>
          <t>01.3.02.02-0001</t>
        </is>
      </c>
      <c r="D33" s="178" t="inlineStr">
        <is>
          <t>Аргон газообразный, сорт I</t>
        </is>
      </c>
      <c r="E33" s="268" t="inlineStr">
        <is>
          <t>м3</t>
        </is>
      </c>
      <c r="F33" s="268" t="n">
        <v>121.5</v>
      </c>
      <c r="G33" s="180" t="n">
        <v>17.86</v>
      </c>
      <c r="H33" s="180">
        <f>ROUND(F33*G33,2)</f>
        <v/>
      </c>
    </row>
    <row r="34" s="202">
      <c r="A34" s="176" t="n">
        <v>18</v>
      </c>
      <c r="B34" s="183" t="n"/>
      <c r="C34" s="185" t="inlineStr">
        <is>
          <t>21.1.08.03-0078</t>
        </is>
      </c>
      <c r="D34" s="178" t="inlineStr">
        <is>
          <t>Кабель контрольный КВВГЭнг(A)-FRLS 5х2,5</t>
        </is>
      </c>
      <c r="E34" s="268" t="inlineStr">
        <is>
          <t>1000 м</t>
        </is>
      </c>
      <c r="F34" s="268" t="n">
        <v>0.05</v>
      </c>
      <c r="G34" s="180" t="n">
        <v>36884.36</v>
      </c>
      <c r="H34" s="180">
        <f>ROUND(F34*G34,2)</f>
        <v/>
      </c>
    </row>
    <row r="35" ht="25.5" customHeight="1" s="202">
      <c r="A35" s="176" t="n">
        <v>19</v>
      </c>
      <c r="B35" s="183" t="n"/>
      <c r="C35" s="185" t="inlineStr">
        <is>
          <t>01.1.02.09-0021</t>
        </is>
      </c>
      <c r="D35" s="178" t="inlineStr">
        <is>
          <t>Ткань асбестовая со стеклонитью АСТ-1, толщина 1,8 мм</t>
        </is>
      </c>
      <c r="E35" s="268" t="inlineStr">
        <is>
          <t>т</t>
        </is>
      </c>
      <c r="F35" s="268" t="n">
        <v>0.0268</v>
      </c>
      <c r="G35" s="180" t="n">
        <v>66860</v>
      </c>
      <c r="H35" s="180">
        <f>ROUND(F35*G35,2)</f>
        <v/>
      </c>
    </row>
    <row r="36" s="202">
      <c r="A36" s="176" t="n">
        <v>20</v>
      </c>
      <c r="B36" s="183" t="n"/>
      <c r="C36" s="185" t="inlineStr">
        <is>
          <t>01.7.11.04-0002</t>
        </is>
      </c>
      <c r="D36" s="178" t="inlineStr">
        <is>
          <t>Проволока наплавочная ПП-Нп-19СТ, диаметр 3 мм</t>
        </is>
      </c>
      <c r="E36" s="268" t="inlineStr">
        <is>
          <t>т</t>
        </is>
      </c>
      <c r="F36" s="268" t="n">
        <v>0.08699999999999999</v>
      </c>
      <c r="G36" s="180" t="n">
        <v>20300</v>
      </c>
      <c r="H36" s="180">
        <f>ROUND(F36*G36,2)</f>
        <v/>
      </c>
    </row>
    <row r="37" s="202">
      <c r="A37" s="176" t="n">
        <v>21</v>
      </c>
      <c r="B37" s="183" t="n"/>
      <c r="C37" s="185" t="inlineStr">
        <is>
          <t>14.4.02.09-0001</t>
        </is>
      </c>
      <c r="D37" s="178" t="inlineStr">
        <is>
          <t>Краска</t>
        </is>
      </c>
      <c r="E37" s="268" t="inlineStr">
        <is>
          <t>кг</t>
        </is>
      </c>
      <c r="F37" s="268" t="n">
        <v>53.7</v>
      </c>
      <c r="G37" s="180" t="n">
        <v>28.6</v>
      </c>
      <c r="H37" s="180">
        <f>ROUND(F37*G37,2)</f>
        <v/>
      </c>
    </row>
    <row r="38" ht="25.5" customHeight="1" s="202">
      <c r="A38" s="176" t="n">
        <v>22</v>
      </c>
      <c r="B38" s="183" t="n"/>
      <c r="C38" s="185" t="inlineStr">
        <is>
          <t>25.1.01.04-0012</t>
        </is>
      </c>
      <c r="D38" s="178" t="inlineStr">
        <is>
          <t>Шпалы из древесины хвойных пород для колеи 600 мм, непропитанные, длина 1200 мм, тип II</t>
        </is>
      </c>
      <c r="E38" s="268" t="inlineStr">
        <is>
          <t>шт</t>
        </is>
      </c>
      <c r="F38" s="268" t="n">
        <v>30</v>
      </c>
      <c r="G38" s="180" t="n">
        <v>42.6</v>
      </c>
      <c r="H38" s="180">
        <f>ROUND(F38*G38,2)</f>
        <v/>
      </c>
    </row>
    <row r="39" s="202">
      <c r="A39" s="176" t="n">
        <v>23</v>
      </c>
      <c r="B39" s="183" t="n"/>
      <c r="C39" s="185" t="inlineStr">
        <is>
          <t>999-9950</t>
        </is>
      </c>
      <c r="D39" s="178" t="inlineStr">
        <is>
          <t>Вспомогательные ненормируемые ресурсы</t>
        </is>
      </c>
      <c r="E39" s="268" t="inlineStr">
        <is>
          <t>руб.</t>
        </is>
      </c>
      <c r="F39" s="268" t="n">
        <v>916.54</v>
      </c>
      <c r="G39" s="180" t="n">
        <v>1</v>
      </c>
      <c r="H39" s="180">
        <f>ROUND(F39*G39,2)</f>
        <v/>
      </c>
    </row>
    <row r="40" s="202">
      <c r="A40" s="176" t="n">
        <v>24</v>
      </c>
      <c r="B40" s="183" t="n"/>
      <c r="C40" s="185" t="inlineStr">
        <is>
          <t>01.3.02.03-0001</t>
        </is>
      </c>
      <c r="D40" s="178" t="inlineStr">
        <is>
          <t>Ацетилен газообразный технический</t>
        </is>
      </c>
      <c r="E40" s="268" t="inlineStr">
        <is>
          <t>м3</t>
        </is>
      </c>
      <c r="F40" s="268" t="n">
        <v>16.5</v>
      </c>
      <c r="G40" s="180" t="n">
        <v>38.51</v>
      </c>
      <c r="H40" s="180">
        <f>ROUND(F40*G40,2)</f>
        <v/>
      </c>
    </row>
    <row r="41" s="202">
      <c r="A41" s="176" t="n">
        <v>25</v>
      </c>
      <c r="B41" s="183" t="n"/>
      <c r="C41" s="185" t="inlineStr">
        <is>
          <t>01.7.02.06-0017</t>
        </is>
      </c>
      <c r="D41" s="178" t="inlineStr">
        <is>
          <t>Картон строительный прокладочный, марка Б</t>
        </is>
      </c>
      <c r="E41" s="268" t="inlineStr">
        <is>
          <t>т</t>
        </is>
      </c>
      <c r="F41" s="268" t="n">
        <v>0.03</v>
      </c>
      <c r="G41" s="180" t="n">
        <v>19800</v>
      </c>
      <c r="H41" s="180">
        <f>ROUND(F41*G41,2)</f>
        <v/>
      </c>
    </row>
    <row r="42" ht="25.5" customHeight="1" s="202">
      <c r="A42" s="176" t="n">
        <v>26</v>
      </c>
      <c r="B42" s="183" t="n"/>
      <c r="C42" s="185" t="inlineStr">
        <is>
          <t>01.7.19.04-0031</t>
        </is>
      </c>
      <c r="D42" s="178" t="inlineStr">
        <is>
          <t>Прокладки резиновые (пластина техническая прессованная)</t>
        </is>
      </c>
      <c r="E42" s="268" t="inlineStr">
        <is>
          <t>кг</t>
        </is>
      </c>
      <c r="F42" s="268" t="n">
        <v>18.75</v>
      </c>
      <c r="G42" s="180" t="n">
        <v>23.09</v>
      </c>
      <c r="H42" s="180">
        <f>ROUND(F42*G42,2)</f>
        <v/>
      </c>
    </row>
    <row r="43" s="202">
      <c r="A43" s="176" t="n">
        <v>27</v>
      </c>
      <c r="B43" s="183" t="n"/>
      <c r="C43" s="185" t="inlineStr">
        <is>
          <t>07.2.07.13-0171</t>
        </is>
      </c>
      <c r="D43" s="178" t="inlineStr">
        <is>
          <t>Подкладки металлические</t>
        </is>
      </c>
      <c r="E43" s="268" t="inlineStr">
        <is>
          <t>кг</t>
        </is>
      </c>
      <c r="F43" s="268" t="n">
        <v>30</v>
      </c>
      <c r="G43" s="180" t="n">
        <v>12.6</v>
      </c>
      <c r="H43" s="180">
        <f>ROUND(F43*G43,2)</f>
        <v/>
      </c>
    </row>
    <row r="44" s="202">
      <c r="A44" s="176" t="n">
        <v>28</v>
      </c>
      <c r="B44" s="183" t="n"/>
      <c r="C44" s="185" t="inlineStr">
        <is>
          <t>01.7.11.07-0034</t>
        </is>
      </c>
      <c r="D44" s="178" t="inlineStr">
        <is>
          <t>Электроды диаметром: 4 мм Э42А</t>
        </is>
      </c>
      <c r="E44" s="268" t="inlineStr">
        <is>
          <t>кг</t>
        </is>
      </c>
      <c r="F44" s="268" t="n">
        <v>34</v>
      </c>
      <c r="G44" s="180" t="n">
        <v>10.57</v>
      </c>
      <c r="H44" s="180">
        <f>ROUND(F44*G44,2)</f>
        <v/>
      </c>
    </row>
    <row r="45" s="202">
      <c r="A45" s="176" t="n">
        <v>29</v>
      </c>
      <c r="B45" s="183" t="n"/>
      <c r="C45" s="185" t="inlineStr">
        <is>
          <t>01.3.01.02-0002</t>
        </is>
      </c>
      <c r="D45" s="178" t="inlineStr">
        <is>
          <t>Вазелин технический</t>
        </is>
      </c>
      <c r="E45" s="268" t="inlineStr">
        <is>
          <t>кг</t>
        </is>
      </c>
      <c r="F45" s="268" t="n">
        <v>5.88</v>
      </c>
      <c r="G45" s="180" t="n">
        <v>44.97</v>
      </c>
      <c r="H45" s="180">
        <f>ROUND(F45*G45,2)</f>
        <v/>
      </c>
    </row>
    <row r="46" ht="25.5" customHeight="1" s="202">
      <c r="A46" s="176" t="n">
        <v>30</v>
      </c>
      <c r="B46" s="183" t="n"/>
      <c r="C46" s="185" t="inlineStr">
        <is>
          <t>11.1.03.05-0085</t>
        </is>
      </c>
      <c r="D46" s="178" t="inlineStr">
        <is>
          <t>Доски необрезные хвойных пород длиной: 4-6,5 м, все ширины, толщиной 44 мм и более, III сорта</t>
        </is>
      </c>
      <c r="E46" s="268" t="inlineStr">
        <is>
          <t>м3</t>
        </is>
      </c>
      <c r="F46" s="268" t="n">
        <v>0.328</v>
      </c>
      <c r="G46" s="180" t="n">
        <v>684</v>
      </c>
      <c r="H46" s="180">
        <f>ROUND(F46*G46,2)</f>
        <v/>
      </c>
    </row>
    <row r="47" s="202">
      <c r="A47" s="176" t="n">
        <v>31</v>
      </c>
      <c r="B47" s="183" t="n"/>
      <c r="C47" s="185" t="inlineStr">
        <is>
          <t>01.7.15.06-0121</t>
        </is>
      </c>
      <c r="D47" s="178" t="inlineStr">
        <is>
          <t>Гвозди строительные с плоской головкой: 1,6x50 мм</t>
        </is>
      </c>
      <c r="E47" s="268" t="inlineStr">
        <is>
          <t>т</t>
        </is>
      </c>
      <c r="F47" s="268" t="n">
        <v>0.0225</v>
      </c>
      <c r="G47" s="180" t="n">
        <v>8475</v>
      </c>
      <c r="H47" s="180">
        <f>ROUND(F47*G47,2)</f>
        <v/>
      </c>
    </row>
    <row r="48" s="202">
      <c r="A48" s="176" t="n">
        <v>32</v>
      </c>
      <c r="B48" s="183" t="n"/>
      <c r="C48" s="185" t="inlineStr">
        <is>
          <t>01.7.20.08-0031</t>
        </is>
      </c>
      <c r="D48" s="178" t="inlineStr">
        <is>
          <t>Бязь суровая арт. 6804</t>
        </is>
      </c>
      <c r="E48" s="268" t="inlineStr">
        <is>
          <t>10 м2</t>
        </is>
      </c>
      <c r="F48" s="268" t="n">
        <v>2.38</v>
      </c>
      <c r="G48" s="180" t="n">
        <v>79.09999999999999</v>
      </c>
      <c r="H48" s="180">
        <f>ROUND(F48*G48,2)</f>
        <v/>
      </c>
    </row>
    <row r="49" s="202">
      <c r="A49" s="176" t="n">
        <v>33</v>
      </c>
      <c r="B49" s="183" t="n"/>
      <c r="C49" s="185" t="inlineStr">
        <is>
          <t>14.5.09.01-0003</t>
        </is>
      </c>
      <c r="D49" s="178" t="inlineStr">
        <is>
          <t>Ацетон технический, сорт высший</t>
        </is>
      </c>
      <c r="E49" s="268" t="inlineStr">
        <is>
          <t>т</t>
        </is>
      </c>
      <c r="F49" s="268" t="n">
        <v>0.018</v>
      </c>
      <c r="G49" s="180" t="n">
        <v>9360</v>
      </c>
      <c r="H49" s="180">
        <f>ROUND(F49*G49,2)</f>
        <v/>
      </c>
    </row>
    <row r="50" ht="25.5" customHeight="1" s="202">
      <c r="A50" s="176" t="n">
        <v>34</v>
      </c>
      <c r="B50" s="183" t="n"/>
      <c r="C50" s="185" t="inlineStr">
        <is>
          <t>21.1.06.10-0376</t>
        </is>
      </c>
      <c r="D50" s="178" t="inlineStr">
        <is>
          <t>Кабель силовой с медными жилами ВВГнг(A)-LS 3х2,5ок-1000</t>
        </is>
      </c>
      <c r="E50" s="268" t="inlineStr">
        <is>
          <t>1000 м</t>
        </is>
      </c>
      <c r="F50" s="268" t="n">
        <v>0.01</v>
      </c>
      <c r="G50" s="180" t="n">
        <v>14498.24</v>
      </c>
      <c r="H50" s="180">
        <f>ROUND(F50*G50,2)</f>
        <v/>
      </c>
    </row>
    <row r="51" s="202">
      <c r="A51" s="176" t="n">
        <v>35</v>
      </c>
      <c r="B51" s="183" t="n"/>
      <c r="C51" s="185" t="inlineStr">
        <is>
          <t>01.7.15.10-0053</t>
        </is>
      </c>
      <c r="D51" s="178" t="inlineStr">
        <is>
          <t>Скобы: металлические</t>
        </is>
      </c>
      <c r="E51" s="268" t="inlineStr">
        <is>
          <t>кг</t>
        </is>
      </c>
      <c r="F51" s="268" t="n">
        <v>21</v>
      </c>
      <c r="G51" s="180" t="n">
        <v>6.4</v>
      </c>
      <c r="H51" s="180">
        <f>ROUND(F51*G51,2)</f>
        <v/>
      </c>
    </row>
    <row r="52" s="202">
      <c r="A52" s="176" t="n">
        <v>36</v>
      </c>
      <c r="B52" s="183" t="n"/>
      <c r="C52" s="185" t="inlineStr">
        <is>
          <t>01.3.02.08-0001</t>
        </is>
      </c>
      <c r="D52" s="178" t="inlineStr">
        <is>
          <t>Кислород технический: газообразный</t>
        </is>
      </c>
      <c r="E52" s="268" t="inlineStr">
        <is>
          <t>м3</t>
        </is>
      </c>
      <c r="F52" s="268" t="n">
        <v>15.45</v>
      </c>
      <c r="G52" s="180" t="n">
        <v>6.22</v>
      </c>
      <c r="H52" s="180">
        <f>ROUND(F52*G52,2)</f>
        <v/>
      </c>
    </row>
    <row r="53" ht="25.5" customHeight="1" s="202">
      <c r="A53" s="176" t="n">
        <v>37</v>
      </c>
      <c r="B53" s="183" t="n"/>
      <c r="C53" s="185" t="inlineStr">
        <is>
          <t>01.3.01.06-0050</t>
        </is>
      </c>
      <c r="D53" s="178" t="inlineStr">
        <is>
          <t>Смазка универсальная тугоплавкая УТ (консталин жировой)</t>
        </is>
      </c>
      <c r="E53" s="268" t="inlineStr">
        <is>
          <t>т</t>
        </is>
      </c>
      <c r="F53" s="268" t="n">
        <v>0.0051</v>
      </c>
      <c r="G53" s="180" t="n">
        <v>17500</v>
      </c>
      <c r="H53" s="180">
        <f>ROUND(F53*G53,2)</f>
        <v/>
      </c>
    </row>
    <row r="54" ht="25.5" customHeight="1" s="202">
      <c r="A54" s="176" t="n">
        <v>38</v>
      </c>
      <c r="B54" s="183" t="n"/>
      <c r="C54" s="185" t="inlineStr">
        <is>
          <t>08.3.07.01-0076</t>
        </is>
      </c>
      <c r="D54" s="178" t="inlineStr">
        <is>
          <t>Сталь полосовая, марка стали: Ст3сп шириной 50-200 мм толщиной 4-5 мм</t>
        </is>
      </c>
      <c r="E54" s="268" t="inlineStr">
        <is>
          <t>т</t>
        </is>
      </c>
      <c r="F54" s="268" t="n">
        <v>0.017</v>
      </c>
      <c r="G54" s="180" t="n">
        <v>5000</v>
      </c>
      <c r="H54" s="180">
        <f>ROUND(F54*G54,2)</f>
        <v/>
      </c>
    </row>
    <row r="55" s="202">
      <c r="A55" s="176" t="n">
        <v>39</v>
      </c>
      <c r="B55" s="183" t="n"/>
      <c r="C55" s="185" t="inlineStr">
        <is>
          <t>14.5.04.08-0002</t>
        </is>
      </c>
      <c r="D55" s="178" t="inlineStr">
        <is>
          <t>Мастика герметизирующая</t>
        </is>
      </c>
      <c r="E55" s="268" t="inlineStr">
        <is>
          <t>кг</t>
        </is>
      </c>
      <c r="F55" s="268" t="n">
        <v>4.2</v>
      </c>
      <c r="G55" s="180" t="n">
        <v>16.5</v>
      </c>
      <c r="H55" s="180">
        <f>ROUND(F55*G55,2)</f>
        <v/>
      </c>
    </row>
    <row r="56" s="202">
      <c r="A56" s="176" t="n">
        <v>40</v>
      </c>
      <c r="B56" s="183" t="n"/>
      <c r="C56" s="185" t="inlineStr">
        <is>
          <t>01.3.01.01-0001</t>
        </is>
      </c>
      <c r="D56" s="178" t="inlineStr">
        <is>
          <t>Бензин авиационный Б-70</t>
        </is>
      </c>
      <c r="E56" s="268" t="inlineStr">
        <is>
          <t>т</t>
        </is>
      </c>
      <c r="F56" s="268" t="n">
        <v>0.013</v>
      </c>
      <c r="G56" s="180" t="n">
        <v>4488.4</v>
      </c>
      <c r="H56" s="180">
        <f>ROUND(F56*G56,2)</f>
        <v/>
      </c>
    </row>
    <row r="57" s="202">
      <c r="A57" s="176" t="n">
        <v>41</v>
      </c>
      <c r="B57" s="183" t="n"/>
      <c r="C57" s="185" t="inlineStr">
        <is>
          <t>01.7.15.03-0042</t>
        </is>
      </c>
      <c r="D57" s="178" t="inlineStr">
        <is>
          <t>Болты с гайками и шайбами строительные</t>
        </is>
      </c>
      <c r="E57" s="268" t="inlineStr">
        <is>
          <t>кг</t>
        </is>
      </c>
      <c r="F57" s="268" t="n">
        <v>3.01</v>
      </c>
      <c r="G57" s="180" t="n">
        <v>9.039999999999999</v>
      </c>
      <c r="H57" s="180">
        <f>ROUND(F57*G57,2)</f>
        <v/>
      </c>
    </row>
    <row r="58" ht="25.5" customHeight="1" s="202">
      <c r="A58" s="176" t="n">
        <v>42</v>
      </c>
      <c r="B58" s="183" t="n"/>
      <c r="C58" s="185" t="inlineStr">
        <is>
          <t>01.1.02.02-0021</t>
        </is>
      </c>
      <c r="D58" s="178" t="inlineStr">
        <is>
          <t>Бумага асбестовая электроизоляционная марки: БЭ толщиной 0,2-0,3 мм</t>
        </is>
      </c>
      <c r="E58" s="268" t="inlineStr">
        <is>
          <t>т</t>
        </is>
      </c>
      <c r="F58" s="268" t="n">
        <v>0.0023</v>
      </c>
      <c r="G58" s="180" t="n">
        <v>11549</v>
      </c>
      <c r="H58" s="180">
        <f>ROUND(F58*G58,2)</f>
        <v/>
      </c>
    </row>
    <row r="59" s="202">
      <c r="A59" s="176" t="n">
        <v>43</v>
      </c>
      <c r="B59" s="183" t="n"/>
      <c r="C59" s="185" t="inlineStr">
        <is>
          <t>25.2.01.01-0001</t>
        </is>
      </c>
      <c r="D59" s="178" t="inlineStr">
        <is>
          <t>Бирки-оконцеватели</t>
        </is>
      </c>
      <c r="E59" s="268" t="inlineStr">
        <is>
          <t>100 шт</t>
        </is>
      </c>
      <c r="F59" s="268" t="n">
        <v>0.363</v>
      </c>
      <c r="G59" s="180" t="n">
        <v>63</v>
      </c>
      <c r="H59" s="180">
        <f>ROUND(F59*G59,2)</f>
        <v/>
      </c>
    </row>
    <row r="60">
      <c r="K60" s="293" t="n"/>
    </row>
    <row r="62">
      <c r="B62" s="191" t="inlineStr">
        <is>
          <t>Составил ______________________        А.Р. Маркова</t>
        </is>
      </c>
      <c r="C62" s="197" t="n"/>
    </row>
    <row r="63">
      <c r="B63" s="198" t="inlineStr">
        <is>
          <t xml:space="preserve">                         (подпись, инициалы, фамилия)</t>
        </is>
      </c>
      <c r="C63" s="197" t="n"/>
    </row>
    <row r="64">
      <c r="B64" s="191" t="n"/>
      <c r="C64" s="197" t="n"/>
    </row>
    <row r="65">
      <c r="B65" s="191" t="inlineStr">
        <is>
          <t>Проверил ______________________        А.В. Костянецкая</t>
        </is>
      </c>
      <c r="C65" s="197" t="n"/>
    </row>
    <row r="66">
      <c r="B66" s="198" t="inlineStr">
        <is>
          <t xml:space="preserve">                        (подпись, инициалы, фамилия)</t>
        </is>
      </c>
      <c r="C66" s="197" t="n"/>
    </row>
  </sheetData>
  <mergeCells count="16">
    <mergeCell ref="C9:C10"/>
    <mergeCell ref="B9:B10"/>
    <mergeCell ref="A12:E12"/>
    <mergeCell ref="A3:H3"/>
    <mergeCell ref="A29:E29"/>
    <mergeCell ref="E9:E10"/>
    <mergeCell ref="F9:F10"/>
    <mergeCell ref="D9:D10"/>
    <mergeCell ref="A9:A10"/>
    <mergeCell ref="A15:E15"/>
    <mergeCell ref="A2:H2"/>
    <mergeCell ref="C4:H4"/>
    <mergeCell ref="A31:E31"/>
    <mergeCell ref="G9:H9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1" workbookViewId="0">
      <selection activeCell="B43" sqref="B43"/>
    </sheetView>
  </sheetViews>
  <sheetFormatPr baseColWidth="8" defaultRowHeight="15"/>
  <cols>
    <col width="4.140625" customWidth="1" style="202" min="1" max="1"/>
    <col width="36.28515625" customWidth="1" style="202" min="2" max="2"/>
    <col width="18.85546875" customWidth="1" style="202" min="3" max="3"/>
    <col width="18.28515625" customWidth="1" style="202" min="4" max="4"/>
    <col width="18.85546875" customWidth="1" style="202" min="5" max="5"/>
    <col width="9.140625" customWidth="1" style="202" min="6" max="6"/>
    <col width="12.85546875" customWidth="1" style="202" min="7" max="7"/>
    <col width="9.140625" customWidth="1" style="202" min="8" max="11"/>
    <col width="13.5703125" customWidth="1" style="202" min="12" max="12"/>
    <col width="9.140625" customWidth="1" style="202" min="13" max="13"/>
  </cols>
  <sheetData>
    <row r="1">
      <c r="B1" s="191" t="n"/>
      <c r="C1" s="191" t="n"/>
      <c r="D1" s="191" t="n"/>
      <c r="E1" s="191" t="n"/>
    </row>
    <row r="2">
      <c r="B2" s="191" t="n"/>
      <c r="C2" s="191" t="n"/>
      <c r="D2" s="191" t="n"/>
      <c r="E2" s="267" t="inlineStr">
        <is>
          <t>Приложение № 4</t>
        </is>
      </c>
    </row>
    <row r="3">
      <c r="B3" s="191" t="n"/>
      <c r="C3" s="191" t="n"/>
      <c r="D3" s="191" t="n"/>
      <c r="E3" s="191" t="n"/>
    </row>
    <row r="4">
      <c r="B4" s="191" t="n"/>
      <c r="C4" s="191" t="n"/>
      <c r="D4" s="191" t="n"/>
      <c r="E4" s="191" t="n"/>
    </row>
    <row r="5">
      <c r="B5" s="239" t="inlineStr">
        <is>
          <t>Ресурсная модель</t>
        </is>
      </c>
    </row>
    <row r="6">
      <c r="B6" s="18" t="n"/>
      <c r="C6" s="191" t="n"/>
      <c r="D6" s="191" t="n"/>
      <c r="E6" s="191" t="n"/>
    </row>
    <row r="7" ht="34.5" customHeight="1" s="202">
      <c r="B7" s="240">
        <f>'Прил.1 Сравнит табл'!B7</f>
        <v/>
      </c>
    </row>
    <row r="8">
      <c r="B8" s="241">
        <f>'Прил.1 Сравнит табл'!B9</f>
        <v/>
      </c>
    </row>
    <row r="9">
      <c r="B9" s="18" t="n"/>
      <c r="C9" s="191" t="n"/>
      <c r="D9" s="191" t="n"/>
      <c r="E9" s="191" t="n"/>
    </row>
    <row r="10" ht="51" customHeight="1" s="202">
      <c r="B10" s="250" t="inlineStr">
        <is>
          <t>Наименование</t>
        </is>
      </c>
      <c r="C10" s="250" t="inlineStr">
        <is>
          <t>Сметная стоимость в ценах на 01.01.2023
 (руб.)</t>
        </is>
      </c>
      <c r="D10" s="250" t="inlineStr">
        <is>
          <t>Удельный вес, 
(в СМР)</t>
        </is>
      </c>
      <c r="E10" s="250" t="inlineStr">
        <is>
          <t>Удельный вес, % 
(от всего по РМ)</t>
        </is>
      </c>
    </row>
    <row r="11">
      <c r="B11" s="36" t="inlineStr">
        <is>
          <t>Оплата труда рабочих</t>
        </is>
      </c>
      <c r="C11" s="193">
        <f>'Прил.5 Расчет СМР и ОБ'!J15</f>
        <v/>
      </c>
      <c r="D11" s="38">
        <f>C11/$C$24</f>
        <v/>
      </c>
      <c r="E11" s="38">
        <f>C11/$C$40</f>
        <v/>
      </c>
    </row>
    <row r="12">
      <c r="B12" s="36" t="inlineStr">
        <is>
          <t>Эксплуатация машин основных</t>
        </is>
      </c>
      <c r="C12" s="193">
        <f>'Прил.5 Расчет СМР и ОБ'!J24</f>
        <v/>
      </c>
      <c r="D12" s="38">
        <f>C12/$C$24</f>
        <v/>
      </c>
      <c r="E12" s="38">
        <f>C12/$C$40</f>
        <v/>
      </c>
    </row>
    <row r="13">
      <c r="B13" s="36" t="inlineStr">
        <is>
          <t>Эксплуатация машин прочих</t>
        </is>
      </c>
      <c r="C13" s="193">
        <f>'Прил.5 Расчет СМР и ОБ'!J35</f>
        <v/>
      </c>
      <c r="D13" s="38">
        <f>C13/$C$24</f>
        <v/>
      </c>
      <c r="E13" s="38">
        <f>C13/$C$40</f>
        <v/>
      </c>
    </row>
    <row r="14">
      <c r="B14" s="36" t="inlineStr">
        <is>
          <t>ЭКСПЛУАТАЦИЯ МАШИН, ВСЕГО:</t>
        </is>
      </c>
      <c r="C14" s="193">
        <f>C13+C12</f>
        <v/>
      </c>
      <c r="D14" s="38">
        <f>C14/$C$24</f>
        <v/>
      </c>
      <c r="E14" s="38">
        <f>C14/$C$40</f>
        <v/>
      </c>
    </row>
    <row r="15">
      <c r="B15" s="36" t="inlineStr">
        <is>
          <t>в том числе зарплата машинистов</t>
        </is>
      </c>
      <c r="C15" s="193">
        <f>'Прил.5 Расчет СМР и ОБ'!J18</f>
        <v/>
      </c>
      <c r="D15" s="38">
        <f>C15/$C$24</f>
        <v/>
      </c>
      <c r="E15" s="38">
        <f>C15/$C$40</f>
        <v/>
      </c>
    </row>
    <row r="16">
      <c r="B16" s="36" t="inlineStr">
        <is>
          <t>Материалы основные</t>
        </is>
      </c>
      <c r="C16" s="193">
        <f>'Прил.5 Расчет СМР и ОБ'!J46</f>
        <v/>
      </c>
      <c r="D16" s="38">
        <f>C16/$C$24</f>
        <v/>
      </c>
      <c r="E16" s="38">
        <f>C16/$C$40</f>
        <v/>
      </c>
    </row>
    <row r="17">
      <c r="B17" s="36" t="inlineStr">
        <is>
          <t>Материалы прочие</t>
        </is>
      </c>
      <c r="C17" s="193">
        <f>'Прил.5 Расчет СМР и ОБ'!J47</f>
        <v/>
      </c>
      <c r="D17" s="38">
        <f>C17/$C$24</f>
        <v/>
      </c>
      <c r="E17" s="38">
        <f>C17/$C$40</f>
        <v/>
      </c>
      <c r="G17" s="294" t="n"/>
    </row>
    <row r="18">
      <c r="B18" s="36" t="inlineStr">
        <is>
          <t>МАТЕРИАЛЫ, ВСЕГО:</t>
        </is>
      </c>
      <c r="C18" s="193">
        <f>C17+C16</f>
        <v/>
      </c>
      <c r="D18" s="38">
        <f>C18/$C$24</f>
        <v/>
      </c>
      <c r="E18" s="38">
        <f>C18/$C$40</f>
        <v/>
      </c>
    </row>
    <row r="19">
      <c r="B19" s="36" t="inlineStr">
        <is>
          <t>ИТОГО</t>
        </is>
      </c>
      <c r="C19" s="193">
        <f>C18+C14+C11</f>
        <v/>
      </c>
      <c r="D19" s="38" t="n"/>
      <c r="E19" s="36" t="n"/>
    </row>
    <row r="20">
      <c r="B20" s="36" t="inlineStr">
        <is>
          <t>Сметная прибыль, руб.</t>
        </is>
      </c>
      <c r="C20" s="193">
        <f>ROUND(C21*(C11+C15),2)</f>
        <v/>
      </c>
      <c r="D20" s="38">
        <f>C20/$C$24</f>
        <v/>
      </c>
      <c r="E20" s="38">
        <f>C20/$C$40</f>
        <v/>
      </c>
    </row>
    <row r="21">
      <c r="B21" s="36" t="inlineStr">
        <is>
          <t>Сметная прибыль, %</t>
        </is>
      </c>
      <c r="C21" s="41">
        <f>'Прил.5 Расчет СМР и ОБ'!E53</f>
        <v/>
      </c>
      <c r="D21" s="38" t="n"/>
      <c r="E21" s="36" t="n"/>
    </row>
    <row r="22">
      <c r="B22" s="36" t="inlineStr">
        <is>
          <t>Накладные расходы, руб.</t>
        </is>
      </c>
      <c r="C22" s="193">
        <f>ROUND(C23*(C11+C15),2)</f>
        <v/>
      </c>
      <c r="D22" s="38">
        <f>C22/$C$24</f>
        <v/>
      </c>
      <c r="E22" s="38">
        <f>C22/$C$40</f>
        <v/>
      </c>
    </row>
    <row r="23">
      <c r="B23" s="36" t="inlineStr">
        <is>
          <t>Накладные расходы, %</t>
        </is>
      </c>
      <c r="C23" s="41">
        <f>'Прил.5 Расчет СМР и ОБ'!E51</f>
        <v/>
      </c>
      <c r="D23" s="38" t="n"/>
      <c r="E23" s="36" t="n"/>
    </row>
    <row r="24">
      <c r="B24" s="36" t="inlineStr">
        <is>
          <t>ВСЕГО СМР с НР и СП</t>
        </is>
      </c>
      <c r="C24" s="193">
        <f>C19+C20+C22</f>
        <v/>
      </c>
      <c r="D24" s="38">
        <f>C24/$C$24</f>
        <v/>
      </c>
      <c r="E24" s="38">
        <f>C24/$C$40</f>
        <v/>
      </c>
    </row>
    <row r="25" ht="25.5" customHeight="1" s="202">
      <c r="B25" s="36" t="inlineStr">
        <is>
          <t>ВСЕГО стоимость оборудования, в том числе</t>
        </is>
      </c>
      <c r="C25" s="193">
        <f>'Прил.5 Расчет СМР и ОБ'!J43</f>
        <v/>
      </c>
      <c r="D25" s="38" t="n"/>
      <c r="E25" s="38">
        <f>C25/$C$40</f>
        <v/>
      </c>
    </row>
    <row r="26" ht="25.5" customHeight="1" s="202">
      <c r="B26" s="36" t="inlineStr">
        <is>
          <t>стоимость оборудования технологического</t>
        </is>
      </c>
      <c r="C26" s="193">
        <f>C25</f>
        <v/>
      </c>
      <c r="D26" s="38" t="n"/>
      <c r="E26" s="38">
        <f>C26/$C$40</f>
        <v/>
      </c>
    </row>
    <row r="27">
      <c r="B27" s="36" t="inlineStr">
        <is>
          <t>ИТОГО (СМР + ОБОРУДОВАНИЕ)</t>
        </is>
      </c>
      <c r="C27" s="37">
        <f>C24+C25</f>
        <v/>
      </c>
      <c r="D27" s="38" t="n"/>
      <c r="E27" s="38">
        <f>C27/$C$40</f>
        <v/>
      </c>
    </row>
    <row r="28" ht="33" customHeight="1" s="202">
      <c r="B28" s="36" t="inlineStr">
        <is>
          <t>ПРОЧ. ЗАТР., УЧТЕННЫЕ ПОКАЗАТЕЛЕМ,  в том числе</t>
        </is>
      </c>
      <c r="C28" s="36" t="n"/>
      <c r="D28" s="36" t="n"/>
      <c r="E28" s="36" t="n"/>
    </row>
    <row r="29" ht="25.5" customHeight="1" s="202">
      <c r="B29" s="36" t="inlineStr">
        <is>
          <t>Временные здания и сооружения - 3,9%</t>
        </is>
      </c>
      <c r="C29" s="37">
        <f>ROUND(C24*3.9%,2)</f>
        <v/>
      </c>
      <c r="D29" s="36" t="n"/>
      <c r="E29" s="38">
        <f>C29/$C$40</f>
        <v/>
      </c>
    </row>
    <row r="30" ht="38.25" customHeight="1" s="202">
      <c r="B30" s="36" t="inlineStr">
        <is>
          <t>Дополнительные затраты при производстве строительно-монтажных работ в зимнее время - 2,1%</t>
        </is>
      </c>
      <c r="C30" s="37">
        <f>ROUND((C24+C29)*2.1%,2)</f>
        <v/>
      </c>
      <c r="D30" s="36" t="n"/>
      <c r="E30" s="38">
        <f>C30/$C$40</f>
        <v/>
      </c>
    </row>
    <row r="31">
      <c r="B31" s="36" t="inlineStr">
        <is>
          <t>Пусконаладочные работы</t>
        </is>
      </c>
      <c r="C31" s="37" t="n">
        <v>0</v>
      </c>
      <c r="D31" s="36" t="n"/>
      <c r="E31" s="38">
        <f>C31/$C$40</f>
        <v/>
      </c>
    </row>
    <row r="32" ht="25.5" customHeight="1" s="202">
      <c r="B32" s="36" t="inlineStr">
        <is>
          <t>Затраты по перевозке работников к месту работы и обратно</t>
        </is>
      </c>
      <c r="C32" s="37">
        <f>ROUND($C$27*0%,2)</f>
        <v/>
      </c>
      <c r="D32" s="36" t="n"/>
      <c r="E32" s="38">
        <f>C32/$C$40</f>
        <v/>
      </c>
    </row>
    <row r="33" ht="25.5" customHeight="1" s="202">
      <c r="B33" s="36" t="inlineStr">
        <is>
          <t>Затраты, связанные с осуществлением работ вахтовым методом</t>
        </is>
      </c>
      <c r="C33" s="37">
        <f>ROUND($C$27*0%,2)</f>
        <v/>
      </c>
      <c r="D33" s="36" t="n"/>
      <c r="E33" s="38">
        <f>C33/$C$40</f>
        <v/>
      </c>
    </row>
    <row r="34" ht="51" customHeight="1" s="202">
      <c r="B34" s="3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37">
        <f>ROUND($C$27*0%,2)</f>
        <v/>
      </c>
      <c r="D34" s="36" t="n"/>
      <c r="E34" s="38">
        <f>C34/$C$40</f>
        <v/>
      </c>
    </row>
    <row r="35" ht="76.5" customHeight="1" s="202">
      <c r="B35" s="36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7">
        <f>ROUND($C$27*0%,2)</f>
        <v/>
      </c>
      <c r="D35" s="36" t="n"/>
      <c r="E35" s="38">
        <f>C35/$C$40</f>
        <v/>
      </c>
    </row>
    <row r="36" ht="25.5" customHeight="1" s="202">
      <c r="B36" s="36" t="inlineStr">
        <is>
          <t>Строительный контроль и содержание службы заказчика - 2,14%</t>
        </is>
      </c>
      <c r="C36" s="115">
        <f>ROUND((C27+C32+C33+C34+C35+C29+C31+C30)*2.14%,2)</f>
        <v/>
      </c>
      <c r="D36" s="36" t="n"/>
      <c r="E36" s="38">
        <f>C36/$C$40</f>
        <v/>
      </c>
      <c r="G36" s="72" t="n"/>
      <c r="L36" s="106" t="n"/>
    </row>
    <row r="37">
      <c r="B37" s="36" t="inlineStr">
        <is>
          <t>Авторский надзор - 0,2%</t>
        </is>
      </c>
      <c r="C37" s="115">
        <f>ROUND((C27+C32+C33+C34+C35+C29+C31+C30)*0.2%,2)</f>
        <v/>
      </c>
      <c r="D37" s="36" t="n"/>
      <c r="E37" s="38">
        <f>C37/$C$40</f>
        <v/>
      </c>
      <c r="G37" s="72" t="n"/>
      <c r="L37" s="106" t="n"/>
    </row>
    <row r="38" ht="38.25" customHeight="1" s="202">
      <c r="B38" s="36" t="inlineStr">
        <is>
          <t>ИТОГО (СМР+ОБОРУДОВАНИЕ+ПРОЧ. ЗАТР., УЧТЕННЫЕ ПОКАЗАТЕЛЕМ)</t>
        </is>
      </c>
      <c r="C38" s="116">
        <f>C27+C32+C33+C34+C35+C29+C31+C30+C36+C37</f>
        <v/>
      </c>
      <c r="D38" s="36" t="n"/>
      <c r="E38" s="38">
        <f>C38/$C$40</f>
        <v/>
      </c>
    </row>
    <row r="39" ht="13.5" customHeight="1" s="202">
      <c r="B39" s="36" t="inlineStr">
        <is>
          <t>Непредвиденные расходы</t>
        </is>
      </c>
      <c r="C39" s="193">
        <f>ROUND(C38*3%,2)</f>
        <v/>
      </c>
      <c r="D39" s="36" t="n"/>
      <c r="E39" s="38">
        <f>C39/$C$38</f>
        <v/>
      </c>
    </row>
    <row r="40">
      <c r="B40" s="36" t="inlineStr">
        <is>
          <t>ВСЕГО:</t>
        </is>
      </c>
      <c r="C40" s="193">
        <f>C39+C38</f>
        <v/>
      </c>
      <c r="D40" s="36" t="n"/>
      <c r="E40" s="38">
        <f>C40/$C$40</f>
        <v/>
      </c>
    </row>
    <row r="41">
      <c r="B41" s="36" t="inlineStr">
        <is>
          <t>ИТОГО ПОКАЗАТЕЛЬ НА ЕД. ИЗМ.</t>
        </is>
      </c>
      <c r="C41" s="193">
        <f>C40/'Прил.5 Расчет СМР и ОБ'!E57</f>
        <v/>
      </c>
      <c r="D41" s="36" t="n"/>
      <c r="E41" s="36" t="n"/>
    </row>
    <row r="42">
      <c r="B42" s="21" t="n"/>
      <c r="C42" s="191" t="n"/>
      <c r="D42" s="191" t="n"/>
      <c r="E42" s="191" t="n"/>
    </row>
    <row r="43">
      <c r="B43" s="191" t="inlineStr">
        <is>
          <t>Составил ______________________        А.Р. Маркова</t>
        </is>
      </c>
      <c r="C43" s="197" t="n"/>
      <c r="D43" s="191" t="n"/>
      <c r="E43" s="191" t="n"/>
    </row>
    <row r="44">
      <c r="B44" s="198" t="inlineStr">
        <is>
          <t xml:space="preserve">                         (подпись, инициалы, фамилия)</t>
        </is>
      </c>
      <c r="C44" s="197" t="n"/>
      <c r="D44" s="191" t="n"/>
      <c r="E44" s="191" t="n"/>
    </row>
    <row r="45">
      <c r="B45" s="191" t="n"/>
      <c r="C45" s="197" t="n"/>
      <c r="D45" s="191" t="n"/>
      <c r="E45" s="191" t="n"/>
    </row>
    <row r="46">
      <c r="B46" s="191" t="inlineStr">
        <is>
          <t>Проверил ______________________        А.В. Костянецкая</t>
        </is>
      </c>
      <c r="C46" s="197" t="n"/>
      <c r="D46" s="191" t="n"/>
      <c r="E46" s="191" t="n"/>
    </row>
    <row r="47">
      <c r="B47" s="198" t="inlineStr">
        <is>
          <t xml:space="preserve">                        (подпись, инициалы, фамилия)</t>
        </is>
      </c>
      <c r="C47" s="197" t="n"/>
      <c r="D47" s="191" t="n"/>
      <c r="E47" s="191" t="n"/>
    </row>
    <row r="49">
      <c r="B49" s="191" t="n"/>
      <c r="C49" s="191" t="n"/>
      <c r="D49" s="191" t="n"/>
      <c r="E49" s="191" t="n"/>
    </row>
    <row r="50">
      <c r="B50" s="191" t="n"/>
      <c r="C50" s="191" t="n"/>
      <c r="D50" s="191" t="n"/>
      <c r="E50" s="191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N64"/>
  <sheetViews>
    <sheetView view="pageBreakPreview" topLeftCell="A42" zoomScale="70" workbookViewId="0">
      <selection activeCell="E66" sqref="E66"/>
    </sheetView>
  </sheetViews>
  <sheetFormatPr baseColWidth="8" defaultColWidth="9.140625" defaultRowHeight="15" outlineLevelRow="1"/>
  <cols>
    <col width="5.7109375" customWidth="1" style="197" min="1" max="1"/>
    <col width="22.5703125" customWidth="1" style="197" min="2" max="2"/>
    <col width="39.140625" customWidth="1" style="197" min="3" max="3"/>
    <col width="10.7109375" customWidth="1" style="197" min="4" max="4"/>
    <col width="12.7109375" customWidth="1" style="197" min="5" max="5"/>
    <col width="14.5703125" customWidth="1" style="197" min="6" max="6"/>
    <col width="13.42578125" customWidth="1" style="197" min="7" max="7"/>
    <col width="12.7109375" customWidth="1" style="197" min="8" max="8"/>
    <col width="14.5703125" customWidth="1" style="197" min="9" max="9"/>
    <col width="15.140625" customWidth="1" style="197" min="10" max="10"/>
    <col width="2.85546875" customWidth="1" style="197" min="11" max="11"/>
    <col width="10.7109375" customWidth="1" style="197" min="12" max="12"/>
    <col width="10.85546875" customWidth="1" style="197" min="13" max="13"/>
    <col width="9.140625" customWidth="1" style="197" min="14" max="14"/>
    <col width="9.140625" customWidth="1" style="202" min="15" max="15"/>
  </cols>
  <sheetData>
    <row r="2" ht="15.75" customHeight="1" s="202">
      <c r="I2" s="204" t="n"/>
      <c r="J2" s="74" t="inlineStr">
        <is>
          <t>Приложение №5</t>
        </is>
      </c>
    </row>
    <row r="4" ht="12.75" customFormat="1" customHeight="1" s="191">
      <c r="A4" s="239" t="inlineStr">
        <is>
          <t>Расчет стоимости СМР и оборудования</t>
        </is>
      </c>
      <c r="I4" s="239" t="n"/>
      <c r="J4" s="239" t="n"/>
    </row>
    <row r="5" ht="12.75" customFormat="1" customHeight="1" s="191">
      <c r="A5" s="239" t="n"/>
      <c r="B5" s="239" t="n"/>
      <c r="C5" s="239" t="n"/>
      <c r="D5" s="239" t="n"/>
      <c r="E5" s="239" t="n"/>
      <c r="F5" s="239" t="n"/>
      <c r="G5" s="239" t="n"/>
      <c r="H5" s="239" t="n"/>
      <c r="I5" s="239" t="n"/>
      <c r="J5" s="239" t="n"/>
    </row>
    <row r="6" ht="26.25" customFormat="1" customHeight="1" s="191">
      <c r="A6" s="244" t="inlineStr">
        <is>
          <t>Наименование разрабатываемого показателя УНЦ</t>
        </is>
      </c>
      <c r="D6" s="244" t="inlineStr">
        <is>
          <t>Демонтаж ячейки выключателя КРУ 35кВ</t>
        </is>
      </c>
    </row>
    <row r="7" ht="12.75" customFormat="1" customHeight="1" s="191">
      <c r="A7" s="244">
        <f>'Прил.1 Сравнит табл'!B9</f>
        <v/>
      </c>
      <c r="I7" s="240" t="n"/>
      <c r="J7" s="240" t="n"/>
    </row>
    <row r="8" ht="12.75" customFormat="1" customHeight="1" s="191"/>
    <row r="9" ht="27" customHeight="1" s="202">
      <c r="A9" s="250" t="inlineStr">
        <is>
          <t>№ пп.</t>
        </is>
      </c>
      <c r="B9" s="250" t="inlineStr">
        <is>
          <t>Код ресурса</t>
        </is>
      </c>
      <c r="C9" s="250" t="inlineStr">
        <is>
          <t>Наименование</t>
        </is>
      </c>
      <c r="D9" s="250" t="inlineStr">
        <is>
          <t>Ед. изм.</t>
        </is>
      </c>
      <c r="E9" s="250" t="inlineStr">
        <is>
          <t>Кол-во единиц по проектным данным</t>
        </is>
      </c>
      <c r="F9" s="250" t="inlineStr">
        <is>
          <t>Сметная стоимость в ценах на 01.01.2000 (руб.)</t>
        </is>
      </c>
      <c r="G9" s="282" t="n"/>
      <c r="H9" s="250" t="inlineStr">
        <is>
          <t>Удельный вес, %</t>
        </is>
      </c>
      <c r="I9" s="250" t="inlineStr">
        <is>
          <t>Сметная стоимость в ценах на 01.01.2023 (руб.)</t>
        </is>
      </c>
      <c r="J9" s="282" t="n"/>
    </row>
    <row r="10" ht="28.5" customHeight="1" s="202">
      <c r="A10" s="284" t="n"/>
      <c r="B10" s="284" t="n"/>
      <c r="C10" s="284" t="n"/>
      <c r="D10" s="284" t="n"/>
      <c r="E10" s="284" t="n"/>
      <c r="F10" s="250" t="inlineStr">
        <is>
          <t>на ед. изм.</t>
        </is>
      </c>
      <c r="G10" s="250" t="inlineStr">
        <is>
          <t>общая</t>
        </is>
      </c>
      <c r="H10" s="284" t="n"/>
      <c r="I10" s="250" t="inlineStr">
        <is>
          <t>на ед. изм.</t>
        </is>
      </c>
      <c r="J10" s="250" t="inlineStr">
        <is>
          <t>общая</t>
        </is>
      </c>
    </row>
    <row r="11">
      <c r="A11" s="250" t="n">
        <v>1</v>
      </c>
      <c r="B11" s="250" t="n">
        <v>2</v>
      </c>
      <c r="C11" s="250" t="n">
        <v>3</v>
      </c>
      <c r="D11" s="250" t="n">
        <v>4</v>
      </c>
      <c r="E11" s="250" t="n">
        <v>5</v>
      </c>
      <c r="F11" s="250" t="n">
        <v>6</v>
      </c>
      <c r="G11" s="250" t="n">
        <v>7</v>
      </c>
      <c r="H11" s="250" t="n">
        <v>8</v>
      </c>
      <c r="I11" s="250" t="n">
        <v>9</v>
      </c>
      <c r="J11" s="250" t="n">
        <v>10</v>
      </c>
    </row>
    <row r="12">
      <c r="A12" s="250" t="n"/>
      <c r="B12" s="238" t="inlineStr">
        <is>
          <t>Затраты труда рабочих-строителей</t>
        </is>
      </c>
      <c r="C12" s="281" t="n"/>
      <c r="D12" s="281" t="n"/>
      <c r="E12" s="281" t="n"/>
      <c r="F12" s="281" t="n"/>
      <c r="G12" s="281" t="n"/>
      <c r="H12" s="282" t="n"/>
      <c r="I12" s="141" t="n"/>
      <c r="J12" s="141" t="n"/>
      <c r="L12" s="295" t="n"/>
    </row>
    <row r="13" ht="25.5" customHeight="1" s="202">
      <c r="A13" s="250" t="n">
        <v>1</v>
      </c>
      <c r="B13" s="199" t="inlineStr">
        <is>
          <t>1-4-0</t>
        </is>
      </c>
      <c r="C13" s="245" t="inlineStr">
        <is>
          <t>Затраты труда рабочих (средний разряд работы 4,0)</t>
        </is>
      </c>
      <c r="D13" s="246" t="inlineStr">
        <is>
          <t>чел.-ч.</t>
        </is>
      </c>
      <c r="E13" s="291" t="n">
        <v>197.600625</v>
      </c>
      <c r="F13" s="144" t="n">
        <v>9.4</v>
      </c>
      <c r="G13" s="144">
        <f>ROUND(E13*F13,2)</f>
        <v/>
      </c>
      <c r="H13" s="249">
        <f>G13/G14</f>
        <v/>
      </c>
      <c r="I13" s="144">
        <f>'ФОТр.тек.'!E13</f>
        <v/>
      </c>
      <c r="J13" s="144">
        <f>ROUND(I13*E13,2)</f>
        <v/>
      </c>
    </row>
    <row r="14" ht="25.5" customFormat="1" customHeight="1" s="197">
      <c r="A14" s="250" t="n"/>
      <c r="B14" s="246" t="n"/>
      <c r="C14" s="238" t="inlineStr">
        <is>
          <t>Итого по разделу "Затраты труда рабочих-строителей"</t>
        </is>
      </c>
      <c r="D14" s="246" t="inlineStr">
        <is>
          <t>чел.-ч.</t>
        </is>
      </c>
      <c r="E14" s="291">
        <f>SUM(E13:E13)</f>
        <v/>
      </c>
      <c r="F14" s="144" t="n"/>
      <c r="G14" s="144">
        <f>SUM(G13:G13)</f>
        <v/>
      </c>
      <c r="H14" s="249" t="n">
        <v>1</v>
      </c>
      <c r="I14" s="144" t="n"/>
      <c r="J14" s="144">
        <f>SUM(J13:J13)</f>
        <v/>
      </c>
      <c r="L14" s="108" t="n"/>
    </row>
    <row r="15" ht="45.6" customFormat="1" customHeight="1" s="197">
      <c r="A15" s="250" t="n"/>
      <c r="B15" s="246" t="n"/>
      <c r="C15" s="234" t="inlineStr">
        <is>
          <t>Итого по разделу "Затраты труда рабочих-строителей" 
(с коэффициентом на демонтаж 0,7)</t>
        </is>
      </c>
      <c r="D15" s="250" t="n"/>
      <c r="E15" s="296" t="n"/>
      <c r="F15" s="167" t="n"/>
      <c r="G15" s="167">
        <f>G14*0.7</f>
        <v/>
      </c>
      <c r="H15" s="258" t="n">
        <v>1</v>
      </c>
      <c r="I15" s="163" t="n"/>
      <c r="J15" s="167">
        <f>J14*0.7</f>
        <v/>
      </c>
      <c r="L15" s="108" t="n"/>
    </row>
    <row r="16" ht="14.25" customFormat="1" customHeight="1" s="197">
      <c r="A16" s="250" t="n"/>
      <c r="B16" s="245" t="inlineStr">
        <is>
          <t>Затраты труда машинистов</t>
        </is>
      </c>
      <c r="C16" s="281" t="n"/>
      <c r="D16" s="281" t="n"/>
      <c r="E16" s="281" t="n"/>
      <c r="F16" s="281" t="n"/>
      <c r="G16" s="281" t="n"/>
      <c r="H16" s="282" t="n"/>
      <c r="I16" s="141" t="n"/>
      <c r="J16" s="141" t="n"/>
      <c r="L16" s="295" t="n"/>
    </row>
    <row r="17" ht="14.25" customFormat="1" customHeight="1" s="197">
      <c r="A17" s="250" t="n">
        <v>2</v>
      </c>
      <c r="B17" s="246" t="n">
        <v>2</v>
      </c>
      <c r="C17" s="245" t="inlineStr">
        <is>
          <t>Затраты труда машинистов</t>
        </is>
      </c>
      <c r="D17" s="246" t="inlineStr">
        <is>
          <t>чел.-ч.</t>
        </is>
      </c>
      <c r="E17" s="291" t="n">
        <v>16.818125</v>
      </c>
      <c r="F17" s="144" t="n">
        <v>12.09</v>
      </c>
      <c r="G17" s="144">
        <f>ROUND(E17*F17,2)</f>
        <v/>
      </c>
      <c r="H17" s="249" t="n">
        <v>1</v>
      </c>
      <c r="I17" s="144">
        <f>ROUND(F17*Прил.10!D10,2)</f>
        <v/>
      </c>
      <c r="J17" s="144">
        <f>ROUND(I17*E17,2)</f>
        <v/>
      </c>
      <c r="L17" s="197" t="n"/>
    </row>
    <row r="18" ht="29.45" customFormat="1" customHeight="1" s="197">
      <c r="A18" s="250" t="n"/>
      <c r="B18" s="246" t="n"/>
      <c r="C18" s="255" t="inlineStr">
        <is>
          <t>Затраты труда машинистов 
(с коэффициентом на демонтаж 0,7)</t>
        </is>
      </c>
      <c r="D18" s="250" t="n"/>
      <c r="E18" s="296" t="n"/>
      <c r="F18" s="167" t="n"/>
      <c r="G18" s="167">
        <f>G17*0.7</f>
        <v/>
      </c>
      <c r="H18" s="258" t="n">
        <v>1</v>
      </c>
      <c r="I18" s="167" t="n"/>
      <c r="J18" s="167">
        <f>J17*0.7</f>
        <v/>
      </c>
      <c r="L18" s="69" t="n"/>
    </row>
    <row r="19" ht="14.25" customFormat="1" customHeight="1" s="197">
      <c r="A19" s="250" t="n"/>
      <c r="B19" s="238" t="inlineStr">
        <is>
          <t>Машины и механизмы</t>
        </is>
      </c>
      <c r="C19" s="281" t="n"/>
      <c r="D19" s="281" t="n"/>
      <c r="E19" s="281" t="n"/>
      <c r="F19" s="281" t="n"/>
      <c r="G19" s="281" t="n"/>
      <c r="H19" s="282" t="n"/>
      <c r="I19" s="249" t="n"/>
      <c r="J19" s="249" t="n"/>
    </row>
    <row r="20" ht="14.25" customFormat="1" customHeight="1" s="197">
      <c r="A20" s="250" t="n"/>
      <c r="B20" s="245" t="inlineStr">
        <is>
          <t>Основные машины и механизмы</t>
        </is>
      </c>
      <c r="C20" s="281" t="n"/>
      <c r="D20" s="281" t="n"/>
      <c r="E20" s="281" t="n"/>
      <c r="F20" s="281" t="n"/>
      <c r="G20" s="281" t="n"/>
      <c r="H20" s="282" t="n"/>
      <c r="I20" s="141" t="n"/>
      <c r="J20" s="141" t="n"/>
    </row>
    <row r="21" ht="25.5" customFormat="1" customHeight="1" s="197">
      <c r="A21" s="250" t="n">
        <v>3</v>
      </c>
      <c r="B21" s="199" t="inlineStr">
        <is>
          <t>91.06.03-058</t>
        </is>
      </c>
      <c r="C21" s="245" t="inlineStr">
        <is>
          <t>Лебедки электрические тяговым усилием 156,96 кН (16 т)</t>
        </is>
      </c>
      <c r="D21" s="246" t="inlineStr">
        <is>
          <t>маш.час</t>
        </is>
      </c>
      <c r="E21" s="291" t="n">
        <v>11.431875</v>
      </c>
      <c r="F21" s="149" t="n">
        <v>131.44</v>
      </c>
      <c r="G21" s="144">
        <f>ROUND(E21*F21,2)</f>
        <v/>
      </c>
      <c r="H21" s="249">
        <f>G21/$G$36</f>
        <v/>
      </c>
      <c r="I21" s="144">
        <f>ROUND(F21*Прил.10!$D$11,2)</f>
        <v/>
      </c>
      <c r="J21" s="144">
        <f>ROUND(I21*E21,2)</f>
        <v/>
      </c>
      <c r="L21" s="197" t="n"/>
    </row>
    <row r="22" ht="25.5" customFormat="1" customHeight="1" s="197">
      <c r="A22" s="250" t="n">
        <v>4</v>
      </c>
      <c r="B22" s="199" t="inlineStr">
        <is>
          <t>91.05.05-014</t>
        </is>
      </c>
      <c r="C22" s="245" t="inlineStr">
        <is>
          <t>Краны на автомобильном ходу, грузоподъемность 10 т</t>
        </is>
      </c>
      <c r="D22" s="246" t="inlineStr">
        <is>
          <t>маш.час</t>
        </is>
      </c>
      <c r="E22" s="291" t="n">
        <v>6.049375</v>
      </c>
      <c r="F22" s="149" t="n">
        <v>111.99</v>
      </c>
      <c r="G22" s="144">
        <f>ROUND(E22*F22,2)</f>
        <v/>
      </c>
      <c r="H22" s="249">
        <f>G22/$G$36</f>
        <v/>
      </c>
      <c r="I22" s="144">
        <f>ROUND(F22*Прил.10!$D$11,2)</f>
        <v/>
      </c>
      <c r="J22" s="144">
        <f>ROUND(I22*E22,2)</f>
        <v/>
      </c>
      <c r="L22" s="197" t="n"/>
    </row>
    <row r="23" ht="14.25" customFormat="1" customHeight="1" s="197">
      <c r="A23" s="250" t="n"/>
      <c r="B23" s="246" t="n"/>
      <c r="C23" s="245" t="inlineStr">
        <is>
          <t>Итого основные машины и механизмы</t>
        </is>
      </c>
      <c r="D23" s="246" t="n"/>
      <c r="E23" s="297" t="n"/>
      <c r="F23" s="144" t="n"/>
      <c r="G23" s="144">
        <f>SUM(G21:G22)</f>
        <v/>
      </c>
      <c r="H23" s="249">
        <f>G23/G36</f>
        <v/>
      </c>
      <c r="I23" s="144" t="n"/>
      <c r="J23" s="144">
        <f>SUM(J21:J22)</f>
        <v/>
      </c>
      <c r="L23" s="298" t="n"/>
    </row>
    <row r="24" ht="28.15" customFormat="1" customHeight="1" s="197">
      <c r="A24" s="250" t="n"/>
      <c r="B24" s="246" t="n"/>
      <c r="C24" s="255" t="inlineStr">
        <is>
          <t>Итого основные машины и механизмы 
(с коэффициентом на демонтаж 0,7)</t>
        </is>
      </c>
      <c r="D24" s="250" t="n"/>
      <c r="E24" s="296" t="n"/>
      <c r="F24" s="167" t="n"/>
      <c r="G24" s="167">
        <f>G23*0.7</f>
        <v/>
      </c>
      <c r="H24" s="168">
        <f>G24/G37</f>
        <v/>
      </c>
      <c r="I24" s="167" t="n"/>
      <c r="J24" s="167">
        <f>J23*0.7</f>
        <v/>
      </c>
      <c r="L24" s="298" t="n"/>
    </row>
    <row r="25" hidden="1" outlineLevel="1" ht="25.5" customFormat="1" customHeight="1" s="197">
      <c r="A25" s="250" t="n">
        <v>5</v>
      </c>
      <c r="B25" s="199" t="inlineStr">
        <is>
          <t>91.14.02-001</t>
        </is>
      </c>
      <c r="C25" s="245" t="inlineStr">
        <is>
          <t>Автомобили бортовые, грузоподъемность: до 5 т</t>
        </is>
      </c>
      <c r="D25" s="246" t="inlineStr">
        <is>
          <t>маш.час</t>
        </is>
      </c>
      <c r="E25" s="291" t="n">
        <v>3.1325</v>
      </c>
      <c r="F25" s="149" t="n">
        <v>65.70999999999999</v>
      </c>
      <c r="G25" s="144">
        <f>ROUND(E25*F25,2)</f>
        <v/>
      </c>
      <c r="H25" s="249">
        <f>G25/$G$36</f>
        <v/>
      </c>
      <c r="I25" s="144">
        <f>ROUND(F25*Прил.10!$D$11,2)</f>
        <v/>
      </c>
      <c r="J25" s="144">
        <f>ROUND(I25*E25,2)</f>
        <v/>
      </c>
      <c r="L25" s="298" t="n"/>
    </row>
    <row r="26" hidden="1" outlineLevel="1" ht="25.5" customFormat="1" customHeight="1" s="197">
      <c r="A26" s="250" t="n">
        <v>6</v>
      </c>
      <c r="B26" s="199" t="inlineStr">
        <is>
          <t>91.10.01-002</t>
        </is>
      </c>
      <c r="C26" s="245" t="inlineStr">
        <is>
          <t>Агрегаты наполнительно-опрессовочные: до 300 м3/ч</t>
        </is>
      </c>
      <c r="D26" s="246" t="inlineStr">
        <is>
          <t>маш.час</t>
        </is>
      </c>
      <c r="E26" s="291" t="n">
        <v>0.625</v>
      </c>
      <c r="F26" s="149" t="n">
        <v>287.99</v>
      </c>
      <c r="G26" s="144">
        <f>ROUND(E26*F26,2)</f>
        <v/>
      </c>
      <c r="H26" s="249">
        <f>G26/$G$36</f>
        <v/>
      </c>
      <c r="I26" s="144">
        <f>ROUND(F26*Прил.10!$D$11,2)</f>
        <v/>
      </c>
      <c r="J26" s="144">
        <f>ROUND(I26*E26,2)</f>
        <v/>
      </c>
      <c r="L26" s="298" t="n"/>
    </row>
    <row r="27" hidden="1" outlineLevel="1" ht="25.5" customFormat="1" customHeight="1" s="197">
      <c r="A27" s="250" t="n">
        <v>7</v>
      </c>
      <c r="B27" s="199" t="inlineStr">
        <is>
          <t>91.17.04-161</t>
        </is>
      </c>
      <c r="C27" s="245" t="inlineStr">
        <is>
          <t>Полуавтоматы сварочные номинальным сварочным током 40-500 А</t>
        </is>
      </c>
      <c r="D27" s="246" t="inlineStr">
        <is>
          <t>маш.час</t>
        </is>
      </c>
      <c r="E27" s="291" t="n">
        <v>8.375</v>
      </c>
      <c r="F27" s="149" t="n">
        <v>16.44</v>
      </c>
      <c r="G27" s="144">
        <f>ROUND(E27*F27,2)</f>
        <v/>
      </c>
      <c r="H27" s="249">
        <f>G27/$G$36</f>
        <v/>
      </c>
      <c r="I27" s="144">
        <f>ROUND(F27*Прил.10!$D$11,2)</f>
        <v/>
      </c>
      <c r="J27" s="144">
        <f>ROUND(I27*E27,2)</f>
        <v/>
      </c>
      <c r="L27" s="298" t="n"/>
    </row>
    <row r="28" hidden="1" outlineLevel="1" ht="14.25" customFormat="1" customHeight="1" s="197">
      <c r="A28" s="250" t="n">
        <v>8</v>
      </c>
      <c r="B28" s="199" t="inlineStr">
        <is>
          <t>91.21.22-438</t>
        </is>
      </c>
      <c r="C28" s="245" t="inlineStr">
        <is>
          <t>Установка: передвижная цеолитовая</t>
        </is>
      </c>
      <c r="D28" s="246" t="inlineStr">
        <is>
          <t>маш.час</t>
        </is>
      </c>
      <c r="E28" s="291" t="n">
        <v>1.975</v>
      </c>
      <c r="F28" s="149" t="n">
        <v>38.65</v>
      </c>
      <c r="G28" s="144">
        <f>ROUND(E28*F28,2)</f>
        <v/>
      </c>
      <c r="H28" s="249">
        <f>G28/$G$36</f>
        <v/>
      </c>
      <c r="I28" s="144">
        <f>ROUND(F28*Прил.10!$D$11,2)</f>
        <v/>
      </c>
      <c r="J28" s="144">
        <f>ROUND(I28*E28,2)</f>
        <v/>
      </c>
      <c r="L28" s="298" t="n"/>
    </row>
    <row r="29" hidden="1" outlineLevel="1" ht="25.5" customFormat="1" customHeight="1" s="197">
      <c r="A29" s="250" t="n">
        <v>9</v>
      </c>
      <c r="B29" s="199" t="inlineStr">
        <is>
          <t>91.17.04-233</t>
        </is>
      </c>
      <c r="C29" s="245" t="inlineStr">
        <is>
          <t>Установки для сварки: ручной дуговой (постоянного тока)</t>
        </is>
      </c>
      <c r="D29" s="246" t="inlineStr">
        <is>
          <t>маш.час</t>
        </is>
      </c>
      <c r="E29" s="291" t="n">
        <v>6.1625</v>
      </c>
      <c r="F29" s="149" t="n">
        <v>8.1</v>
      </c>
      <c r="G29" s="144">
        <f>ROUND(E29*F29,2)</f>
        <v/>
      </c>
      <c r="H29" s="249">
        <f>G29/$G$36</f>
        <v/>
      </c>
      <c r="I29" s="144">
        <f>ROUND(F29*Прил.10!$D$11,2)</f>
        <v/>
      </c>
      <c r="J29" s="144">
        <f>ROUND(I29*E29,2)</f>
        <v/>
      </c>
      <c r="L29" s="298" t="n"/>
    </row>
    <row r="30" hidden="1" outlineLevel="1" ht="14.25" customFormat="1" customHeight="1" s="197">
      <c r="A30" s="250" t="n">
        <v>10</v>
      </c>
      <c r="B30" s="199" t="inlineStr">
        <is>
          <t>91.19.12-021</t>
        </is>
      </c>
      <c r="C30" s="245" t="inlineStr">
        <is>
          <t>Насос вакуумный: 3,6 м3/мин</t>
        </is>
      </c>
      <c r="D30" s="246" t="inlineStr">
        <is>
          <t>маш.час</t>
        </is>
      </c>
      <c r="E30" s="291" t="n">
        <v>6.525</v>
      </c>
      <c r="F30" s="149" t="n">
        <v>6.28</v>
      </c>
      <c r="G30" s="144">
        <f>ROUND(E30*F30,2)</f>
        <v/>
      </c>
      <c r="H30" s="249">
        <f>G30/$G$36</f>
        <v/>
      </c>
      <c r="I30" s="144">
        <f>ROUND(F30*Прил.10!$D$11,2)</f>
        <v/>
      </c>
      <c r="J30" s="144">
        <f>ROUND(I30*E30,2)</f>
        <v/>
      </c>
      <c r="L30" s="298" t="n"/>
    </row>
    <row r="31" hidden="1" outlineLevel="1" ht="25.5" customFormat="1" customHeight="1" s="197">
      <c r="A31" s="250" t="n">
        <v>11</v>
      </c>
      <c r="B31" s="199" t="inlineStr">
        <is>
          <t>91.21.22-091</t>
        </is>
      </c>
      <c r="C31" s="245" t="inlineStr">
        <is>
          <t>Выпрямитель полупроводниковый для подогрева трансформаторов</t>
        </is>
      </c>
      <c r="D31" s="246" t="inlineStr">
        <is>
          <t>маш.час</t>
        </is>
      </c>
      <c r="E31" s="291" t="n">
        <v>9.425000000000001</v>
      </c>
      <c r="F31" s="149" t="n">
        <v>3.82</v>
      </c>
      <c r="G31" s="144">
        <f>ROUND(E31*F31,2)</f>
        <v/>
      </c>
      <c r="H31" s="249">
        <f>G31/$G$36</f>
        <v/>
      </c>
      <c r="I31" s="144">
        <f>ROUND(F31*Прил.10!$D$11,2)</f>
        <v/>
      </c>
      <c r="J31" s="144">
        <f>ROUND(I31*E31,2)</f>
        <v/>
      </c>
      <c r="L31" s="298" t="n"/>
    </row>
    <row r="32" hidden="1" outlineLevel="1" ht="25.5" customFormat="1" customHeight="1" s="197">
      <c r="A32" s="250" t="n">
        <v>12</v>
      </c>
      <c r="B32" s="199" t="inlineStr">
        <is>
          <t>91.06.06-042</t>
        </is>
      </c>
      <c r="C32" s="245" t="inlineStr">
        <is>
          <t>Подъемники гидравлические высотой подъема: 10 м</t>
        </is>
      </c>
      <c r="D32" s="246" t="inlineStr">
        <is>
          <t>маш.час</t>
        </is>
      </c>
      <c r="E32" s="291" t="n">
        <v>0.5625</v>
      </c>
      <c r="F32" s="149" t="n">
        <v>29.6</v>
      </c>
      <c r="G32" s="144">
        <f>ROUND(E32*F32,2)</f>
        <v/>
      </c>
      <c r="H32" s="249">
        <f>G32/$G$36</f>
        <v/>
      </c>
      <c r="I32" s="144">
        <f>ROUND(F32*Прил.10!$D$11,2)</f>
        <v/>
      </c>
      <c r="J32" s="144">
        <f>ROUND(I32*E32,2)</f>
        <v/>
      </c>
      <c r="L32" s="298" t="n"/>
    </row>
    <row r="33" hidden="1" outlineLevel="1" ht="25.5" customFormat="1" customHeight="1" s="197">
      <c r="A33" s="250" t="n">
        <v>13</v>
      </c>
      <c r="B33" s="199" t="inlineStr">
        <is>
          <t>91.19.02-002</t>
        </is>
      </c>
      <c r="C33" s="245" t="inlineStr">
        <is>
          <t>Маслонасосы шестеренные, производительность м3/час: 2,3</t>
        </is>
      </c>
      <c r="D33" s="246" t="inlineStr">
        <is>
          <t>маш.час</t>
        </is>
      </c>
      <c r="E33" s="291" t="n">
        <v>0.87</v>
      </c>
      <c r="F33" s="149" t="n">
        <v>0.9</v>
      </c>
      <c r="G33" s="144">
        <f>ROUND(E33*F33,2)</f>
        <v/>
      </c>
      <c r="H33" s="249">
        <f>G33/$G$36</f>
        <v/>
      </c>
      <c r="I33" s="144">
        <f>ROUND(F33*Прил.10!$D$11,2)</f>
        <v/>
      </c>
      <c r="J33" s="144">
        <f>ROUND(I33*E33,2)</f>
        <v/>
      </c>
      <c r="L33" s="298" t="n"/>
    </row>
    <row r="34" collapsed="1" ht="14.25" customFormat="1" customHeight="1" s="197">
      <c r="A34" s="250" t="n"/>
      <c r="B34" s="246" t="n"/>
      <c r="C34" s="245" t="inlineStr">
        <is>
          <t>Итого прочие машины и механизмы</t>
        </is>
      </c>
      <c r="D34" s="246" t="n"/>
      <c r="E34" s="247" t="n"/>
      <c r="F34" s="144" t="n"/>
      <c r="G34" s="144">
        <f>SUM(G25:G33)</f>
        <v/>
      </c>
      <c r="H34" s="249">
        <f>G34/G36</f>
        <v/>
      </c>
      <c r="I34" s="144" t="n"/>
      <c r="J34" s="144">
        <f>SUM(J25:J33)</f>
        <v/>
      </c>
      <c r="K34" s="298" t="n"/>
      <c r="L34" s="295" t="n"/>
    </row>
    <row r="35" ht="30" customFormat="1" customHeight="1" s="197">
      <c r="A35" s="250" t="n"/>
      <c r="B35" s="151" t="n"/>
      <c r="C35" s="255" t="inlineStr">
        <is>
          <t>Итого прочие машины и механизмы 
(с коэффициентом на демонтаж 0,7)</t>
        </is>
      </c>
      <c r="D35" s="250" t="n"/>
      <c r="E35" s="256" t="n"/>
      <c r="F35" s="167" t="n"/>
      <c r="G35" s="167">
        <f>G34*0.7</f>
        <v/>
      </c>
      <c r="H35" s="168">
        <f>G35/G37</f>
        <v/>
      </c>
      <c r="I35" s="167" t="n"/>
      <c r="J35" s="167">
        <f>J34*0.7</f>
        <v/>
      </c>
      <c r="K35" s="298" t="n"/>
      <c r="L35" s="295" t="n"/>
    </row>
    <row r="36" ht="25.5" customFormat="1" customHeight="1" s="197">
      <c r="A36" s="250" t="n"/>
      <c r="B36" s="151" t="n"/>
      <c r="C36" s="152" t="inlineStr">
        <is>
          <t>Итого по разделу «Машины и механизмы»</t>
        </is>
      </c>
      <c r="D36" s="151" t="n"/>
      <c r="E36" s="153" t="n"/>
      <c r="F36" s="154" t="n"/>
      <c r="G36" s="154">
        <f>G23+G34</f>
        <v/>
      </c>
      <c r="H36" s="155" t="n">
        <v>1</v>
      </c>
      <c r="I36" s="154" t="n"/>
      <c r="J36" s="154">
        <f>J23+J34</f>
        <v/>
      </c>
    </row>
    <row r="37" ht="42" customFormat="1" customHeight="1" s="197">
      <c r="A37" s="242" t="n"/>
      <c r="B37" s="151" t="n"/>
      <c r="C37" s="234" t="inlineStr">
        <is>
          <t>Итого по разделу «Машины и механизмы»  
(с коэффициентом на демонтаж 0,7)</t>
        </is>
      </c>
      <c r="D37" s="250" t="n"/>
      <c r="E37" s="256" t="n"/>
      <c r="F37" s="167" t="n"/>
      <c r="G37" s="167">
        <f>G24+G35</f>
        <v/>
      </c>
      <c r="H37" s="168" t="n">
        <v>1</v>
      </c>
      <c r="I37" s="167" t="n"/>
      <c r="J37" s="167">
        <f>J24+J35</f>
        <v/>
      </c>
    </row>
    <row r="38" s="202">
      <c r="A38" s="242" t="n"/>
      <c r="B38" s="234" t="inlineStr">
        <is>
          <t xml:space="preserve">Оборудование </t>
        </is>
      </c>
      <c r="C38" s="281" t="n"/>
      <c r="D38" s="281" t="n"/>
      <c r="E38" s="281" t="n"/>
      <c r="F38" s="281" t="n"/>
      <c r="G38" s="281" t="n"/>
      <c r="H38" s="281" t="n"/>
      <c r="I38" s="281" t="n"/>
      <c r="J38" s="282" t="n"/>
      <c r="K38" s="197" t="n"/>
      <c r="L38" s="197" t="n"/>
      <c r="M38" s="197" t="n"/>
      <c r="N38" s="197" t="n"/>
    </row>
    <row r="39" ht="15" customHeight="1" s="202">
      <c r="A39" s="250" t="n"/>
      <c r="B39" s="254" t="inlineStr">
        <is>
          <t>Основное оборудование</t>
        </is>
      </c>
      <c r="K39" s="197" t="n"/>
      <c r="L39" s="197" t="n"/>
      <c r="M39" s="197" t="n"/>
      <c r="N39" s="197" t="n"/>
    </row>
    <row r="40" s="202">
      <c r="A40" s="250" t="n"/>
      <c r="B40" s="250" t="n"/>
      <c r="C40" s="255" t="inlineStr">
        <is>
          <t>Итого основное оборудование</t>
        </is>
      </c>
      <c r="D40" s="250" t="n"/>
      <c r="E40" s="296" t="n"/>
      <c r="F40" s="257" t="n"/>
      <c r="G40" s="167" t="n">
        <v>0</v>
      </c>
      <c r="H40" s="168" t="n">
        <v>0</v>
      </c>
      <c r="I40" s="167" t="n"/>
      <c r="J40" s="167" t="n">
        <v>0</v>
      </c>
      <c r="K40" s="298" t="n"/>
      <c r="L40" s="197" t="n"/>
      <c r="M40" s="197" t="n"/>
      <c r="N40" s="197" t="n"/>
    </row>
    <row r="41" s="202">
      <c r="A41" s="250" t="n"/>
      <c r="B41" s="250" t="n"/>
      <c r="C41" s="255" t="inlineStr">
        <is>
          <t>Итого прочее оборудование</t>
        </is>
      </c>
      <c r="D41" s="250" t="n"/>
      <c r="E41" s="256" t="n"/>
      <c r="F41" s="257" t="n"/>
      <c r="G41" s="167" t="n">
        <v>0</v>
      </c>
      <c r="H41" s="168" t="n">
        <v>0</v>
      </c>
      <c r="I41" s="167" t="n"/>
      <c r="J41" s="167" t="n">
        <v>0</v>
      </c>
      <c r="K41" s="298" t="n"/>
      <c r="L41" s="295" t="n"/>
      <c r="M41" s="197" t="n"/>
      <c r="N41" s="197" t="n"/>
    </row>
    <row r="42" s="202">
      <c r="A42" s="250" t="n"/>
      <c r="B42" s="250" t="n"/>
      <c r="C42" s="234" t="inlineStr">
        <is>
          <t>Итого по разделу «Оборудование»</t>
        </is>
      </c>
      <c r="D42" s="250" t="n"/>
      <c r="E42" s="256" t="n"/>
      <c r="F42" s="257" t="n"/>
      <c r="G42" s="167">
        <f>G41+G40</f>
        <v/>
      </c>
      <c r="H42" s="168" t="n">
        <v>0</v>
      </c>
      <c r="I42" s="167" t="n"/>
      <c r="J42" s="167" t="n">
        <v>0</v>
      </c>
      <c r="K42" s="298" t="n"/>
      <c r="L42" s="197" t="n"/>
      <c r="M42" s="197" t="n"/>
      <c r="N42" s="197" t="n"/>
    </row>
    <row r="43" ht="25.5" customHeight="1" s="202">
      <c r="A43" s="250" t="n"/>
      <c r="B43" s="250" t="n"/>
      <c r="C43" s="255" t="inlineStr">
        <is>
          <t>в том числе технологическое оборудование</t>
        </is>
      </c>
      <c r="D43" s="250" t="n"/>
      <c r="E43" s="256" t="n"/>
      <c r="F43" s="257" t="n"/>
      <c r="G43" s="167">
        <f>G42</f>
        <v/>
      </c>
      <c r="H43" s="168" t="n"/>
      <c r="I43" s="167" t="n"/>
      <c r="J43" s="167">
        <f>ROUND(G43*Прил.10!$D$13,2)</f>
        <v/>
      </c>
      <c r="K43" s="298" t="n"/>
      <c r="L43" s="197" t="n"/>
      <c r="M43" s="197" t="n"/>
      <c r="N43" s="197" t="n"/>
    </row>
    <row r="44" ht="14.25" customFormat="1" customHeight="1" s="197">
      <c r="A44" s="250" t="n"/>
      <c r="B44" s="299" t="inlineStr">
        <is>
          <t>Материалы</t>
        </is>
      </c>
      <c r="J44" s="300" t="n"/>
      <c r="K44" s="298" t="n"/>
    </row>
    <row r="45" ht="14.25" customFormat="1" customHeight="1" s="197">
      <c r="A45" s="250" t="n"/>
      <c r="B45" s="255" t="inlineStr">
        <is>
          <t>Основные материалы</t>
        </is>
      </c>
      <c r="C45" s="281" t="n"/>
      <c r="D45" s="281" t="n"/>
      <c r="E45" s="281" t="n"/>
      <c r="F45" s="281" t="n"/>
      <c r="G45" s="281" t="n"/>
      <c r="H45" s="282" t="n"/>
      <c r="I45" s="168" t="n"/>
      <c r="J45" s="168" t="n"/>
    </row>
    <row r="46" ht="14.25" customFormat="1" customHeight="1" s="197">
      <c r="A46" s="250" t="n"/>
      <c r="B46" s="250" t="n"/>
      <c r="C46" s="255" t="inlineStr">
        <is>
          <t>Итого основные материалы</t>
        </is>
      </c>
      <c r="D46" s="250" t="n"/>
      <c r="E46" s="296" t="n"/>
      <c r="F46" s="257" t="n"/>
      <c r="G46" s="167" t="n">
        <v>0</v>
      </c>
      <c r="H46" s="168" t="n">
        <v>0</v>
      </c>
      <c r="I46" s="167" t="n"/>
      <c r="J46" s="167" t="n">
        <v>0</v>
      </c>
      <c r="K46" s="298" t="n"/>
    </row>
    <row r="47" ht="14.25" customFormat="1" customHeight="1" s="197">
      <c r="A47" s="250" t="n"/>
      <c r="B47" s="250" t="n"/>
      <c r="C47" s="255" t="inlineStr">
        <is>
          <t>Итого прочие материалы</t>
        </is>
      </c>
      <c r="D47" s="250" t="n"/>
      <c r="E47" s="256" t="n"/>
      <c r="F47" s="257" t="n"/>
      <c r="G47" s="167" t="n">
        <v>0</v>
      </c>
      <c r="H47" s="168" t="n">
        <v>0</v>
      </c>
      <c r="I47" s="167" t="n"/>
      <c r="J47" s="167" t="n">
        <v>0</v>
      </c>
      <c r="L47" s="295" t="n"/>
    </row>
    <row r="48" ht="14.25" customFormat="1" customHeight="1" s="197">
      <c r="A48" s="250" t="n"/>
      <c r="B48" s="250" t="n"/>
      <c r="C48" s="234" t="inlineStr">
        <is>
          <t>Итого по разделу «Материалы»</t>
        </is>
      </c>
      <c r="D48" s="250" t="n"/>
      <c r="E48" s="256" t="n"/>
      <c r="F48" s="257" t="n"/>
      <c r="G48" s="167">
        <f>G46+G47</f>
        <v/>
      </c>
      <c r="H48" s="168" t="n">
        <v>0</v>
      </c>
      <c r="I48" s="257" t="n"/>
      <c r="J48" s="167">
        <f>J46+J47</f>
        <v/>
      </c>
      <c r="K48" s="298" t="n"/>
    </row>
    <row r="49" ht="14.25" customFormat="1" customHeight="1" s="197">
      <c r="A49" s="250" t="n"/>
      <c r="B49" s="250" t="n"/>
      <c r="C49" s="255" t="inlineStr">
        <is>
          <t>ИТОГО ПО РМ</t>
        </is>
      </c>
      <c r="D49" s="250" t="n"/>
      <c r="E49" s="256" t="n"/>
      <c r="F49" s="257" t="n"/>
      <c r="G49" s="167">
        <f>G14+G36+G48</f>
        <v/>
      </c>
      <c r="H49" s="168" t="n"/>
      <c r="I49" s="257" t="n"/>
      <c r="J49" s="167">
        <f>J14+J36+J48</f>
        <v/>
      </c>
    </row>
    <row r="50" ht="30" customFormat="1" customHeight="1" s="197">
      <c r="A50" s="250" t="n"/>
      <c r="B50" s="250" t="n"/>
      <c r="C50" s="255" t="inlineStr">
        <is>
          <t>ИТОГО ПО РМ
(с коэффициентом на демонтаж 0,7)</t>
        </is>
      </c>
      <c r="D50" s="250" t="n"/>
      <c r="E50" s="256" t="n"/>
      <c r="F50" s="257" t="n"/>
      <c r="G50" s="167">
        <f>G15+G37</f>
        <v/>
      </c>
      <c r="H50" s="258" t="n"/>
      <c r="I50" s="167" t="n"/>
      <c r="J50" s="167">
        <f>J15+J37</f>
        <v/>
      </c>
    </row>
    <row r="51" ht="14.25" customFormat="1" customHeight="1" s="197">
      <c r="A51" s="250" t="n"/>
      <c r="B51" s="250" t="n"/>
      <c r="C51" s="255" t="inlineStr">
        <is>
          <t>Накладные расходы</t>
        </is>
      </c>
      <c r="D51" s="250" t="inlineStr">
        <is>
          <t>%</t>
        </is>
      </c>
      <c r="E51" s="67" t="n">
        <v>1.16</v>
      </c>
      <c r="F51" s="257" t="n"/>
      <c r="G51" s="167" t="n">
        <v>61078</v>
      </c>
      <c r="H51" s="168" t="n"/>
      <c r="I51" s="257" t="n"/>
      <c r="J51" s="167">
        <f>ROUND(E51*(J14+J17),2)</f>
        <v/>
      </c>
      <c r="K51" s="68" t="n"/>
    </row>
    <row r="52" ht="31.9" customFormat="1" customHeight="1" s="197">
      <c r="A52" s="250" t="n"/>
      <c r="B52" s="250" t="n"/>
      <c r="C52" s="255" t="inlineStr">
        <is>
          <t>Накладные расходы 
(с коэффициентом на демонтаж 0,7)</t>
        </is>
      </c>
      <c r="D52" s="171">
        <f>D51</f>
        <v/>
      </c>
      <c r="E52" s="67" t="n">
        <v>1.16</v>
      </c>
      <c r="F52" s="257" t="n"/>
      <c r="G52" s="167">
        <f>G51*0.7</f>
        <v/>
      </c>
      <c r="H52" s="258" t="n"/>
      <c r="I52" s="167" t="n"/>
      <c r="J52" s="167">
        <f>ROUND(E52*(J15+J18),2)</f>
        <v/>
      </c>
      <c r="K52" s="68" t="n"/>
    </row>
    <row r="53" ht="14.25" customFormat="1" customHeight="1" s="197">
      <c r="A53" s="250" t="n"/>
      <c r="B53" s="250" t="n"/>
      <c r="C53" s="255" t="inlineStr">
        <is>
          <t>Сметная прибыль</t>
        </is>
      </c>
      <c r="D53" s="250" t="inlineStr">
        <is>
          <t>%</t>
        </is>
      </c>
      <c r="E53" s="67" t="n">
        <v>0.92</v>
      </c>
      <c r="F53" s="257" t="n"/>
      <c r="G53" s="167" t="n">
        <v>39701</v>
      </c>
      <c r="H53" s="168" t="n"/>
      <c r="I53" s="257" t="n"/>
      <c r="J53" s="167">
        <f>ROUND(E53*(J14+J17),2)</f>
        <v/>
      </c>
      <c r="K53" s="68" t="n"/>
    </row>
    <row r="54" ht="30.6" customFormat="1" customHeight="1" s="197">
      <c r="A54" s="250" t="n"/>
      <c r="B54" s="250" t="n"/>
      <c r="C54" s="255" t="inlineStr">
        <is>
          <t>Сметная прибыль 
(с коэффициентом на демонтаж 0,7)</t>
        </is>
      </c>
      <c r="D54" s="171">
        <f>D53</f>
        <v/>
      </c>
      <c r="E54" s="67" t="n">
        <v>0.92</v>
      </c>
      <c r="F54" s="257" t="n"/>
      <c r="G54" s="167">
        <f>G53*0.7</f>
        <v/>
      </c>
      <c r="H54" s="258" t="n"/>
      <c r="I54" s="167" t="n"/>
      <c r="J54" s="167">
        <f>ROUND(E54*(J15+J18),2)</f>
        <v/>
      </c>
      <c r="K54" s="68" t="n"/>
    </row>
    <row r="55" ht="31.9" customFormat="1" customHeight="1" s="197">
      <c r="A55" s="250" t="n"/>
      <c r="B55" s="250" t="n"/>
      <c r="C55" s="255" t="inlineStr">
        <is>
          <t>Итого СМР (с НР и СП) 
(с коэффициентом на демонтаж 0,7)</t>
        </is>
      </c>
      <c r="D55" s="250" t="n"/>
      <c r="E55" s="256" t="n"/>
      <c r="F55" s="257" t="n"/>
      <c r="G55" s="167">
        <f>G50+G52+G54</f>
        <v/>
      </c>
      <c r="H55" s="168" t="n"/>
      <c r="I55" s="257" t="n"/>
      <c r="J55" s="167">
        <f>J50+J52+J54</f>
        <v/>
      </c>
      <c r="L55" s="69" t="n"/>
    </row>
    <row r="56" ht="28.15" customFormat="1" customHeight="1" s="197">
      <c r="A56" s="250" t="n"/>
      <c r="B56" s="250" t="n"/>
      <c r="C56" s="255" t="inlineStr">
        <is>
          <t>ВСЕГО СМР + ОБОРУДОВАНИЕ 
(с коэффициентом на демонтаж 0,7)</t>
        </is>
      </c>
      <c r="D56" s="250" t="n"/>
      <c r="E56" s="256" t="n"/>
      <c r="F56" s="257" t="n"/>
      <c r="G56" s="167">
        <f>G55</f>
        <v/>
      </c>
      <c r="H56" s="168" t="n"/>
      <c r="I56" s="257" t="n"/>
      <c r="J56" s="167">
        <f>J55</f>
        <v/>
      </c>
      <c r="L56" s="68" t="n"/>
    </row>
    <row r="57" ht="14.25" customFormat="1" customHeight="1" s="197">
      <c r="A57" s="250" t="n"/>
      <c r="B57" s="250" t="n"/>
      <c r="C57" s="255" t="inlineStr">
        <is>
          <t>ИТОГО ПОКАЗАТЕЛЬ НА ЕД. ИЗМ.</t>
        </is>
      </c>
      <c r="D57" s="250" t="inlineStr">
        <is>
          <t>ячейка</t>
        </is>
      </c>
      <c r="E57" s="296" t="n">
        <v>1</v>
      </c>
      <c r="F57" s="257" t="n"/>
      <c r="G57" s="167">
        <f>G56/E57</f>
        <v/>
      </c>
      <c r="H57" s="168" t="n"/>
      <c r="I57" s="257" t="n"/>
      <c r="J57" s="167">
        <f>J56/E57</f>
        <v/>
      </c>
      <c r="L57" s="295" t="n"/>
    </row>
    <row r="59" ht="14.25" customFormat="1" customHeight="1" s="197">
      <c r="A59" s="195" t="n"/>
    </row>
    <row r="60" ht="14.25" customFormat="1" customHeight="1" s="197">
      <c r="A60" s="191" t="inlineStr">
        <is>
          <t>Составил ______________________        А.Р. Маркова</t>
        </is>
      </c>
      <c r="B60" s="197" t="n"/>
    </row>
    <row r="61" ht="14.25" customFormat="1" customHeight="1" s="197">
      <c r="A61" s="198" t="inlineStr">
        <is>
          <t xml:space="preserve">                         (подпись, инициалы, фамилия)</t>
        </is>
      </c>
      <c r="B61" s="197" t="n"/>
    </row>
    <row r="62" ht="14.25" customFormat="1" customHeight="1" s="197">
      <c r="A62" s="191" t="n"/>
      <c r="B62" s="197" t="n"/>
    </row>
    <row r="63" ht="14.25" customFormat="1" customHeight="1" s="197">
      <c r="A63" s="191" t="inlineStr">
        <is>
          <t>Проверил ______________________        А.В. Костянецкая</t>
        </is>
      </c>
      <c r="B63" s="197" t="n"/>
    </row>
    <row r="64" ht="14.25" customFormat="1" customHeight="1" s="197">
      <c r="A64" s="198" t="inlineStr">
        <is>
          <t xml:space="preserve">                        (подпись, инициалы, фамилия)</t>
        </is>
      </c>
      <c r="B64" s="197" t="n"/>
    </row>
  </sheetData>
  <mergeCells count="20">
    <mergeCell ref="H9:H10"/>
    <mergeCell ref="B20:H20"/>
    <mergeCell ref="B44:J44"/>
    <mergeCell ref="B38:J38"/>
    <mergeCell ref="B45:H45"/>
    <mergeCell ref="C9:C10"/>
    <mergeCell ref="E9:E10"/>
    <mergeCell ref="A7:H7"/>
    <mergeCell ref="B16:H16"/>
    <mergeCell ref="B9:B10"/>
    <mergeCell ref="D9:D10"/>
    <mergeCell ref="B12:H12"/>
    <mergeCell ref="D6:J6"/>
    <mergeCell ref="F9:G9"/>
    <mergeCell ref="A4:H4"/>
    <mergeCell ref="A9:A10"/>
    <mergeCell ref="A6:C6"/>
    <mergeCell ref="B19:H19"/>
    <mergeCell ref="I9:J9"/>
    <mergeCell ref="B39:J3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 fitToPage="1"/>
  </sheetPr>
  <dimension ref="A1:G19"/>
  <sheetViews>
    <sheetView view="pageBreakPreview" workbookViewId="0">
      <selection activeCell="B15" sqref="B15"/>
    </sheetView>
  </sheetViews>
  <sheetFormatPr baseColWidth="8" defaultRowHeight="15"/>
  <cols>
    <col width="5.7109375" customWidth="1" style="202" min="1" max="1"/>
    <col width="14.85546875" customWidth="1" style="202" min="2" max="2"/>
    <col width="39.140625" customWidth="1" style="202" min="3" max="3"/>
    <col width="8.28515625" customWidth="1" style="202" min="4" max="4"/>
    <col width="13.5703125" customWidth="1" style="202" min="5" max="5"/>
    <col width="12.42578125" customWidth="1" style="202" min="6" max="6"/>
    <col width="14.140625" customWidth="1" style="202" min="7" max="7"/>
  </cols>
  <sheetData>
    <row r="1">
      <c r="A1" s="267" t="inlineStr">
        <is>
          <t>Приложение №6</t>
        </is>
      </c>
    </row>
    <row r="2" ht="21.75" customHeight="1" s="202">
      <c r="A2" s="267" t="n"/>
      <c r="B2" s="267" t="n"/>
      <c r="C2" s="267" t="n"/>
      <c r="D2" s="267" t="n"/>
      <c r="E2" s="267" t="n"/>
      <c r="F2" s="267" t="n"/>
      <c r="G2" s="267" t="n"/>
    </row>
    <row r="3">
      <c r="A3" s="239" t="inlineStr">
        <is>
          <t>Расчет стоимости оборудования</t>
        </is>
      </c>
    </row>
    <row r="4" ht="25.5" customHeight="1" s="202">
      <c r="A4" s="266">
        <f>'Прил.1 Сравнит табл'!B7</f>
        <v/>
      </c>
    </row>
    <row r="5">
      <c r="A5" s="191" t="n"/>
      <c r="B5" s="191" t="n"/>
      <c r="C5" s="191" t="n"/>
      <c r="D5" s="191" t="n"/>
      <c r="E5" s="191" t="n"/>
      <c r="F5" s="191" t="n"/>
      <c r="G5" s="191" t="n"/>
    </row>
    <row r="6" ht="30" customHeight="1" s="202">
      <c r="A6" s="268" t="inlineStr">
        <is>
          <t>№ пп.</t>
        </is>
      </c>
      <c r="B6" s="268" t="inlineStr">
        <is>
          <t>Код ресурса</t>
        </is>
      </c>
      <c r="C6" s="268" t="inlineStr">
        <is>
          <t>Наименование</t>
        </is>
      </c>
      <c r="D6" s="268" t="inlineStr">
        <is>
          <t>Ед. изм.</t>
        </is>
      </c>
      <c r="E6" s="250" t="inlineStr">
        <is>
          <t>Кол-во единиц по проектным данным</t>
        </is>
      </c>
      <c r="F6" s="268" t="inlineStr">
        <is>
          <t>Сметная стоимость в ценах на 01.01.2000 (руб.)</t>
        </is>
      </c>
      <c r="G6" s="282" t="n"/>
    </row>
    <row r="7">
      <c r="A7" s="284" t="n"/>
      <c r="B7" s="284" t="n"/>
      <c r="C7" s="284" t="n"/>
      <c r="D7" s="284" t="n"/>
      <c r="E7" s="284" t="n"/>
      <c r="F7" s="250" t="inlineStr">
        <is>
          <t>на ед. изм.</t>
        </is>
      </c>
      <c r="G7" s="250" t="inlineStr">
        <is>
          <t>общая</t>
        </is>
      </c>
    </row>
    <row r="8">
      <c r="A8" s="250" t="n">
        <v>1</v>
      </c>
      <c r="B8" s="250" t="n">
        <v>2</v>
      </c>
      <c r="C8" s="250" t="n">
        <v>3</v>
      </c>
      <c r="D8" s="250" t="n">
        <v>4</v>
      </c>
      <c r="E8" s="250" t="n">
        <v>5</v>
      </c>
      <c r="F8" s="250" t="n">
        <v>6</v>
      </c>
      <c r="G8" s="250" t="n">
        <v>7</v>
      </c>
    </row>
    <row r="9" ht="15" customHeight="1" s="202">
      <c r="A9" s="36" t="n"/>
      <c r="B9" s="255" t="inlineStr">
        <is>
          <t>ИНЖЕНЕРНОЕ ОБОРУДОВАНИЕ</t>
        </is>
      </c>
      <c r="C9" s="281" t="n"/>
      <c r="D9" s="281" t="n"/>
      <c r="E9" s="281" t="n"/>
      <c r="F9" s="281" t="n"/>
      <c r="G9" s="282" t="n"/>
    </row>
    <row r="10" ht="27" customHeight="1" s="202">
      <c r="A10" s="250" t="n"/>
      <c r="B10" s="234" t="n"/>
      <c r="C10" s="255" t="inlineStr">
        <is>
          <t>ИТОГО ИНЖЕНЕРНОЕ ОБОРУДОВАНИЕ</t>
        </is>
      </c>
      <c r="D10" s="234" t="n"/>
      <c r="E10" s="9" t="n"/>
      <c r="F10" s="257" t="n"/>
      <c r="G10" s="257" t="n">
        <v>0</v>
      </c>
    </row>
    <row r="11">
      <c r="A11" s="250" t="n"/>
      <c r="B11" s="255" t="inlineStr">
        <is>
          <t>ТЕХНОЛОГИЧЕСКОЕ ОБОРУДОВАНИЕ</t>
        </is>
      </c>
      <c r="C11" s="281" t="n"/>
      <c r="D11" s="281" t="n"/>
      <c r="E11" s="281" t="n"/>
      <c r="F11" s="281" t="n"/>
      <c r="G11" s="282" t="n"/>
    </row>
    <row r="12" ht="25.5" customHeight="1" s="202">
      <c r="A12" s="250" t="n"/>
      <c r="B12" s="13" t="n"/>
      <c r="C12" s="13" t="inlineStr">
        <is>
          <t>ИТОГО ТЕХНОЛОГИЧЕСКОЕ ОБОРУДОВАНИЕ</t>
        </is>
      </c>
      <c r="D12" s="13" t="n"/>
      <c r="E12" s="14" t="n"/>
      <c r="F12" s="257" t="n"/>
      <c r="G12" s="167" t="n">
        <v>0</v>
      </c>
    </row>
    <row r="13" ht="19.5" customHeight="1" s="202">
      <c r="A13" s="250" t="n"/>
      <c r="B13" s="255" t="n"/>
      <c r="C13" s="255" t="inlineStr">
        <is>
          <t>Всего по разделу «Оборудование»</t>
        </is>
      </c>
      <c r="D13" s="255" t="n"/>
      <c r="E13" s="265" t="n"/>
      <c r="F13" s="257" t="n"/>
      <c r="G13" s="167" t="n">
        <v>0</v>
      </c>
    </row>
    <row r="14">
      <c r="A14" s="195" t="n"/>
      <c r="B14" s="196" t="n"/>
      <c r="C14" s="195" t="n"/>
      <c r="D14" s="195" t="n"/>
      <c r="E14" s="195" t="n"/>
      <c r="F14" s="195" t="n"/>
      <c r="G14" s="195" t="n"/>
    </row>
    <row r="15" s="202">
      <c r="A15" s="191" t="inlineStr">
        <is>
          <t>Составил ______________________        А.Р. Маркова</t>
        </is>
      </c>
      <c r="B15" s="197" t="n"/>
      <c r="C15" s="197" t="n"/>
      <c r="D15" s="195" t="n"/>
      <c r="E15" s="195" t="n"/>
      <c r="F15" s="195" t="n"/>
      <c r="G15" s="195" t="n"/>
    </row>
    <row r="16" s="202">
      <c r="A16" s="198" t="inlineStr">
        <is>
          <t xml:space="preserve">                         (подпись, инициалы, фамилия)</t>
        </is>
      </c>
      <c r="B16" s="197" t="n"/>
      <c r="C16" s="197" t="n"/>
      <c r="D16" s="195" t="n"/>
      <c r="E16" s="195" t="n"/>
      <c r="F16" s="195" t="n"/>
      <c r="G16" s="195" t="n"/>
    </row>
    <row r="17" s="202">
      <c r="A17" s="191" t="n"/>
      <c r="B17" s="197" t="n"/>
      <c r="C17" s="197" t="n"/>
      <c r="D17" s="195" t="n"/>
      <c r="E17" s="195" t="n"/>
      <c r="F17" s="195" t="n"/>
      <c r="G17" s="195" t="n"/>
    </row>
    <row r="18" s="202">
      <c r="A18" s="191" t="inlineStr">
        <is>
          <t>Проверил ______________________        А.В. Костянецкая</t>
        </is>
      </c>
      <c r="B18" s="197" t="n"/>
      <c r="C18" s="197" t="n"/>
      <c r="D18" s="195" t="n"/>
      <c r="E18" s="195" t="n"/>
      <c r="F18" s="195" t="n"/>
      <c r="G18" s="195" t="n"/>
    </row>
    <row r="19" s="202">
      <c r="A19" s="198" t="inlineStr">
        <is>
          <t xml:space="preserve">                        (подпись, инициалы, фамилия)</t>
        </is>
      </c>
      <c r="B19" s="197" t="n"/>
      <c r="C19" s="197" t="n"/>
      <c r="D19" s="195" t="n"/>
      <c r="E19" s="195" t="n"/>
      <c r="F19" s="195" t="n"/>
      <c r="G19" s="19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E17"/>
  <sheetViews>
    <sheetView view="pageBreakPreview" workbookViewId="0">
      <selection activeCell="D15" sqref="D15"/>
    </sheetView>
  </sheetViews>
  <sheetFormatPr baseColWidth="8" defaultColWidth="8.85546875" defaultRowHeight="15"/>
  <cols>
    <col width="14.42578125" customWidth="1" style="202" min="1" max="1"/>
    <col width="29.7109375" customWidth="1" style="202" min="2" max="2"/>
    <col width="39.140625" customWidth="1" style="202" min="3" max="3"/>
    <col width="24.5703125" customWidth="1" style="202" min="4" max="4"/>
    <col width="8.85546875" customWidth="1" style="202" min="5" max="5"/>
  </cols>
  <sheetData>
    <row r="1">
      <c r="B1" s="191" t="n"/>
      <c r="C1" s="191" t="n"/>
      <c r="D1" s="267" t="inlineStr">
        <is>
          <t>Приложение №7</t>
        </is>
      </c>
    </row>
    <row r="2">
      <c r="A2" s="267" t="n"/>
      <c r="B2" s="267" t="n"/>
      <c r="C2" s="267" t="n"/>
      <c r="D2" s="267" t="n"/>
    </row>
    <row r="3" ht="24.75" customHeight="1" s="202">
      <c r="A3" s="239" t="inlineStr">
        <is>
          <t>Расчет показателя УНЦ</t>
        </is>
      </c>
    </row>
    <row r="4" ht="24.75" customHeight="1" s="202">
      <c r="A4" s="239" t="n"/>
      <c r="B4" s="239" t="n"/>
      <c r="C4" s="239" t="n"/>
      <c r="D4" s="239" t="n"/>
    </row>
    <row r="5" ht="24.6" customHeight="1" s="202">
      <c r="A5" s="244" t="inlineStr">
        <is>
          <t xml:space="preserve">Наименование разрабатываемого показателя УНЦ - </t>
        </is>
      </c>
      <c r="D5" s="244">
        <f>'Прил.5 Расчет СМР и ОБ'!D6:J6</f>
        <v/>
      </c>
    </row>
    <row r="6" ht="19.9" customHeight="1" s="202">
      <c r="A6" s="244" t="inlineStr">
        <is>
          <t>Единица измерения  — 1 ячейка</t>
        </is>
      </c>
      <c r="D6" s="244" t="n"/>
    </row>
    <row r="7">
      <c r="A7" s="191" t="n"/>
      <c r="B7" s="191" t="n"/>
      <c r="C7" s="191" t="n"/>
      <c r="D7" s="191" t="n"/>
    </row>
    <row r="8" ht="14.45" customHeight="1" s="202">
      <c r="A8" s="232" t="inlineStr">
        <is>
          <t>Код показателя</t>
        </is>
      </c>
      <c r="B8" s="232" t="inlineStr">
        <is>
          <t>Наименование показателя</t>
        </is>
      </c>
      <c r="C8" s="232" t="inlineStr">
        <is>
          <t>Наименование РМ, входящих в состав показателя</t>
        </is>
      </c>
      <c r="D8" s="232" t="inlineStr">
        <is>
          <t>Норматив цены на 01.01.2023, тыс.руб.</t>
        </is>
      </c>
    </row>
    <row r="9" ht="15" customHeight="1" s="202">
      <c r="A9" s="284" t="n"/>
      <c r="B9" s="284" t="n"/>
      <c r="C9" s="284" t="n"/>
      <c r="D9" s="284" t="n"/>
    </row>
    <row r="10">
      <c r="A10" s="250" t="n">
        <v>1</v>
      </c>
      <c r="B10" s="250" t="n">
        <v>2</v>
      </c>
      <c r="C10" s="250" t="n">
        <v>3</v>
      </c>
      <c r="D10" s="250" t="n">
        <v>4</v>
      </c>
    </row>
    <row r="11" ht="41.45" customHeight="1" s="202">
      <c r="A11" s="250" t="inlineStr">
        <is>
          <t>М6-02-2</t>
        </is>
      </c>
      <c r="B11" s="250" t="inlineStr">
        <is>
          <t>УНЦ на демонтажные работы ПС</t>
        </is>
      </c>
      <c r="C11" s="193">
        <f>D5</f>
        <v/>
      </c>
      <c r="D11" s="194">
        <f>'Прил.4 РМ'!C41/1000</f>
        <v/>
      </c>
      <c r="E11" s="21" t="n"/>
    </row>
    <row r="12">
      <c r="A12" s="195" t="n"/>
      <c r="B12" s="196" t="n"/>
      <c r="C12" s="195" t="n"/>
      <c r="D12" s="195" t="n"/>
    </row>
    <row r="13">
      <c r="A13" s="191" t="inlineStr">
        <is>
          <t>Составил ______________________        А.Р. Маркова</t>
        </is>
      </c>
      <c r="B13" s="197" t="n"/>
      <c r="C13" s="197" t="n"/>
      <c r="D13" s="195" t="n"/>
    </row>
    <row r="14">
      <c r="A14" s="198" t="inlineStr">
        <is>
          <t xml:space="preserve">                         (подпись, инициалы, фамилия)</t>
        </is>
      </c>
      <c r="B14" s="197" t="n"/>
      <c r="C14" s="197" t="n"/>
      <c r="D14" s="195" t="n"/>
    </row>
    <row r="15">
      <c r="A15" s="191" t="n"/>
      <c r="B15" s="197" t="n"/>
      <c r="C15" s="197" t="n"/>
      <c r="D15" s="195" t="n"/>
    </row>
    <row r="16">
      <c r="A16" s="191" t="inlineStr">
        <is>
          <t>Проверил ______________________        А.В. Костянецкая</t>
        </is>
      </c>
      <c r="B16" s="197" t="n"/>
      <c r="C16" s="197" t="n"/>
      <c r="D16" s="195" t="n"/>
    </row>
    <row r="17">
      <c r="A17" s="198" t="inlineStr">
        <is>
          <t xml:space="preserve">                        (подпись, инициалы, фамилия)</t>
        </is>
      </c>
      <c r="B17" s="197" t="n"/>
      <c r="C17" s="197" t="n"/>
      <c r="D17" s="195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1" cellComments="atEnd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D25"/>
  <sheetViews>
    <sheetView view="pageBreakPreview" topLeftCell="A13" zoomScale="60" zoomScaleNormal="100" workbookViewId="0">
      <selection activeCell="D23" sqref="D23"/>
    </sheetView>
  </sheetViews>
  <sheetFormatPr baseColWidth="8" defaultRowHeight="15"/>
  <cols>
    <col width="40.7109375" customWidth="1" style="202" min="2" max="2"/>
    <col width="37" customWidth="1" style="202" min="3" max="3"/>
    <col width="32" customWidth="1" style="202" min="4" max="4"/>
  </cols>
  <sheetData>
    <row r="4" ht="15.75" customHeight="1" s="202">
      <c r="B4" s="223" t="inlineStr">
        <is>
          <t>Приложение № 10</t>
        </is>
      </c>
    </row>
    <row r="5" ht="18.75" customHeight="1" s="202">
      <c r="B5" s="22" t="n"/>
    </row>
    <row r="6" ht="15.75" customHeight="1" s="202">
      <c r="B6" s="226" t="inlineStr">
        <is>
          <t>Используемые индексы изменений сметной стоимости и нормы сопутствующих затрат</t>
        </is>
      </c>
    </row>
    <row r="7" ht="18.75" customHeight="1" s="202">
      <c r="B7" s="109" t="n"/>
    </row>
    <row r="8" ht="47.25" customHeight="1" s="202">
      <c r="B8" s="232" t="inlineStr">
        <is>
          <t>Наименование индекса / норм сопутствующих затрат</t>
        </is>
      </c>
      <c r="C8" s="232" t="inlineStr">
        <is>
          <t>Дата применения и обоснование индекса / норм сопутствующих затрат</t>
        </is>
      </c>
      <c r="D8" s="232" t="inlineStr">
        <is>
          <t>Размер индекса / норма сопутствующих затрат</t>
        </is>
      </c>
    </row>
    <row r="9" ht="15.75" customHeight="1" s="202">
      <c r="B9" s="232" t="n">
        <v>1</v>
      </c>
      <c r="C9" s="232" t="n">
        <v>2</v>
      </c>
      <c r="D9" s="232" t="n">
        <v>3</v>
      </c>
    </row>
    <row r="10" ht="45" customHeight="1" s="202">
      <c r="B10" s="232" t="inlineStr">
        <is>
          <t xml:space="preserve">Индекс изменения сметной стоимости на 1 квартал 2023 года. ОЗП </t>
        </is>
      </c>
      <c r="C10" s="232" t="inlineStr">
        <is>
          <t>Письмо Минстроя России от 30.03.2023г. №17106-ИФ/09  прил.1</t>
        </is>
      </c>
      <c r="D10" s="232" t="n">
        <v>44.29</v>
      </c>
    </row>
    <row r="11" ht="29.25" customHeight="1" s="202">
      <c r="B11" s="232" t="inlineStr">
        <is>
          <t>Индекс изменения сметной стоимости на 1 квартал 2023 года. ЭМ</t>
        </is>
      </c>
      <c r="C11" s="232" t="inlineStr">
        <is>
          <t>Письмо Минстроя России от 30.03.2023г. №17106-ИФ/09  прил.1</t>
        </is>
      </c>
      <c r="D11" s="232" t="n">
        <v>13.47</v>
      </c>
    </row>
    <row r="12" ht="29.25" customHeight="1" s="202">
      <c r="B12" s="232" t="inlineStr">
        <is>
          <t>Индекс изменения сметной стоимости на 1 квартал 2023 года. МАТ</t>
        </is>
      </c>
      <c r="C12" s="232" t="inlineStr">
        <is>
          <t>Письмо Минстроя России от 30.03.2023г. №17106-ИФ/09  прил.1</t>
        </is>
      </c>
      <c r="D12" s="232" t="n">
        <v>8.039999999999999</v>
      </c>
    </row>
    <row r="13" ht="30.75" customHeight="1" s="202">
      <c r="B13" s="232" t="inlineStr">
        <is>
          <t>Индекс изменения сметной стоимости на 1 квартал 2023 года. ОБ</t>
        </is>
      </c>
      <c r="C13" s="113" t="inlineStr">
        <is>
          <t>Письмо Минстроя России от 23.02.2023г. №9791-ИФ/09 прил.6</t>
        </is>
      </c>
      <c r="D13" s="232" t="n">
        <v>6.26</v>
      </c>
    </row>
    <row r="14" ht="89.25" customHeight="1" s="202">
      <c r="B14" s="232" t="inlineStr">
        <is>
          <t>Временные здания и сооружения</t>
        </is>
      </c>
      <c r="C14" s="23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32" t="n">
        <v>0.039</v>
      </c>
    </row>
    <row r="15" ht="78.75" customHeight="1" s="202">
      <c r="B15" s="232" t="inlineStr">
        <is>
          <t>Дополнительные затраты при производстве строительно-монтажных работ в зимнее время</t>
        </is>
      </c>
      <c r="C15" s="23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32" t="n">
        <v>0.021</v>
      </c>
    </row>
    <row r="16" ht="34.5" customHeight="1" s="202">
      <c r="B16" s="232" t="n"/>
      <c r="C16" s="232" t="n"/>
      <c r="D16" s="232" t="n"/>
    </row>
    <row r="17" ht="31.5" customHeight="1" s="202">
      <c r="B17" s="232" t="inlineStr">
        <is>
          <t>Строительный контроль</t>
        </is>
      </c>
      <c r="C17" s="232" t="inlineStr">
        <is>
          <t>Постановление Правительства РФ от 21.06.10 г. № 468</t>
        </is>
      </c>
      <c r="D17" s="32" t="n">
        <v>0.0214</v>
      </c>
    </row>
    <row r="18" ht="31.5" customHeight="1" s="202">
      <c r="B18" s="232" t="inlineStr">
        <is>
          <t>Авторский надзор - 0,2%</t>
        </is>
      </c>
      <c r="C18" s="232" t="inlineStr">
        <is>
          <t>Приказ от 4.08.2020 № 421/пр п.173</t>
        </is>
      </c>
      <c r="D18" s="32" t="n">
        <v>0.002</v>
      </c>
    </row>
    <row r="19" ht="24" customHeight="1" s="202">
      <c r="B19" s="232" t="inlineStr">
        <is>
          <t>Непредвиденные расходы</t>
        </is>
      </c>
      <c r="C19" s="232" t="inlineStr">
        <is>
          <t>Приказ от 4.08.2020 № 421/пр п.179</t>
        </is>
      </c>
      <c r="D19" s="32" t="n">
        <v>0.03</v>
      </c>
    </row>
    <row r="20" ht="18.75" customHeight="1" s="202">
      <c r="B20" s="109" t="n"/>
    </row>
    <row r="21">
      <c r="B21" s="191" t="inlineStr">
        <is>
          <t>Составил ______________________        А.Р. Маркова</t>
        </is>
      </c>
      <c r="C21" s="197" t="n"/>
    </row>
    <row r="22">
      <c r="B22" s="198" t="inlineStr">
        <is>
          <t xml:space="preserve">                         (подпись, инициалы, фамилия)</t>
        </is>
      </c>
      <c r="C22" s="197" t="n"/>
    </row>
    <row r="23">
      <c r="B23" s="191" t="n"/>
      <c r="C23" s="197" t="n"/>
    </row>
    <row r="24">
      <c r="B24" s="191" t="inlineStr">
        <is>
          <t>Проверил ______________________        А.В. Костянецкая</t>
        </is>
      </c>
      <c r="C24" s="197" t="n"/>
    </row>
    <row r="25">
      <c r="B25" s="198" t="inlineStr">
        <is>
          <t xml:space="preserve">                        (подпись, инициалы, фамилия)</t>
        </is>
      </c>
      <c r="C25" s="197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 codeName="Лист10">
    <outlinePr summaryBelow="1" summaryRight="1"/>
    <pageSetUpPr fitToPage="1"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02" min="2" max="2"/>
    <col width="13" customWidth="1" style="202" min="3" max="3"/>
    <col width="22.85546875" customWidth="1" style="202" min="4" max="4"/>
    <col width="21.5703125" customWidth="1" style="202" min="5" max="5"/>
    <col width="53.7109375" bestFit="1" customWidth="1" style="202" min="6" max="6"/>
  </cols>
  <sheetData>
    <row r="1" s="202"/>
    <row r="2" ht="17.25" customHeight="1" s="202">
      <c r="A2" s="226" t="inlineStr">
        <is>
          <t>Расчет размера средств на оплату труда рабочих-строителей в текущем уровне цен (ФОТр.тек.)</t>
        </is>
      </c>
    </row>
    <row r="3" s="202"/>
    <row r="4" ht="18" customHeight="1" s="202">
      <c r="A4" s="203" t="inlineStr">
        <is>
          <t>Составлен в уровне цен на 01.01.2023 г.</t>
        </is>
      </c>
      <c r="B4" s="204" t="n"/>
      <c r="C4" s="204" t="n"/>
      <c r="D4" s="204" t="n"/>
      <c r="E4" s="204" t="n"/>
      <c r="F4" s="204" t="n"/>
      <c r="G4" s="204" t="n"/>
    </row>
    <row r="5" ht="15.75" customHeight="1" s="202">
      <c r="A5" s="205" t="inlineStr">
        <is>
          <t>№ пп.</t>
        </is>
      </c>
      <c r="B5" s="205" t="inlineStr">
        <is>
          <t>Наименование элемента</t>
        </is>
      </c>
      <c r="C5" s="205" t="inlineStr">
        <is>
          <t>Обозначение</t>
        </is>
      </c>
      <c r="D5" s="205" t="inlineStr">
        <is>
          <t>Формула</t>
        </is>
      </c>
      <c r="E5" s="205" t="inlineStr">
        <is>
          <t>Величина элемента</t>
        </is>
      </c>
      <c r="F5" s="205" t="inlineStr">
        <is>
          <t>Наименования обосновывающих документов</t>
        </is>
      </c>
      <c r="G5" s="204" t="n"/>
    </row>
    <row r="6" ht="15.75" customHeight="1" s="202">
      <c r="A6" s="205" t="n">
        <v>1</v>
      </c>
      <c r="B6" s="205" t="n">
        <v>2</v>
      </c>
      <c r="C6" s="205" t="n">
        <v>3</v>
      </c>
      <c r="D6" s="205" t="n">
        <v>4</v>
      </c>
      <c r="E6" s="205" t="n">
        <v>5</v>
      </c>
      <c r="F6" s="205" t="n">
        <v>6</v>
      </c>
      <c r="G6" s="204" t="n"/>
    </row>
    <row r="7" ht="110.25" customHeight="1" s="202">
      <c r="A7" s="206" t="inlineStr">
        <is>
          <t>1.1</t>
        </is>
      </c>
      <c r="B7" s="2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2" t="inlineStr">
        <is>
          <t>С1ср</t>
        </is>
      </c>
      <c r="D7" s="232" t="inlineStr">
        <is>
          <t>-</t>
        </is>
      </c>
      <c r="E7" s="209" t="n">
        <v>47872.94</v>
      </c>
      <c r="F7" s="2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04" t="n"/>
    </row>
    <row r="8" ht="31.5" customHeight="1" s="202">
      <c r="A8" s="206" t="inlineStr">
        <is>
          <t>1.2</t>
        </is>
      </c>
      <c r="B8" s="211" t="inlineStr">
        <is>
          <t>Среднегодовое нормативное число часов работы одного рабочего в месяц, часы (ч.)</t>
        </is>
      </c>
      <c r="C8" s="232" t="inlineStr">
        <is>
          <t>tср</t>
        </is>
      </c>
      <c r="D8" s="232" t="inlineStr">
        <is>
          <t>1973ч/12мес.</t>
        </is>
      </c>
      <c r="E8" s="210">
        <f>1973/12</f>
        <v/>
      </c>
      <c r="F8" s="211" t="inlineStr">
        <is>
          <t>Производственный календарь 2023 год
(40-часов.неделя)</t>
        </is>
      </c>
      <c r="G8" s="213" t="n"/>
    </row>
    <row r="9" ht="15.75" customHeight="1" s="202">
      <c r="A9" s="206" t="inlineStr">
        <is>
          <t>1.3</t>
        </is>
      </c>
      <c r="B9" s="211" t="inlineStr">
        <is>
          <t>Коэффициент увеличения</t>
        </is>
      </c>
      <c r="C9" s="232" t="inlineStr">
        <is>
          <t>Кув</t>
        </is>
      </c>
      <c r="D9" s="232" t="inlineStr">
        <is>
          <t>-</t>
        </is>
      </c>
      <c r="E9" s="210" t="n">
        <v>1</v>
      </c>
      <c r="F9" s="211" t="n"/>
      <c r="G9" s="213" t="n"/>
    </row>
    <row r="10" ht="15.75" customHeight="1" s="202">
      <c r="A10" s="206" t="inlineStr">
        <is>
          <t>1.4</t>
        </is>
      </c>
      <c r="B10" s="211" t="inlineStr">
        <is>
          <t>Средний разряд работ</t>
        </is>
      </c>
      <c r="C10" s="232" t="n"/>
      <c r="D10" s="232" t="n"/>
      <c r="E10" s="301" t="n">
        <v>4</v>
      </c>
      <c r="F10" s="211" t="inlineStr">
        <is>
          <t>РТМ</t>
        </is>
      </c>
      <c r="G10" s="213" t="n"/>
    </row>
    <row r="11" ht="78.75" customHeight="1" s="202">
      <c r="A11" s="206" t="inlineStr">
        <is>
          <t>1.5</t>
        </is>
      </c>
      <c r="B11" s="211" t="inlineStr">
        <is>
          <t>Тарифный коэффициент среднего разряда работ</t>
        </is>
      </c>
      <c r="C11" s="232" t="inlineStr">
        <is>
          <t>КТ</t>
        </is>
      </c>
      <c r="D11" s="232" t="inlineStr">
        <is>
          <t>-</t>
        </is>
      </c>
      <c r="E11" s="302" t="n">
        <v>1.34</v>
      </c>
      <c r="F11" s="2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04" t="n"/>
    </row>
    <row r="12" ht="78.75" customHeight="1" s="202">
      <c r="A12" s="216" t="inlineStr">
        <is>
          <t>1.6</t>
        </is>
      </c>
      <c r="B12" s="273" t="inlineStr">
        <is>
          <t>Коэффициент инфляции, определяемый поквартально</t>
        </is>
      </c>
      <c r="C12" s="217" t="inlineStr">
        <is>
          <t>Кинф</t>
        </is>
      </c>
      <c r="D12" s="217" t="inlineStr">
        <is>
          <t>-</t>
        </is>
      </c>
      <c r="E12" s="303" t="n">
        <v>1.139</v>
      </c>
      <c r="F12" s="27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1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2">
      <c r="A13" s="276" t="inlineStr">
        <is>
          <t>1.7</t>
        </is>
      </c>
      <c r="B13" s="277" t="inlineStr">
        <is>
          <t>Размер средств на оплату труда рабочих-строителей в текущем уровне цен (ФОТр.тек.), руб/чел.-ч</t>
        </is>
      </c>
      <c r="C13" s="278" t="inlineStr">
        <is>
          <t>ФОТр.тек.</t>
        </is>
      </c>
      <c r="D13" s="278" t="inlineStr">
        <is>
          <t>(С1ср/tср*КТ*Т*Кув)*Кинф</t>
        </is>
      </c>
      <c r="E13" s="279">
        <f>((E7*E9/E8)*E11)*E12</f>
        <v/>
      </c>
      <c r="F13" s="28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04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2025-01-24T12:11:32Z</dcterms:modified>
  <cp:lastModifiedBy>Николай Трофименко</cp:lastModifiedBy>
  <cp:lastPrinted>2023-11-29T08:59:17Z</cp:lastPrinted>
</cp:coreProperties>
</file>