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#,##0.0000"/>
    <numFmt numFmtId="166" formatCode="#,##0.00000"/>
    <numFmt numFmtId="167" formatCode="_-* #,##0.0\ _₽_-;\-* #,##0.0\ _₽_-;_-* &quot;-&quot;??\ _₽_-;_-@_-"/>
    <numFmt numFmtId="168" formatCode="0.0_ ;\-0.0\ "/>
    <numFmt numFmtId="169" formatCode="0.0000"/>
    <numFmt numFmtId="170" formatCode="#,##0.00_ ;\-#,##0.00\ "/>
    <numFmt numFmtId="171" formatCode="#,##0.0000_ ;\-#,##0.0000\ "/>
    <numFmt numFmtId="172" formatCode="#,##0.0"/>
    <numFmt numFmtId="173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7" fontId="18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168" fontId="13" fillId="4" borderId="0" pivotButton="0" quotePrefix="0" xfId="0"/>
    <xf numFmtId="0" fontId="17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9" fontId="0" fillId="7" borderId="8" applyAlignment="1" pivotButton="0" quotePrefix="0" xfId="0">
      <alignment horizontal="center" vertical="center"/>
    </xf>
    <xf numFmtId="169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9" fontId="0" fillId="7" borderId="10" applyAlignment="1" pivotButton="0" quotePrefix="0" xfId="0">
      <alignment horizontal="center" vertical="center"/>
    </xf>
    <xf numFmtId="169" fontId="0" fillId="0" borderId="10" applyAlignment="1" pivotButton="0" quotePrefix="0" xfId="0">
      <alignment horizontal="center" vertical="center"/>
    </xf>
    <xf numFmtId="169" fontId="0" fillId="7" borderId="7" applyAlignment="1" pivotButton="0" quotePrefix="0" xfId="0">
      <alignment horizontal="center" vertical="center"/>
    </xf>
    <xf numFmtId="169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7" fillId="0" borderId="0" pivotButton="0" quotePrefix="0" xfId="0"/>
    <xf numFmtId="0" fontId="16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170" fontId="19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0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top" wrapText="1"/>
    </xf>
    <xf numFmtId="169" fontId="0" fillId="0" borderId="0" pivotButton="0" quotePrefix="0" xfId="0"/>
    <xf numFmtId="171" fontId="2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2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2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2" fontId="17" fillId="0" borderId="1" applyAlignment="1" pivotButton="0" quotePrefix="0" xfId="0">
      <alignment horizontal="center" vertical="center"/>
    </xf>
    <xf numFmtId="173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 wrapText="1"/>
    </xf>
    <xf numFmtId="43" fontId="17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43" fontId="17" fillId="0" borderId="2" applyAlignment="1" pivotButton="0" quotePrefix="0" xfId="0">
      <alignment horizontal="center" vertical="center" wrapText="1"/>
    </xf>
    <xf numFmtId="43" fontId="17" fillId="0" borderId="12" applyAlignment="1" pivotButton="0" quotePrefix="0" xfId="0">
      <alignment horizontal="center" vertical="center" wrapText="1"/>
    </xf>
    <xf numFmtId="43" fontId="20" fillId="0" borderId="2" applyAlignment="1" pivotButton="0" quotePrefix="0" xfId="0">
      <alignment horizontal="center" vertical="center" wrapText="1"/>
    </xf>
    <xf numFmtId="0" fontId="20" fillId="0" borderId="12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22" applyAlignment="1" pivotButton="0" quotePrefix="0" xfId="0">
      <alignment horizontal="center" vertical="center"/>
    </xf>
    <xf numFmtId="0" fontId="24" fillId="0" borderId="22" applyAlignment="1" pivotButton="0" quotePrefix="0" xfId="0">
      <alignment vertical="center" wrapText="1"/>
    </xf>
    <xf numFmtId="0" fontId="17" fillId="0" borderId="22" applyAlignment="1" pivotButton="0" quotePrefix="0" xfId="0">
      <alignment horizontal="center" vertical="center" wrapText="1"/>
    </xf>
    <xf numFmtId="4" fontId="24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2" pivotButton="0" quotePrefix="0" xfId="0"/>
    <xf numFmtId="0" fontId="0" fillId="0" borderId="21" pivotButton="0" quotePrefix="0" xfId="0"/>
    <xf numFmtId="0" fontId="0" fillId="0" borderId="4" pivotButton="0" quotePrefix="0" xfId="0"/>
    <xf numFmtId="43" fontId="17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167" fontId="18" fillId="4" borderId="0" pivotButton="0" quotePrefix="0" xfId="0"/>
    <xf numFmtId="171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3" fillId="4" borderId="0" pivotButton="0" quotePrefix="0" xfId="0"/>
    <xf numFmtId="169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0" fillId="0" borderId="0" pivotButton="0" quotePrefix="0" xfId="0"/>
    <xf numFmtId="170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172" fontId="17" fillId="0" borderId="1" applyAlignment="1" pivotButton="0" quotePrefix="0" xfId="0">
      <alignment horizontal="center" vertical="center"/>
    </xf>
    <xf numFmtId="173" fontId="17" fillId="0" borderId="1" applyAlignment="1" pivotButton="0" quotePrefix="0" xfId="0">
      <alignment horizontal="center" vertical="center"/>
    </xf>
    <xf numFmtId="169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2:G31"/>
  <sheetViews>
    <sheetView tabSelected="1" view="pageBreakPreview" topLeftCell="A16" zoomScale="60" zoomScaleNormal="85" workbookViewId="0">
      <selection activeCell="D27" sqref="D27"/>
    </sheetView>
  </sheetViews>
  <sheetFormatPr baseColWidth="8" defaultRowHeight="15"/>
  <cols>
    <col width="36.85546875" customWidth="1" style="343" min="3" max="3"/>
    <col width="39.42578125" customWidth="1" style="343" min="4" max="4"/>
    <col width="14.28515625" customWidth="1" style="343" min="7" max="7"/>
    <col width="15" customWidth="1" style="343" min="10" max="10"/>
  </cols>
  <sheetData>
    <row r="2" ht="15.6" customHeight="1" s="343">
      <c r="B2" s="371" t="inlineStr">
        <is>
          <t>Приложение № 1</t>
        </is>
      </c>
    </row>
    <row r="3" ht="17.45" customHeight="1" s="343">
      <c r="B3" s="372" t="inlineStr">
        <is>
          <t>Сравнительная таблица отбора объекта-представителя</t>
        </is>
      </c>
    </row>
    <row r="4" ht="84" customHeight="1" s="343">
      <c r="B4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43">
      <c r="B5" s="275" t="n"/>
      <c r="C5" s="275" t="n"/>
      <c r="D5" s="275" t="n"/>
    </row>
    <row r="6" ht="64.5" customHeight="1" s="343">
      <c r="B6" s="374" t="inlineStr">
        <is>
          <t>Наименование разрабатываемого показателя УНЦ - Демонтаж ячейки выключателя ВУ 110кВ</t>
        </is>
      </c>
    </row>
    <row r="7" ht="31.5" customHeight="1" s="343">
      <c r="B7" s="370" t="inlineStr">
        <is>
          <t>Сопоставимый уровень цен: 4 квартал 2014</t>
        </is>
      </c>
    </row>
    <row r="8" ht="15.75" customHeight="1" s="343">
      <c r="B8" s="370" t="inlineStr">
        <is>
          <t>Единица измерения  — 1 ед.</t>
        </is>
      </c>
    </row>
    <row r="9" ht="18" customHeight="1" s="343">
      <c r="B9" s="250" t="n"/>
    </row>
    <row r="10" ht="15.6" customHeight="1" s="343">
      <c r="B10" s="376" t="inlineStr">
        <is>
          <t>№ п/п</t>
        </is>
      </c>
      <c r="C10" s="376" t="inlineStr">
        <is>
          <t>Параметр</t>
        </is>
      </c>
      <c r="D10" s="376" t="inlineStr">
        <is>
          <t>Объект-представитель</t>
        </is>
      </c>
    </row>
    <row r="11" ht="83.45" customHeight="1" s="343">
      <c r="B11" s="376" t="n">
        <v>1</v>
      </c>
      <c r="C11" s="279" t="inlineStr">
        <is>
          <t>Наименование объекта-представителя</t>
        </is>
      </c>
      <c r="D11" s="376" t="inlineStr">
        <is>
          <t>ПС Святогор (МЭС Западная Сибирь)</t>
        </is>
      </c>
    </row>
    <row r="12" ht="31.15" customHeight="1" s="343">
      <c r="B12" s="376" t="n">
        <v>2</v>
      </c>
      <c r="C12" s="279" t="inlineStr">
        <is>
          <t>Наименование субъекта Российской Федерации</t>
        </is>
      </c>
      <c r="D12" s="376" t="inlineStr">
        <is>
          <t>Тюменская область 
Ханты-Мансийский автономный округ — Югра
 Нефтеюганский район</t>
        </is>
      </c>
    </row>
    <row r="13" ht="15.6" customHeight="1" s="343">
      <c r="B13" s="376" t="n">
        <v>3</v>
      </c>
      <c r="C13" s="279" t="inlineStr">
        <is>
          <t>Климатический район и подрайон</t>
        </is>
      </c>
      <c r="D13" s="376" t="inlineStr">
        <is>
          <t>IIВ</t>
        </is>
      </c>
    </row>
    <row r="14" ht="15.6" customHeight="1" s="343">
      <c r="B14" s="376" t="n">
        <v>4</v>
      </c>
      <c r="C14" s="279" t="inlineStr">
        <is>
          <t>Мощность объекта</t>
        </is>
      </c>
      <c r="D14" s="376" t="n">
        <v>16</v>
      </c>
    </row>
    <row r="15" ht="93.59999999999999" customHeight="1" s="343">
      <c r="B15" s="376" t="n">
        <v>5</v>
      </c>
      <c r="C15" s="25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6" t="inlineStr">
        <is>
          <t>I откл. (кА)/I ном (А) - 63/4000</t>
        </is>
      </c>
    </row>
    <row r="16" ht="78" customHeight="1" s="343">
      <c r="B16" s="376" t="n">
        <v>6</v>
      </c>
      <c r="C16" s="25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3">
        <f>D17+D18</f>
        <v/>
      </c>
    </row>
    <row r="17" ht="15.6" customHeight="1" s="343">
      <c r="B17" s="292" t="inlineStr">
        <is>
          <t>6.1</t>
        </is>
      </c>
      <c r="C17" s="279" t="inlineStr">
        <is>
          <t>строительно-монтажные работы</t>
        </is>
      </c>
      <c r="D17" s="293">
        <f>'Прил.2 Расч стоим'!F12</f>
        <v/>
      </c>
    </row>
    <row r="18" ht="15.6" customHeight="1" s="343">
      <c r="B18" s="292" t="inlineStr">
        <is>
          <t>6.2</t>
        </is>
      </c>
      <c r="C18" s="279" t="inlineStr">
        <is>
          <t>оборудование и инвентарь</t>
        </is>
      </c>
      <c r="D18" s="293" t="n">
        <v>0</v>
      </c>
    </row>
    <row r="19" ht="15.6" customHeight="1" s="343">
      <c r="B19" s="292" t="inlineStr">
        <is>
          <t>6.3</t>
        </is>
      </c>
      <c r="C19" s="279" t="inlineStr">
        <is>
          <t>пусконаладочные работы</t>
        </is>
      </c>
      <c r="D19" s="293" t="n"/>
    </row>
    <row r="20" ht="15.6" customHeight="1" s="343">
      <c r="B20" s="292" t="inlineStr">
        <is>
          <t>6.4</t>
        </is>
      </c>
      <c r="C20" s="279" t="inlineStr">
        <is>
          <t>прочие и лимитированные затраты</t>
        </is>
      </c>
      <c r="D20" s="293" t="n"/>
    </row>
    <row r="21" ht="15.6" customHeight="1" s="343">
      <c r="B21" s="376" t="n">
        <v>7</v>
      </c>
      <c r="C21" s="279" t="inlineStr">
        <is>
          <t>Сопоставимый уровень цен</t>
        </is>
      </c>
      <c r="D21" s="292" t="inlineStr">
        <is>
          <t>4 квартал 2014</t>
        </is>
      </c>
      <c r="G21" s="287" t="n"/>
    </row>
    <row r="22" ht="109.15" customHeight="1" s="343">
      <c r="B22" s="376" t="n">
        <v>8</v>
      </c>
      <c r="C22" s="25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3">
        <f>D16</f>
        <v/>
      </c>
    </row>
    <row r="23" ht="46.9" customHeight="1" s="343">
      <c r="B23" s="376" t="n">
        <v>9</v>
      </c>
      <c r="C23" s="252" t="inlineStr">
        <is>
          <t>Приведенная сметная стоимость на единицу мощности, тыс. руб. (строка 8/строку 4)</t>
        </is>
      </c>
      <c r="D23" s="293">
        <f>D16/D14</f>
        <v/>
      </c>
      <c r="G23" s="287" t="n"/>
    </row>
    <row r="24" hidden="1" ht="109.15" customHeight="1" s="343">
      <c r="B24" s="376" t="n">
        <v>10</v>
      </c>
      <c r="C24" s="279" t="inlineStr">
        <is>
          <t>Примечание</t>
        </is>
      </c>
      <c r="D24" s="27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3">
      <c r="B25" s="280" t="n"/>
      <c r="C25" s="281" t="n"/>
      <c r="D25" s="281" t="n"/>
    </row>
    <row r="26">
      <c r="B26" s="335" t="inlineStr">
        <is>
          <t>Составил ______________________        А.Р. Маркова</t>
        </is>
      </c>
      <c r="C26" s="341" t="n"/>
    </row>
    <row r="27">
      <c r="B27" s="342" t="inlineStr">
        <is>
          <t xml:space="preserve">                         (подпись, инициалы, фамилия)</t>
        </is>
      </c>
      <c r="C27" s="341" t="n"/>
    </row>
    <row r="28">
      <c r="B28" s="335" t="n"/>
      <c r="C28" s="341" t="n"/>
    </row>
    <row r="29">
      <c r="B29" s="335" t="inlineStr">
        <is>
          <t>Проверил ______________________        А.В. Костянецкая</t>
        </is>
      </c>
      <c r="C29" s="341" t="n"/>
    </row>
    <row r="30">
      <c r="B30" s="342" t="inlineStr">
        <is>
          <t xml:space="preserve">                        (подпись, инициалы, фамилия)</t>
        </is>
      </c>
      <c r="C30" s="341" t="n"/>
    </row>
    <row r="31" ht="15.6" customHeight="1" s="343">
      <c r="B31" s="281" t="n"/>
      <c r="C31" s="281" t="n"/>
      <c r="D31" s="281" t="n"/>
    </row>
  </sheetData>
  <mergeCells count="6">
    <mergeCell ref="B3:D3"/>
    <mergeCell ref="B8:D8"/>
    <mergeCell ref="B4:D4"/>
    <mergeCell ref="B7:D7"/>
    <mergeCell ref="B6:D6"/>
    <mergeCell ref="B2:D2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85" workbookViewId="0">
      <selection activeCell="F20" sqref="F20"/>
    </sheetView>
  </sheetViews>
  <sheetFormatPr baseColWidth="8" defaultRowHeight="15"/>
  <cols>
    <col width="5.5703125" customWidth="1" style="343" min="1" max="1"/>
    <col width="44.85546875" customWidth="1" style="343" min="3" max="3"/>
    <col width="13.85546875" customWidth="1" style="343" min="4" max="4"/>
    <col width="17.42578125" customWidth="1" style="343" min="5" max="5"/>
    <col width="12.710937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8" customWidth="1" style="343" min="11" max="11"/>
  </cols>
  <sheetData>
    <row r="3" ht="15.6" customHeight="1" s="343">
      <c r="B3" s="371" t="inlineStr">
        <is>
          <t>Приложение № 2</t>
        </is>
      </c>
    </row>
    <row r="4" ht="15.6" customHeight="1" s="343">
      <c r="B4" s="381" t="inlineStr">
        <is>
          <t>Расчет стоимости основных видов работ для выбора объекта-представителя</t>
        </is>
      </c>
    </row>
    <row r="5" ht="15.6" customHeight="1" s="343">
      <c r="B5" s="175" t="n"/>
      <c r="C5" s="175" t="n"/>
      <c r="D5" s="175" t="n"/>
      <c r="E5" s="175" t="n"/>
      <c r="F5" s="175" t="n"/>
      <c r="G5" s="175" t="n"/>
      <c r="H5" s="175" t="n"/>
      <c r="I5" s="175" t="n"/>
      <c r="J5" s="175" t="n"/>
      <c r="K5" s="175" t="n"/>
    </row>
    <row r="6" ht="15.75" customHeight="1" s="343">
      <c r="B6" s="382" t="inlineStr">
        <is>
          <t xml:space="preserve">Наименование разрабатываемого показателя УНЦ - </t>
        </is>
      </c>
      <c r="D6" s="280" t="inlineStr">
        <is>
          <t>Демонтаж ячейки выключателя ВУ 110кВ</t>
        </is>
      </c>
      <c r="E6" s="280" t="n"/>
      <c r="F6" s="280" t="n"/>
      <c r="G6" s="280" t="n"/>
      <c r="H6" s="280" t="n"/>
      <c r="I6" s="280" t="n"/>
      <c r="J6" s="280" t="n"/>
      <c r="K6" s="280" t="n"/>
    </row>
    <row r="7" ht="15.6" customHeight="1" s="343">
      <c r="B7" s="370">
        <f>'Прил.1 Сравнит табл'!B8</f>
        <v/>
      </c>
    </row>
    <row r="8" ht="18" customHeight="1" s="343">
      <c r="B8" s="250" t="n"/>
    </row>
    <row r="9" ht="15.75" customHeight="1" s="343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3">
      <c r="B10" s="469" t="n"/>
      <c r="C10" s="469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4 кв. 2014г., тыс. руб.</t>
        </is>
      </c>
      <c r="G10" s="467" t="n"/>
      <c r="H10" s="467" t="n"/>
      <c r="I10" s="467" t="n"/>
      <c r="J10" s="468" t="n"/>
    </row>
    <row r="11" ht="58.5" customHeight="1" s="343">
      <c r="B11" s="470" t="n"/>
      <c r="C11" s="470" t="n"/>
      <c r="D11" s="470" t="n"/>
      <c r="E11" s="470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58.5" customHeight="1" s="343">
      <c r="B12" s="376" t="n"/>
      <c r="C12" s="376" t="inlineStr">
        <is>
          <t>Демонтаж ячейки выключателя ВУ 110кВ</t>
        </is>
      </c>
      <c r="D12" s="376" t="n"/>
      <c r="E12" s="376" t="n"/>
      <c r="F12" s="471" t="n">
        <v>1453.1772654</v>
      </c>
      <c r="G12" s="468" t="n"/>
      <c r="H12" s="376" t="n">
        <v>0</v>
      </c>
      <c r="I12" s="376" t="n"/>
      <c r="J12" s="471" t="n">
        <v>1453.1772654</v>
      </c>
    </row>
    <row r="13" ht="15.75" customHeight="1" s="343">
      <c r="B13" s="375" t="inlineStr">
        <is>
          <t>Всего по объекту:</t>
        </is>
      </c>
      <c r="C13" s="467" t="n"/>
      <c r="D13" s="467" t="n"/>
      <c r="E13" s="468" t="n"/>
      <c r="F13" s="285" t="n"/>
      <c r="G13" s="285" t="n"/>
      <c r="H13" s="285" t="n"/>
      <c r="I13" s="285" t="n"/>
      <c r="J13" s="285" t="n"/>
    </row>
    <row r="14" ht="15.6" customHeight="1" s="343">
      <c r="B14" s="375" t="inlineStr">
        <is>
          <t>Всего по объекту в сопоставимом уровне цен 4кв. 2014г:</t>
        </is>
      </c>
      <c r="C14" s="467" t="n"/>
      <c r="D14" s="467" t="n"/>
      <c r="E14" s="468" t="n"/>
      <c r="F14" s="472">
        <f>F12</f>
        <v/>
      </c>
      <c r="G14" s="468" t="n"/>
      <c r="H14" s="285">
        <f>H12</f>
        <v/>
      </c>
      <c r="I14" s="285" t="n"/>
      <c r="J14" s="473">
        <f>J12</f>
        <v/>
      </c>
    </row>
    <row r="18">
      <c r="C18" s="335" t="inlineStr">
        <is>
          <t>Составил ______________________        А.Р. Маркова</t>
        </is>
      </c>
      <c r="D18" s="341" t="n"/>
    </row>
    <row r="19">
      <c r="C19" s="342" t="inlineStr">
        <is>
          <t xml:space="preserve">                         (подпись, инициалы, фамилия)</t>
        </is>
      </c>
      <c r="D19" s="341" t="n"/>
    </row>
    <row r="20">
      <c r="C20" s="335" t="n"/>
      <c r="D20" s="341" t="n"/>
    </row>
    <row r="21">
      <c r="C21" s="335" t="inlineStr">
        <is>
          <t>Проверил ______________________        А.В. Костянецкая</t>
        </is>
      </c>
      <c r="D21" s="341" t="n"/>
    </row>
    <row r="22">
      <c r="C22" s="342" t="inlineStr">
        <is>
          <t xml:space="preserve">                        (подпись, инициалы, фамилия)</t>
        </is>
      </c>
      <c r="D22" s="341" t="n"/>
    </row>
  </sheetData>
  <mergeCells count="14">
    <mergeCell ref="B6:C6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46"/>
  <sheetViews>
    <sheetView view="pageBreakPreview" topLeftCell="A29" zoomScale="70" workbookViewId="0">
      <selection activeCell="F48" sqref="F48"/>
    </sheetView>
  </sheetViews>
  <sheetFormatPr baseColWidth="8" defaultRowHeight="15"/>
  <cols>
    <col width="11.140625" customWidth="1" style="343" min="1" max="1"/>
    <col width="14.7109375" customWidth="1" style="343" min="2" max="2"/>
    <col width="21.42578125" customWidth="1" style="343" min="3" max="3"/>
    <col width="49.7109375" customWidth="1" style="343" min="4" max="4"/>
    <col width="16.28515625" customWidth="1" style="343" min="5" max="5"/>
    <col width="20.7109375" customWidth="1" style="343" min="6" max="6"/>
    <col width="16.140625" customWidth="1" style="343" min="7" max="7"/>
    <col width="16.7109375" customWidth="1" style="343" min="8" max="8"/>
    <col width="11.140625" customWidth="1" style="343" min="9" max="9"/>
    <col width="9.28515625" customWidth="1" style="343" min="10" max="10"/>
    <col width="13" customWidth="1" style="343" min="11" max="11"/>
    <col width="9.140625" customWidth="1" style="343" min="12" max="12"/>
  </cols>
  <sheetData>
    <row r="2" ht="15.6" customHeight="1" s="343">
      <c r="A2" s="371" t="inlineStr">
        <is>
          <t xml:space="preserve">Приложение № 3 </t>
        </is>
      </c>
    </row>
    <row r="3" ht="17.45" customHeight="1" s="343">
      <c r="A3" s="372" t="inlineStr">
        <is>
          <t>Объектная ресурсная ведомость</t>
        </is>
      </c>
    </row>
    <row r="4" ht="17.45" customHeight="1" s="343">
      <c r="A4" s="372" t="n"/>
      <c r="B4" s="372" t="n"/>
      <c r="C4" s="372" t="n"/>
    </row>
    <row r="5">
      <c r="B5" s="284" t="n"/>
    </row>
    <row r="6" ht="32.25" customHeight="1" s="343">
      <c r="A6" s="383" t="inlineStr">
        <is>
          <t xml:space="preserve">Наименование разрабатываемого показателя УНЦ - </t>
        </is>
      </c>
      <c r="D6" s="383" t="inlineStr">
        <is>
          <t>Демонтаж ячейки выключателя ВУ 110кВ</t>
        </is>
      </c>
    </row>
    <row r="7" ht="32.25" customHeight="1" s="343">
      <c r="A7" s="383" t="n"/>
      <c r="B7" s="383" t="n"/>
      <c r="C7" s="383" t="n"/>
      <c r="D7" s="383" t="n"/>
      <c r="E7" s="383" t="n"/>
      <c r="F7" s="383" t="n"/>
      <c r="G7" s="383" t="n"/>
      <c r="H7" s="383" t="n"/>
    </row>
    <row r="8" ht="21.75" customHeight="1" s="343">
      <c r="A8" s="176" t="n"/>
      <c r="B8" s="176" t="n"/>
      <c r="C8" s="176" t="n"/>
      <c r="D8" s="176" t="n"/>
      <c r="E8" s="176" t="n"/>
      <c r="F8" s="176" t="n"/>
      <c r="G8" s="176" t="n"/>
      <c r="H8" s="474" t="n"/>
    </row>
    <row r="9" ht="38.25" customHeight="1" s="343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68" t="n"/>
    </row>
    <row r="10" ht="40.5" customHeight="1" s="343">
      <c r="A10" s="470" t="n"/>
      <c r="B10" s="470" t="n"/>
      <c r="C10" s="470" t="n"/>
      <c r="D10" s="470" t="n"/>
      <c r="E10" s="470" t="n"/>
      <c r="F10" s="470" t="n"/>
      <c r="G10" s="376" t="inlineStr">
        <is>
          <t>на ед.изм.</t>
        </is>
      </c>
      <c r="H10" s="376" t="inlineStr">
        <is>
          <t>общая</t>
        </is>
      </c>
    </row>
    <row r="11" ht="15.6" customHeight="1" s="343">
      <c r="A11" s="376" t="n">
        <v>1</v>
      </c>
      <c r="B11" s="194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194" t="n">
        <v>6</v>
      </c>
      <c r="H11" s="194" t="n">
        <v>7</v>
      </c>
    </row>
    <row r="12" ht="15" customHeight="1" s="343">
      <c r="A12" s="385" t="inlineStr">
        <is>
          <t>Затраты труда рабочих</t>
        </is>
      </c>
      <c r="B12" s="467" t="n"/>
      <c r="C12" s="467" t="n"/>
      <c r="D12" s="467" t="n"/>
      <c r="E12" s="467" t="n"/>
      <c r="F12" s="475" t="n">
        <v>4758</v>
      </c>
      <c r="G12" s="322" t="n"/>
      <c r="H12" s="476">
        <f>SUM(H13:H13)</f>
        <v/>
      </c>
      <c r="J12" s="477" t="n"/>
    </row>
    <row r="13">
      <c r="A13" s="326" t="n">
        <v>1</v>
      </c>
      <c r="B13" s="248" t="n"/>
      <c r="C13" s="326" t="inlineStr">
        <is>
          <t>1-4-0</t>
        </is>
      </c>
      <c r="D13" s="327" t="inlineStr">
        <is>
          <t>Затраты труда рабочих (средний разряд работы 4,0)</t>
        </is>
      </c>
      <c r="E13" s="410" t="inlineStr">
        <is>
          <t>чел.час</t>
        </is>
      </c>
      <c r="F13" s="478" t="n">
        <v>4758</v>
      </c>
      <c r="G13" s="329" t="n">
        <v>9.619999999999999</v>
      </c>
      <c r="H13" s="329">
        <f>ROUND(F13*G13,2)</f>
        <v/>
      </c>
    </row>
    <row r="14" ht="15" customHeight="1" s="343">
      <c r="A14" s="384" t="inlineStr">
        <is>
          <t>Затраты труда машинистов</t>
        </is>
      </c>
      <c r="B14" s="467" t="n"/>
      <c r="C14" s="467" t="n"/>
      <c r="D14" s="467" t="n"/>
      <c r="E14" s="468" t="n"/>
      <c r="F14" s="322" t="n"/>
      <c r="G14" s="322" t="n"/>
      <c r="H14" s="476">
        <f>H15</f>
        <v/>
      </c>
    </row>
    <row r="15">
      <c r="A15" s="324">
        <f>A13+1</f>
        <v/>
      </c>
      <c r="B15" s="248" t="n"/>
      <c r="C15" s="326" t="n">
        <v>2</v>
      </c>
      <c r="D15" s="327" t="inlineStr">
        <is>
          <t>Затраты труда машинистов</t>
        </is>
      </c>
      <c r="E15" s="410" t="inlineStr">
        <is>
          <t>чел.-ч</t>
        </is>
      </c>
      <c r="F15" s="478" t="n">
        <v>1514</v>
      </c>
      <c r="G15" s="329" t="n"/>
      <c r="H15" s="479" t="n">
        <v>17249.71</v>
      </c>
      <c r="L15" s="180" t="n"/>
      <c r="N15" s="480" t="n"/>
    </row>
    <row r="16" ht="15" customHeight="1" s="343">
      <c r="A16" s="384" t="inlineStr">
        <is>
          <t>Машины и механизмы</t>
        </is>
      </c>
      <c r="B16" s="467" t="n"/>
      <c r="C16" s="467" t="n"/>
      <c r="D16" s="467" t="n"/>
      <c r="E16" s="468" t="n"/>
      <c r="F16" s="322" t="n"/>
      <c r="G16" s="322" t="n"/>
      <c r="H16" s="476">
        <f>SUM(H17:H23)</f>
        <v/>
      </c>
    </row>
    <row r="17">
      <c r="A17" s="326">
        <f>A15+1</f>
        <v/>
      </c>
      <c r="B17" s="248" t="n"/>
      <c r="C17" s="326" t="inlineStr">
        <is>
          <t>91.10.01-002</t>
        </is>
      </c>
      <c r="D17" s="327" t="inlineStr">
        <is>
          <t>Агрегаты наполнительно-опрессовочные до 300 м3/ч</t>
        </is>
      </c>
      <c r="E17" s="410" t="inlineStr">
        <is>
          <t>маш.час</t>
        </is>
      </c>
      <c r="F17" s="410" t="n">
        <v>194.4</v>
      </c>
      <c r="G17" s="192" t="n">
        <v>287.99</v>
      </c>
      <c r="H17" s="329">
        <f>ROUND(F17*G17,2)</f>
        <v/>
      </c>
    </row>
    <row r="18" ht="26.45" customHeight="1" s="343">
      <c r="A18" s="326">
        <f>A17+1</f>
        <v/>
      </c>
      <c r="B18" s="248" t="n"/>
      <c r="C18" s="326" t="inlineStr">
        <is>
          <t>91.05.05-015</t>
        </is>
      </c>
      <c r="D18" s="327" t="inlineStr">
        <is>
          <t>Краны на автомобильном ходу, грузоподъемность 16 т</t>
        </is>
      </c>
      <c r="E18" s="410" t="inlineStr">
        <is>
          <t>маш.час</t>
        </is>
      </c>
      <c r="F18" s="410" t="n">
        <v>421.6</v>
      </c>
      <c r="G18" s="192" t="n">
        <v>115.4</v>
      </c>
      <c r="H18" s="329">
        <f>ROUND(F18*G18,2)</f>
        <v/>
      </c>
    </row>
    <row r="19">
      <c r="A19" s="326">
        <f>A18+1</f>
        <v/>
      </c>
      <c r="B19" s="248" t="n"/>
      <c r="C19" s="326" t="inlineStr">
        <is>
          <t>91.06.06-042</t>
        </is>
      </c>
      <c r="D19" s="327" t="inlineStr">
        <is>
          <t>Подъемники гидравлические, высота подъема 10 м</t>
        </is>
      </c>
      <c r="E19" s="410" t="inlineStr">
        <is>
          <t>маш.час</t>
        </is>
      </c>
      <c r="F19" s="410" t="n">
        <v>723.2</v>
      </c>
      <c r="G19" s="192" t="n">
        <v>29.6</v>
      </c>
      <c r="H19" s="329">
        <f>ROUND(F19*G19,2)</f>
        <v/>
      </c>
    </row>
    <row r="20" ht="26.45" customHeight="1" s="343">
      <c r="A20" s="326">
        <f>A19+1</f>
        <v/>
      </c>
      <c r="B20" s="248" t="n"/>
      <c r="C20" s="326" t="inlineStr">
        <is>
          <t>91.06.03-058</t>
        </is>
      </c>
      <c r="D20" s="327" t="inlineStr">
        <is>
          <t>Лебедки электрические тяговым усилием 156,96 кН (16 т)</t>
        </is>
      </c>
      <c r="E20" s="410" t="inlineStr">
        <is>
          <t>маш.час</t>
        </is>
      </c>
      <c r="F20" s="410" t="n">
        <v>91.8</v>
      </c>
      <c r="G20" s="192" t="n">
        <v>131.44</v>
      </c>
      <c r="H20" s="329">
        <f>ROUND(F20*G20,2)</f>
        <v/>
      </c>
    </row>
    <row r="21" ht="26.45" customHeight="1" s="343">
      <c r="A21" s="326">
        <f>A20+1</f>
        <v/>
      </c>
      <c r="B21" s="248" t="n"/>
      <c r="C21" s="326" t="inlineStr">
        <is>
          <t>91.17.04-161</t>
        </is>
      </c>
      <c r="D21" s="327" t="inlineStr">
        <is>
          <t>Полуавтоматы сварочные номинальным сварочным током 40-500 А</t>
        </is>
      </c>
      <c r="E21" s="410" t="inlineStr">
        <is>
          <t>маш.час</t>
        </is>
      </c>
      <c r="F21" s="410" t="n">
        <v>356.4</v>
      </c>
      <c r="G21" s="192" t="n">
        <v>16.44</v>
      </c>
      <c r="H21" s="329">
        <f>ROUND(F21*G21,2)</f>
        <v/>
      </c>
    </row>
    <row r="22">
      <c r="A22" s="326">
        <f>A21+1</f>
        <v/>
      </c>
      <c r="B22" s="248" t="n"/>
      <c r="C22" s="326" t="inlineStr">
        <is>
          <t>91.14.02-001</t>
        </is>
      </c>
      <c r="D22" s="327" t="inlineStr">
        <is>
          <t>Автомобили бортовые, грузоподъемность до 5 т</t>
        </is>
      </c>
      <c r="E22" s="410" t="inlineStr">
        <is>
          <t>маш.час</t>
        </is>
      </c>
      <c r="F22" s="410" t="n">
        <v>83</v>
      </c>
      <c r="G22" s="192" t="n">
        <v>65.70999999999999</v>
      </c>
      <c r="H22" s="329">
        <f>ROUND(F22*G22,2)</f>
        <v/>
      </c>
    </row>
    <row r="23" ht="26.45" customHeight="1" s="343">
      <c r="A23" s="326">
        <f>A22+1</f>
        <v/>
      </c>
      <c r="B23" s="248" t="n"/>
      <c r="C23" s="326" t="inlineStr">
        <is>
          <t>91.17.04-233</t>
        </is>
      </c>
      <c r="D23" s="327" t="inlineStr">
        <is>
          <t>Установки для сварки ручной дуговой (постоянного тока)</t>
        </is>
      </c>
      <c r="E23" s="410" t="inlineStr">
        <is>
          <t>маш.час</t>
        </is>
      </c>
      <c r="F23" s="410" t="n">
        <v>233</v>
      </c>
      <c r="G23" s="192" t="n">
        <v>8.1</v>
      </c>
      <c r="H23" s="329">
        <f>ROUND(F23*G23,2)</f>
        <v/>
      </c>
    </row>
    <row r="24" ht="15" customHeight="1" s="343">
      <c r="A24" s="384" t="inlineStr">
        <is>
          <t>Оборудование</t>
        </is>
      </c>
      <c r="B24" s="467" t="n"/>
      <c r="C24" s="467" t="n"/>
      <c r="D24" s="467" t="n"/>
      <c r="E24" s="468" t="n"/>
      <c r="F24" s="322" t="n"/>
      <c r="G24" s="322" t="n"/>
      <c r="H24" s="476">
        <f>SUM(H25:H25)</f>
        <v/>
      </c>
    </row>
    <row r="25" ht="32.25" customHeight="1" s="343">
      <c r="A25" s="324">
        <f>A23+1</f>
        <v/>
      </c>
      <c r="B25" s="384" t="n"/>
      <c r="C25" s="326" t="inlineStr">
        <is>
          <t>Прайс из СД ОП</t>
        </is>
      </c>
      <c r="D25" s="327" t="inlineStr">
        <is>
          <t>Ячейка выключателя 110 кВ 4000/63</t>
        </is>
      </c>
      <c r="E25" s="410" t="inlineStr">
        <is>
          <t>шт.</t>
        </is>
      </c>
      <c r="F25" s="410" t="n">
        <v>16</v>
      </c>
      <c r="G25" s="329" t="n">
        <v>13967615.571776</v>
      </c>
      <c r="H25" s="329">
        <f>ROUND(F25*G25,2)</f>
        <v/>
      </c>
      <c r="I25" s="330" t="n"/>
    </row>
    <row r="26" ht="15" customHeight="1" s="343">
      <c r="A26" s="384" t="inlineStr">
        <is>
          <t>Материалы</t>
        </is>
      </c>
      <c r="B26" s="467" t="n"/>
      <c r="C26" s="467" t="n"/>
      <c r="D26" s="467" t="n"/>
      <c r="E26" s="468" t="n"/>
      <c r="F26" s="322" t="n"/>
      <c r="G26" s="322" t="n"/>
      <c r="H26" s="476">
        <f>SUM(H27:H39)</f>
        <v/>
      </c>
    </row>
    <row r="27" ht="27" customHeight="1" s="343">
      <c r="A27" s="324" t="n">
        <v>11</v>
      </c>
      <c r="B27" s="248" t="n"/>
      <c r="C27" s="326" t="inlineStr">
        <is>
          <t>01.3.02.02-0001</t>
        </is>
      </c>
      <c r="D27" s="327" t="inlineStr">
        <is>
          <t>Аргон газообразный, сорт I</t>
        </is>
      </c>
      <c r="E27" s="410" t="inlineStr">
        <is>
          <t>м3</t>
        </is>
      </c>
      <c r="F27" s="410" t="n">
        <v>390.6</v>
      </c>
      <c r="G27" s="329" t="n">
        <v>17.86</v>
      </c>
      <c r="H27" s="329">
        <f>ROUND(F27*G27,2)</f>
        <v/>
      </c>
      <c r="K27" s="330" t="n"/>
    </row>
    <row r="28" ht="38.25" customHeight="1" s="343">
      <c r="A28" s="324">
        <f>A27+1</f>
        <v/>
      </c>
      <c r="B28" s="248" t="n"/>
      <c r="C28" s="326" t="inlineStr">
        <is>
          <t>14.4.02.09-0001</t>
        </is>
      </c>
      <c r="D28" s="327" t="inlineStr">
        <is>
          <t>Краска</t>
        </is>
      </c>
      <c r="E28" s="410" t="inlineStr">
        <is>
          <t>кг</t>
        </is>
      </c>
      <c r="F28" s="410" t="n">
        <v>127.88</v>
      </c>
      <c r="G28" s="329" t="n">
        <v>28.6</v>
      </c>
      <c r="H28" s="329">
        <f>ROUND(F28*G28,2)</f>
        <v/>
      </c>
      <c r="K28" s="330" t="n"/>
    </row>
    <row r="29" ht="30.75" customHeight="1" s="343">
      <c r="A29" s="324">
        <f>A28+1</f>
        <v/>
      </c>
      <c r="B29" s="248" t="n"/>
      <c r="C29" s="326" t="inlineStr">
        <is>
          <t>20.2.08.05-0015</t>
        </is>
      </c>
      <c r="D29" s="327" t="inlineStr">
        <is>
          <t>Профиль монтажный</t>
        </is>
      </c>
      <c r="E29" s="410" t="inlineStr">
        <is>
          <t>м</t>
        </is>
      </c>
      <c r="F29" s="410" t="n">
        <v>88</v>
      </c>
      <c r="G29" s="329" t="n">
        <v>38.42</v>
      </c>
      <c r="H29" s="329">
        <f>ROUND(F29*G29,2)</f>
        <v/>
      </c>
      <c r="K29" s="330" t="n"/>
    </row>
    <row r="30" ht="41.25" customHeight="1" s="343">
      <c r="A30" s="324">
        <f>A29+1</f>
        <v/>
      </c>
      <c r="B30" s="248" t="n"/>
      <c r="C30" s="326" t="inlineStr">
        <is>
          <t>01.7.17.11-0001</t>
        </is>
      </c>
      <c r="D30" s="327" t="inlineStr">
        <is>
          <t>Бумага шлифовальная</t>
        </is>
      </c>
      <c r="E30" s="410" t="inlineStr">
        <is>
          <t>кг</t>
        </is>
      </c>
      <c r="F30" s="410" t="n">
        <v>41.76</v>
      </c>
      <c r="G30" s="329" t="n">
        <v>50</v>
      </c>
      <c r="H30" s="329">
        <f>ROUND(F30*G30,2)</f>
        <v/>
      </c>
      <c r="K30" s="330" t="n"/>
    </row>
    <row r="31" s="343">
      <c r="A31" s="324">
        <f>A30+1</f>
        <v/>
      </c>
      <c r="B31" s="248" t="n"/>
      <c r="C31" s="326" t="inlineStr">
        <is>
          <t>01.7.11.07-0034</t>
        </is>
      </c>
      <c r="D31" s="327" t="inlineStr">
        <is>
          <t>Электроды сварочные Э42А, диаметр 4 мм</t>
        </is>
      </c>
      <c r="E31" s="410" t="inlineStr">
        <is>
          <t>кг</t>
        </is>
      </c>
      <c r="F31" s="410" t="n">
        <v>104.76</v>
      </c>
      <c r="G31" s="329" t="n">
        <v>10.57</v>
      </c>
      <c r="H31" s="329">
        <f>ROUND(F31*G31,2)</f>
        <v/>
      </c>
      <c r="K31" s="330" t="n"/>
    </row>
    <row r="32" ht="26.45" customHeight="1" s="343">
      <c r="A32" s="324">
        <f>A31+1</f>
        <v/>
      </c>
      <c r="B32" s="248" t="n"/>
      <c r="C32" s="326" t="inlineStr">
        <is>
          <t>999-9950</t>
        </is>
      </c>
      <c r="D32" s="327" t="inlineStr">
        <is>
          <t>Вспомогательные ненормируемые ресурсы (2% от Оплаты труда рабочих)</t>
        </is>
      </c>
      <c r="E32" s="410" t="inlineStr">
        <is>
          <t>руб</t>
        </is>
      </c>
      <c r="F32" s="410" t="n">
        <v>915.46</v>
      </c>
      <c r="G32" s="329" t="n">
        <v>1</v>
      </c>
      <c r="H32" s="329">
        <f>ROUND(F32*G32,2)</f>
        <v/>
      </c>
      <c r="K32" s="330" t="n"/>
    </row>
    <row r="33" s="343">
      <c r="A33" s="324">
        <f>A32+1</f>
        <v/>
      </c>
      <c r="B33" s="248" t="n"/>
      <c r="C33" s="326" t="inlineStr">
        <is>
          <t>01.3.01.01-0001</t>
        </is>
      </c>
      <c r="D33" s="327" t="inlineStr">
        <is>
          <t>Бензин авиационный Б-70</t>
        </is>
      </c>
      <c r="E33" s="410" t="inlineStr">
        <is>
          <t>т</t>
        </is>
      </c>
      <c r="F33" s="410" t="n">
        <v>0.118</v>
      </c>
      <c r="G33" s="329" t="n">
        <v>4488.4</v>
      </c>
      <c r="H33" s="329">
        <f>ROUND(F33*G33,2)</f>
        <v/>
      </c>
      <c r="K33" s="330" t="n"/>
    </row>
    <row r="34" s="343">
      <c r="A34" s="324">
        <f>A33+1</f>
        <v/>
      </c>
      <c r="B34" s="248" t="n"/>
      <c r="C34" s="326" t="inlineStr">
        <is>
          <t>07.2.07.13-0171</t>
        </is>
      </c>
      <c r="D34" s="327" t="inlineStr">
        <is>
          <t>Подкладки металлические</t>
        </is>
      </c>
      <c r="E34" s="410" t="inlineStr">
        <is>
          <t>кг</t>
        </is>
      </c>
      <c r="F34" s="410" t="n">
        <v>36</v>
      </c>
      <c r="G34" s="329" t="n">
        <v>12.6</v>
      </c>
      <c r="H34" s="329">
        <f>ROUND(F34*G34,2)</f>
        <v/>
      </c>
      <c r="K34" s="330" t="n"/>
    </row>
    <row r="35" s="343">
      <c r="A35" s="324">
        <f>A34+1</f>
        <v/>
      </c>
      <c r="B35" s="248" t="n"/>
      <c r="C35" s="326" t="inlineStr">
        <is>
          <t>01.7.20.08-0102</t>
        </is>
      </c>
      <c r="D35" s="327" t="inlineStr">
        <is>
          <t>Миткаль суровый</t>
        </is>
      </c>
      <c r="E35" s="410" t="inlineStr">
        <is>
          <t>10 м</t>
        </is>
      </c>
      <c r="F35" s="410" t="n">
        <v>5.414</v>
      </c>
      <c r="G35" s="329" t="n">
        <v>73.65000000000001</v>
      </c>
      <c r="H35" s="329">
        <f>ROUND(F35*G35,2)</f>
        <v/>
      </c>
      <c r="K35" s="330" t="n"/>
    </row>
    <row r="36" ht="26.45" customHeight="1" s="343">
      <c r="A36" s="324">
        <f>A35+1</f>
        <v/>
      </c>
      <c r="B36" s="248" t="n"/>
      <c r="C36" s="326" t="inlineStr">
        <is>
          <t>11.1.03.05-0089</t>
        </is>
      </c>
      <c r="D36" s="327" t="inlineStr">
        <is>
          <t>Доска необрезная, хвойных пород, длина 4-6,5 м, ширина 75-150 мм, толщина 16 мм, сорт III</t>
        </is>
      </c>
      <c r="E36" s="410" t="inlineStr">
        <is>
          <t>м3</t>
        </is>
      </c>
      <c r="F36" s="410" t="n">
        <v>0.288</v>
      </c>
      <c r="G36" s="329" t="n">
        <v>1250</v>
      </c>
      <c r="H36" s="329">
        <f>ROUND(F36*G36,2)</f>
        <v/>
      </c>
      <c r="K36" s="330" t="n"/>
    </row>
    <row r="37" ht="39.6" customHeight="1" s="343">
      <c r="A37" s="324">
        <f>A36+1</f>
        <v/>
      </c>
      <c r="B37" s="248" t="n"/>
      <c r="C37" s="326" t="inlineStr">
        <is>
          <t>01.3.01.06-0023</t>
        </is>
      </c>
      <c r="D37" s="32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410" t="inlineStr">
        <is>
          <t>т</t>
        </is>
      </c>
      <c r="F37" s="410" t="n">
        <v>0.008999999999999999</v>
      </c>
      <c r="G37" s="329" t="n">
        <v>20600</v>
      </c>
      <c r="H37" s="329">
        <f>ROUND(F37*G37,2)</f>
        <v/>
      </c>
      <c r="K37" s="330" t="n"/>
    </row>
    <row r="38" s="343">
      <c r="A38" s="324">
        <f>A37+1</f>
        <v/>
      </c>
      <c r="B38" s="248" t="n"/>
      <c r="C38" s="326" t="inlineStr">
        <is>
          <t>08.3.03.03-0002</t>
        </is>
      </c>
      <c r="D38" s="327" t="inlineStr">
        <is>
          <t>Проволока из легированной стали</t>
        </is>
      </c>
      <c r="E38" s="410" t="inlineStr">
        <is>
          <t>т</t>
        </is>
      </c>
      <c r="F38" s="410" t="n">
        <v>0.00916</v>
      </c>
      <c r="G38" s="329" t="n">
        <v>14200</v>
      </c>
      <c r="H38" s="329">
        <f>ROUND(F38*G38,2)</f>
        <v/>
      </c>
      <c r="K38" s="330" t="n"/>
    </row>
    <row r="39" ht="26.45" customHeight="1" s="343">
      <c r="A39" s="324">
        <f>A38+1</f>
        <v/>
      </c>
      <c r="B39" s="248" t="n"/>
      <c r="C39" s="326" t="inlineStr">
        <is>
          <t>01.7.15.06-0121</t>
        </is>
      </c>
      <c r="D39" s="327" t="inlineStr">
        <is>
          <t>Гвозди строительные с плоской головкой, размер 1,6х50 мм</t>
        </is>
      </c>
      <c r="E39" s="410" t="inlineStr">
        <is>
          <t>т</t>
        </is>
      </c>
      <c r="F39" s="410" t="n">
        <v>0.00548</v>
      </c>
      <c r="G39" s="329" t="n">
        <v>8475</v>
      </c>
      <c r="H39" s="329">
        <f>ROUND(F39*G39,2)</f>
        <v/>
      </c>
      <c r="K39" s="330" t="n"/>
    </row>
    <row r="40">
      <c r="K40" s="481" t="n"/>
    </row>
    <row r="42">
      <c r="B42" s="335" t="inlineStr">
        <is>
          <t>Составил ______________________     А.Р. Маркова</t>
        </is>
      </c>
      <c r="C42" s="341" t="n"/>
    </row>
    <row r="43">
      <c r="B43" s="342" t="inlineStr">
        <is>
          <t xml:space="preserve">                         (подпись, инициалы, фамилия)</t>
        </is>
      </c>
      <c r="C43" s="341" t="n"/>
    </row>
    <row r="44">
      <c r="B44" s="335" t="n"/>
      <c r="C44" s="341" t="n"/>
    </row>
    <row r="45">
      <c r="B45" s="335" t="inlineStr">
        <is>
          <t>Проверил ______________________        А.В. Костянецкая</t>
        </is>
      </c>
      <c r="C45" s="341" t="n"/>
    </row>
    <row r="46">
      <c r="B46" s="342" t="inlineStr">
        <is>
          <t xml:space="preserve">                        (подпись, инициалы, фамилия)</t>
        </is>
      </c>
      <c r="C46" s="341" t="n"/>
    </row>
  </sheetData>
  <mergeCells count="17">
    <mergeCell ref="C9:C10"/>
    <mergeCell ref="B9:B10"/>
    <mergeCell ref="A12:E12"/>
    <mergeCell ref="A3:H3"/>
    <mergeCell ref="E9:E10"/>
    <mergeCell ref="A26:E26"/>
    <mergeCell ref="A24:E24"/>
    <mergeCell ref="A16:E16"/>
    <mergeCell ref="F9:F10"/>
    <mergeCell ref="A9:A10"/>
    <mergeCell ref="D9:D10"/>
    <mergeCell ref="A2:H2"/>
    <mergeCell ref="D6:H6"/>
    <mergeCell ref="A6:C6"/>
    <mergeCell ref="C4:H4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43" min="1" max="1"/>
    <col width="36.28515625" customWidth="1" style="343" min="2" max="2"/>
    <col width="18.85546875" customWidth="1" style="343" min="3" max="3"/>
    <col width="18.28515625" customWidth="1" style="343" min="4" max="4"/>
    <col width="18.85546875" customWidth="1" style="343" min="5" max="5"/>
    <col width="9.140625" customWidth="1" style="343" min="6" max="6"/>
    <col width="12.85546875" customWidth="1" style="343" min="7" max="7"/>
    <col width="9.140625" customWidth="1" style="343" min="8" max="11"/>
    <col width="13.5703125" customWidth="1" style="343" min="12" max="12"/>
    <col width="9.140625" customWidth="1" style="343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409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63" t="inlineStr">
        <is>
          <t>Ресурсная модель</t>
        </is>
      </c>
    </row>
    <row r="6">
      <c r="B6" s="363" t="n"/>
    </row>
    <row r="7" ht="45.75" customHeight="1" s="343">
      <c r="B7" s="388" t="inlineStr">
        <is>
          <t>Наименование разрабатываемого показателя УНЦ - Демонтаж ячейки выключателя ВУ 110кВ</t>
        </is>
      </c>
    </row>
    <row r="8">
      <c r="B8" s="387">
        <f>'Прил.1 Сравнит табл'!B8</f>
        <v/>
      </c>
    </row>
    <row r="9">
      <c r="B9" s="167" t="n"/>
      <c r="C9" s="335" t="n"/>
      <c r="D9" s="335" t="n"/>
      <c r="E9" s="335" t="n"/>
    </row>
    <row r="10" ht="52.9" customHeight="1" s="343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198" t="inlineStr">
        <is>
          <t>Оплата труда рабочих</t>
        </is>
      </c>
      <c r="C11" s="337">
        <f>'Прил.5 Расчет СМР и ОБ'!J15</f>
        <v/>
      </c>
      <c r="D11" s="200">
        <f>C11/$C$24</f>
        <v/>
      </c>
      <c r="E11" s="200">
        <f>C11/$C$40</f>
        <v/>
      </c>
    </row>
    <row r="12">
      <c r="B12" s="198" t="inlineStr">
        <is>
          <t>Эксплуатация машин основных</t>
        </is>
      </c>
      <c r="C12" s="337">
        <f>'Прил.5 Расчет СМР и ОБ'!J26</f>
        <v/>
      </c>
      <c r="D12" s="200">
        <f>C12/$C$24</f>
        <v/>
      </c>
      <c r="E12" s="200">
        <f>C12/$C$40</f>
        <v/>
      </c>
    </row>
    <row r="13">
      <c r="B13" s="198" t="inlineStr">
        <is>
          <t>Эксплуатация машин прочих</t>
        </is>
      </c>
      <c r="C13" s="337">
        <f>'Прил.5 Расчет СМР и ОБ'!J31</f>
        <v/>
      </c>
      <c r="D13" s="200">
        <f>C13/$C$24</f>
        <v/>
      </c>
      <c r="E13" s="200">
        <f>C13/$C$40</f>
        <v/>
      </c>
    </row>
    <row r="14">
      <c r="B14" s="198" t="inlineStr">
        <is>
          <t>ЭКСПЛУАТАЦИЯ МАШИН, ВСЕГО:</t>
        </is>
      </c>
      <c r="C14" s="337">
        <f>C13+C12</f>
        <v/>
      </c>
      <c r="D14" s="200">
        <f>C14/$C$24</f>
        <v/>
      </c>
      <c r="E14" s="200">
        <f>C14/$C$40</f>
        <v/>
      </c>
    </row>
    <row r="15">
      <c r="B15" s="198" t="inlineStr">
        <is>
          <t>в том числе зарплата машинистов</t>
        </is>
      </c>
      <c r="C15" s="337">
        <f>'Прил.5 Расчет СМР и ОБ'!J18</f>
        <v/>
      </c>
      <c r="D15" s="200">
        <f>C15/$C$24</f>
        <v/>
      </c>
      <c r="E15" s="200">
        <f>C15/$C$40</f>
        <v/>
      </c>
    </row>
    <row r="16">
      <c r="B16" s="198" t="inlineStr">
        <is>
          <t>Материалы основные</t>
        </is>
      </c>
      <c r="C16" s="337">
        <f>'Прил.5 Расчет СМР и ОБ'!J42</f>
        <v/>
      </c>
      <c r="D16" s="200">
        <f>C16/$C$24</f>
        <v/>
      </c>
      <c r="E16" s="200">
        <f>C16/$C$40</f>
        <v/>
      </c>
    </row>
    <row r="17">
      <c r="B17" s="198" t="inlineStr">
        <is>
          <t>Материалы прочие</t>
        </is>
      </c>
      <c r="C17" s="337">
        <f>'Прил.5 Расчет СМР и ОБ'!J43</f>
        <v/>
      </c>
      <c r="D17" s="200">
        <f>C17/$C$24</f>
        <v/>
      </c>
      <c r="E17" s="200">
        <f>C17/$C$40</f>
        <v/>
      </c>
      <c r="G17" s="482" t="n"/>
    </row>
    <row r="18">
      <c r="B18" s="198" t="inlineStr">
        <is>
          <t>МАТЕРИАЛЫ, ВСЕГО:</t>
        </is>
      </c>
      <c r="C18" s="337">
        <f>C17+C16</f>
        <v/>
      </c>
      <c r="D18" s="200">
        <f>C18/$C$24</f>
        <v/>
      </c>
      <c r="E18" s="200">
        <f>C18/$C$40</f>
        <v/>
      </c>
    </row>
    <row r="19">
      <c r="B19" s="198" t="inlineStr">
        <is>
          <t>ИТОГО</t>
        </is>
      </c>
      <c r="C19" s="337">
        <f>C18+C14+C11</f>
        <v/>
      </c>
      <c r="D19" s="200" t="n"/>
      <c r="E19" s="198" t="n"/>
    </row>
    <row r="20">
      <c r="B20" s="198" t="inlineStr">
        <is>
          <t>Сметная прибыль, руб.</t>
        </is>
      </c>
      <c r="C20" s="337">
        <f>ROUND(C21*(C11+C15),2)</f>
        <v/>
      </c>
      <c r="D20" s="200">
        <f>C20/$C$24</f>
        <v/>
      </c>
      <c r="E20" s="200">
        <f>C20/$C$40</f>
        <v/>
      </c>
    </row>
    <row r="21">
      <c r="B21" s="198" t="inlineStr">
        <is>
          <t>Сметная прибыль, %</t>
        </is>
      </c>
      <c r="C21" s="203">
        <f>'Прил.5 Расчет СМР и ОБ'!E49</f>
        <v/>
      </c>
      <c r="D21" s="200" t="n"/>
      <c r="E21" s="198" t="n"/>
    </row>
    <row r="22">
      <c r="B22" s="198" t="inlineStr">
        <is>
          <t>Накладные расходы, руб.</t>
        </is>
      </c>
      <c r="C22" s="337">
        <f>ROUND(C23*(C11+C15),2)</f>
        <v/>
      </c>
      <c r="D22" s="200">
        <f>C22/$C$24</f>
        <v/>
      </c>
      <c r="E22" s="200">
        <f>C22/$C$40</f>
        <v/>
      </c>
    </row>
    <row r="23">
      <c r="B23" s="198" t="inlineStr">
        <is>
          <t>Накладные расходы, %</t>
        </is>
      </c>
      <c r="C23" s="203">
        <f>'Прил.5 Расчет СМР и ОБ'!E47</f>
        <v/>
      </c>
      <c r="D23" s="200" t="n"/>
      <c r="E23" s="198" t="n"/>
    </row>
    <row r="24">
      <c r="B24" s="198" t="inlineStr">
        <is>
          <t>ВСЕГО СМР с НР и СП</t>
        </is>
      </c>
      <c r="C24" s="337">
        <f>C19+C20+C22</f>
        <v/>
      </c>
      <c r="D24" s="200">
        <f>C24/$C$24</f>
        <v/>
      </c>
      <c r="E24" s="200">
        <f>C24/$C$40</f>
        <v/>
      </c>
    </row>
    <row r="25" ht="26.45" customHeight="1" s="343">
      <c r="B25" s="198" t="inlineStr">
        <is>
          <t>ВСЕГО стоимость оборудования, в том числе</t>
        </is>
      </c>
      <c r="C25" s="337">
        <f>'Прил.5 Расчет СМР и ОБ'!J39</f>
        <v/>
      </c>
      <c r="D25" s="200" t="n"/>
      <c r="E25" s="200">
        <f>C25/$C$40</f>
        <v/>
      </c>
    </row>
    <row r="26" ht="26.45" customHeight="1" s="343">
      <c r="B26" s="198" t="inlineStr">
        <is>
          <t>стоимость оборудования технологического</t>
        </is>
      </c>
      <c r="C26" s="337">
        <f>C25</f>
        <v/>
      </c>
      <c r="D26" s="200" t="n"/>
      <c r="E26" s="200">
        <f>C26/$C$40</f>
        <v/>
      </c>
    </row>
    <row r="27">
      <c r="B27" s="198" t="inlineStr">
        <is>
          <t>ИТОГО (СМР + ОБОРУДОВАНИЕ)</t>
        </is>
      </c>
      <c r="C27" s="199">
        <f>C24+C25</f>
        <v/>
      </c>
      <c r="D27" s="200" t="n"/>
      <c r="E27" s="200">
        <f>C27/$C$40</f>
        <v/>
      </c>
    </row>
    <row r="28" ht="33" customHeight="1" s="343">
      <c r="B28" s="198" t="inlineStr">
        <is>
          <t>ПРОЧ. ЗАТР., УЧТЕННЫЕ ПОКАЗАТЕЛЕМ,  в том числе</t>
        </is>
      </c>
      <c r="C28" s="198" t="n"/>
      <c r="D28" s="198" t="n"/>
      <c r="E28" s="198" t="n"/>
    </row>
    <row r="29" ht="25.5" customHeight="1" s="343">
      <c r="B29" s="198" t="inlineStr">
        <is>
          <t>Временные здания и сооружения - 3,9%</t>
        </is>
      </c>
      <c r="C29" s="199">
        <f>ROUND(C24*3.9%,2)</f>
        <v/>
      </c>
      <c r="D29" s="198" t="n"/>
      <c r="E29" s="200">
        <f>C29/$C$40</f>
        <v/>
      </c>
    </row>
    <row r="30" ht="39.6" customHeight="1" s="343">
      <c r="B30" s="198" t="inlineStr">
        <is>
          <t>Дополнительные затраты при производстве строительно-монтажных работ в зимнее время - 2,1%</t>
        </is>
      </c>
      <c r="C30" s="199">
        <f>ROUND((C24+C29)*2.1%,2)</f>
        <v/>
      </c>
      <c r="D30" s="198" t="n"/>
      <c r="E30" s="200">
        <f>C30/$C$40</f>
        <v/>
      </c>
    </row>
    <row r="31">
      <c r="B31" s="198" t="inlineStr">
        <is>
          <t>Пусконаладочные работы</t>
        </is>
      </c>
      <c r="C31" s="199" t="n">
        <v>0</v>
      </c>
      <c r="D31" s="198" t="n"/>
      <c r="E31" s="200">
        <f>C31/$C$40</f>
        <v/>
      </c>
    </row>
    <row r="32" ht="26.45" customHeight="1" s="343">
      <c r="B32" s="198" t="inlineStr">
        <is>
          <t>Затраты по перевозке работников к месту работы и обратно</t>
        </is>
      </c>
      <c r="C32" s="199" t="n">
        <v>0</v>
      </c>
      <c r="D32" s="198" t="n"/>
      <c r="E32" s="200">
        <f>C32/$C$40</f>
        <v/>
      </c>
    </row>
    <row r="33" ht="26.45" customHeight="1" s="343">
      <c r="B33" s="198" t="inlineStr">
        <is>
          <t>Затраты, связанные с осуществлением работ вахтовым методом</t>
        </is>
      </c>
      <c r="C33" s="199" t="n">
        <v>0</v>
      </c>
      <c r="D33" s="198" t="n"/>
      <c r="E33" s="200">
        <f>C33/$C$40</f>
        <v/>
      </c>
    </row>
    <row r="34" ht="52.9" customHeight="1" s="343">
      <c r="B34" s="1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9" t="n">
        <v>0</v>
      </c>
      <c r="D34" s="198" t="n"/>
      <c r="E34" s="200">
        <f>C34/$C$40</f>
        <v/>
      </c>
    </row>
    <row r="35" ht="79.15000000000001" customHeight="1" s="343">
      <c r="B35" s="1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9" t="n">
        <v>0</v>
      </c>
      <c r="D35" s="198" t="n"/>
      <c r="E35" s="200">
        <f>C35/$C$40</f>
        <v/>
      </c>
    </row>
    <row r="36" ht="26.45" customHeight="1" s="343">
      <c r="B36" s="198" t="inlineStr">
        <is>
          <t>Строительный контроль и содержание службы заказчика - 2,14%</t>
        </is>
      </c>
      <c r="C36" s="199">
        <f>ROUND((C27+C29+C31+C30+C32+C33+C34+C35)*2.14%,2)</f>
        <v/>
      </c>
      <c r="D36" s="198" t="n"/>
      <c r="E36" s="200">
        <f>C36/$C$40</f>
        <v/>
      </c>
      <c r="G36" s="249" t="n"/>
      <c r="L36" s="169" t="n"/>
    </row>
    <row r="37">
      <c r="B37" s="198" t="inlineStr">
        <is>
          <t>Авторский надзор - 0,2%</t>
        </is>
      </c>
      <c r="C37" s="199">
        <f>ROUND((C27+C29+C30+C31+C32+C33+C34+C35)*0.2%,2)</f>
        <v/>
      </c>
      <c r="D37" s="198" t="n"/>
      <c r="E37" s="200">
        <f>C37/$C$40</f>
        <v/>
      </c>
      <c r="G37" s="249" t="n"/>
      <c r="L37" s="169" t="n"/>
    </row>
    <row r="38" ht="26.45" customHeight="1" s="343">
      <c r="B38" s="198" t="inlineStr">
        <is>
          <t>ИТОГО (СМР+ОБОРУДОВАНИЕ+ПРОЧ. ЗАТР., УЧТЕННЫЕ ПОКАЗАТЕЛЕМ)</t>
        </is>
      </c>
      <c r="C38" s="337">
        <f>C36+C30+C27+C29+C31+C37+C32+C33+C34+C35</f>
        <v/>
      </c>
      <c r="D38" s="198" t="n"/>
      <c r="E38" s="200">
        <f>C38/$C$40</f>
        <v/>
      </c>
    </row>
    <row r="39" ht="13.5" customHeight="1" s="343">
      <c r="B39" s="198" t="inlineStr">
        <is>
          <t>Непредвиденные расходы</t>
        </is>
      </c>
      <c r="C39" s="337">
        <f>ROUND(C38*3%,2)</f>
        <v/>
      </c>
      <c r="D39" s="198" t="n"/>
      <c r="E39" s="200">
        <f>C39/$C$38</f>
        <v/>
      </c>
    </row>
    <row r="40">
      <c r="B40" s="198" t="inlineStr">
        <is>
          <t>ВСЕГО:</t>
        </is>
      </c>
      <c r="C40" s="337">
        <f>C39+C38</f>
        <v/>
      </c>
      <c r="D40" s="198" t="n"/>
      <c r="E40" s="200">
        <f>C40/$C$40</f>
        <v/>
      </c>
    </row>
    <row r="41">
      <c r="B41" s="198" t="inlineStr">
        <is>
          <t>ИТОГО ПОКАЗАТЕЛЬ НА ЕД. ИЗМ.</t>
        </is>
      </c>
      <c r="C41" s="337">
        <f>C40/'Прил.5 Расчет СМР и ОБ'!E53</f>
        <v/>
      </c>
      <c r="D41" s="198" t="n"/>
      <c r="E41" s="198" t="n"/>
    </row>
    <row r="42">
      <c r="B42" s="170" t="n"/>
      <c r="C42" s="335" t="n"/>
      <c r="D42" s="335" t="n"/>
      <c r="E42" s="335" t="n"/>
    </row>
    <row r="43">
      <c r="B43" s="170" t="inlineStr">
        <is>
          <t>Составил ____________________________  А.Р. Маркова</t>
        </is>
      </c>
      <c r="C43" s="335" t="n"/>
      <c r="D43" s="335" t="n"/>
      <c r="E43" s="335" t="n"/>
    </row>
    <row r="44">
      <c r="B44" s="170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170" t="n"/>
      <c r="C45" s="335" t="n"/>
      <c r="D45" s="335" t="n"/>
      <c r="E45" s="335" t="n"/>
    </row>
    <row r="46">
      <c r="B46" s="170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87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5">
    <mergeCell ref="B47:C47"/>
    <mergeCell ref="B8:E8"/>
    <mergeCell ref="B6:E6"/>
    <mergeCell ref="B7:E7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59"/>
  <sheetViews>
    <sheetView view="pageBreakPreview" topLeftCell="A49" workbookViewId="0">
      <selection activeCell="D69" sqref="D69"/>
    </sheetView>
  </sheetViews>
  <sheetFormatPr baseColWidth="8" defaultColWidth="9.140625" defaultRowHeight="15" outlineLevelRow="1"/>
  <cols>
    <col width="5.7109375" customWidth="1" style="341" min="1" max="1"/>
    <col width="22.5703125" customWidth="1" style="341" min="2" max="2"/>
    <col width="39.140625" customWidth="1" style="341" min="3" max="3"/>
    <col width="10.7109375" customWidth="1" style="341" min="4" max="4"/>
    <col width="12.7109375" customWidth="1" style="341" min="5" max="5"/>
    <col width="14.5703125" customWidth="1" style="341" min="6" max="6"/>
    <col width="15.42578125" customWidth="1" style="341" min="7" max="7"/>
    <col width="12.7109375" customWidth="1" style="341" min="8" max="8"/>
    <col width="14.5703125" customWidth="1" style="341" min="9" max="9"/>
    <col width="16.140625" customWidth="1" style="341" min="10" max="10"/>
    <col width="22.42578125" customWidth="1" style="341" min="11" max="11"/>
    <col width="20.28515625" customWidth="1" style="341" min="12" max="12"/>
    <col width="10.85546875" customWidth="1" style="341" min="13" max="13"/>
    <col width="9.140625" customWidth="1" style="341" min="14" max="14"/>
    <col width="9.140625" customWidth="1" style="343" min="15" max="15"/>
  </cols>
  <sheetData>
    <row r="2" ht="15.6" customHeight="1" s="343">
      <c r="I2" s="345" t="n"/>
      <c r="J2" s="254" t="inlineStr">
        <is>
          <t>Приложение №5</t>
        </is>
      </c>
    </row>
    <row r="3" ht="7.5" customHeight="1" s="343"/>
    <row r="4" ht="13.15" customFormat="1" customHeight="1" s="335">
      <c r="A4" s="363" t="inlineStr">
        <is>
          <t>Расчет стоимости СМР и оборудования</t>
        </is>
      </c>
      <c r="I4" s="363" t="n"/>
      <c r="J4" s="363" t="n"/>
    </row>
    <row r="5" ht="13.15" customFormat="1" customHeight="1" s="335">
      <c r="A5" s="363" t="n"/>
      <c r="B5" s="363" t="n"/>
      <c r="C5" s="363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35">
      <c r="A6" s="366" t="inlineStr">
        <is>
          <t xml:space="preserve">Наименование разрабатываемого показателя УНЦ </t>
        </is>
      </c>
      <c r="D6" s="366" t="inlineStr">
        <is>
          <t>Демонтаж ячейки выключателя ВУ 110кВ</t>
        </is>
      </c>
    </row>
    <row r="7" ht="20.25" customFormat="1" customHeight="1" s="335">
      <c r="A7" s="366">
        <f>'Прил.1 Сравнит табл'!B8</f>
        <v/>
      </c>
      <c r="I7" s="388" t="n"/>
      <c r="J7" s="388" t="n"/>
    </row>
    <row r="8" ht="13.15" customFormat="1" customHeight="1" s="335"/>
    <row r="9" ht="27" customHeight="1" s="343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68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68" t="n"/>
    </row>
    <row r="10" ht="24" customHeight="1" s="343">
      <c r="A10" s="470" t="n"/>
      <c r="B10" s="470" t="n"/>
      <c r="C10" s="470" t="n"/>
      <c r="D10" s="470" t="n"/>
      <c r="E10" s="470" t="n"/>
      <c r="F10" s="390" t="inlineStr">
        <is>
          <t>на ед. изм.</t>
        </is>
      </c>
      <c r="G10" s="390" t="inlineStr">
        <is>
          <t>общая</t>
        </is>
      </c>
      <c r="H10" s="470" t="n"/>
      <c r="I10" s="390" t="inlineStr">
        <is>
          <t>на ед. изм.</t>
        </is>
      </c>
      <c r="J10" s="390" t="inlineStr">
        <is>
          <t>общая</t>
        </is>
      </c>
    </row>
    <row r="11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90" t="n">
        <v>9</v>
      </c>
      <c r="J11" s="390" t="n">
        <v>10</v>
      </c>
    </row>
    <row r="12">
      <c r="A12" s="390" t="n"/>
      <c r="B12" s="384" t="inlineStr">
        <is>
          <t>Затраты труда рабочих-строителей</t>
        </is>
      </c>
      <c r="C12" s="467" t="n"/>
      <c r="D12" s="467" t="n"/>
      <c r="E12" s="467" t="n"/>
      <c r="F12" s="467" t="n"/>
      <c r="G12" s="467" t="n"/>
      <c r="H12" s="468" t="n"/>
      <c r="I12" s="209" t="n"/>
      <c r="J12" s="209" t="n"/>
    </row>
    <row r="13" ht="30" customHeight="1" s="343">
      <c r="A13" s="390" t="n">
        <v>1</v>
      </c>
      <c r="B13" s="294" t="inlineStr">
        <is>
          <t>1-4-0</t>
        </is>
      </c>
      <c r="C13" s="389" t="inlineStr">
        <is>
          <t>Затраты труда рабочих-строителей среднего разряда (4,0)</t>
        </is>
      </c>
      <c r="D13" s="390" t="inlineStr">
        <is>
          <t>чел.-ч.</t>
        </is>
      </c>
      <c r="E13" s="483">
        <f>Прил.3!F12</f>
        <v/>
      </c>
      <c r="F13" s="315" t="n">
        <v>9.619999999999999</v>
      </c>
      <c r="G13" s="315">
        <f>ROUND(E13*F13,2)</f>
        <v/>
      </c>
      <c r="H13" s="394">
        <f>G13/G14</f>
        <v/>
      </c>
      <c r="I13" s="315">
        <f>'ФОТр.тек.'!E13</f>
        <v/>
      </c>
      <c r="J13" s="315">
        <f>ROUND(I13*E13,2)</f>
        <v/>
      </c>
    </row>
    <row r="14" ht="26.45" customFormat="1" customHeight="1" s="341">
      <c r="A14" s="390" t="n"/>
      <c r="B14" s="390" t="n"/>
      <c r="C14" s="384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483">
        <f>SUM(E13:E13)</f>
        <v/>
      </c>
      <c r="F14" s="315" t="n"/>
      <c r="G14" s="315">
        <f>SUM(G13:G13)</f>
        <v/>
      </c>
      <c r="H14" s="394" t="n">
        <v>1</v>
      </c>
      <c r="I14" s="315" t="n"/>
      <c r="J14" s="315">
        <f>J13</f>
        <v/>
      </c>
      <c r="K14" s="484" t="n"/>
    </row>
    <row r="15" ht="40.15" customFormat="1" customHeight="1" s="341">
      <c r="A15" s="390" t="n"/>
      <c r="B15" s="390" t="n"/>
      <c r="C15" s="384" t="inlineStr">
        <is>
          <t>Итого по разделу "Затраты труда рабочих-строителей" 
(с коэффициентом на демонтаж 0,7)</t>
        </is>
      </c>
      <c r="D15" s="390" t="n"/>
      <c r="E15" s="483" t="n"/>
      <c r="F15" s="315" t="n"/>
      <c r="G15" s="315">
        <f>G14*0.7</f>
        <v/>
      </c>
      <c r="H15" s="393" t="n">
        <v>1</v>
      </c>
      <c r="I15" s="312" t="n"/>
      <c r="J15" s="315">
        <f>J14*0.7</f>
        <v/>
      </c>
      <c r="K15" s="484" t="n"/>
    </row>
    <row r="16" ht="13.9" customFormat="1" customHeight="1" s="341">
      <c r="A16" s="390" t="n"/>
      <c r="B16" s="389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209" t="n"/>
      <c r="J16" s="209" t="n"/>
    </row>
    <row r="17" ht="13.9" customFormat="1" customHeight="1" s="341">
      <c r="A17" s="390" t="n">
        <v>2</v>
      </c>
      <c r="B17" s="390" t="n">
        <v>2</v>
      </c>
      <c r="C17" s="389" t="inlineStr">
        <is>
          <t>Затраты труда машинистов</t>
        </is>
      </c>
      <c r="D17" s="390" t="inlineStr">
        <is>
          <t>чел.-ч.</t>
        </is>
      </c>
      <c r="E17" s="483">
        <f>Прил.3!F15</f>
        <v/>
      </c>
      <c r="F17" s="315">
        <f>G17/E17</f>
        <v/>
      </c>
      <c r="G17" s="315">
        <f>Прил.3!H15</f>
        <v/>
      </c>
      <c r="H17" s="394" t="n">
        <v>1</v>
      </c>
      <c r="I17" s="315">
        <f>ROUND(F17*Прил.10!D10,2)</f>
        <v/>
      </c>
      <c r="J17" s="315">
        <f>ROUND(I17*E17,2)</f>
        <v/>
      </c>
      <c r="L17" s="244" t="n"/>
    </row>
    <row r="18" ht="28.9" customFormat="1" customHeight="1" s="341">
      <c r="A18" s="390" t="n"/>
      <c r="B18" s="390" t="n"/>
      <c r="C18" s="389" t="inlineStr">
        <is>
          <t>Затраты труда машинистов 
(с коэффициентом на демонтаж 0,7)</t>
        </is>
      </c>
      <c r="D18" s="390" t="n"/>
      <c r="E18" s="483" t="n"/>
      <c r="F18" s="315" t="n"/>
      <c r="G18" s="315">
        <f>G17*0.7</f>
        <v/>
      </c>
      <c r="H18" s="393" t="n">
        <v>1</v>
      </c>
      <c r="I18" s="315" t="n"/>
      <c r="J18" s="315">
        <f>J17*0.7</f>
        <v/>
      </c>
      <c r="L18" s="244" t="n"/>
    </row>
    <row r="19" ht="13.9" customFormat="1" customHeight="1" s="341">
      <c r="A19" s="390" t="n"/>
      <c r="B19" s="384" t="inlineStr">
        <is>
          <t>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394" t="n"/>
      <c r="J19" s="394" t="n"/>
    </row>
    <row r="20" ht="13.9" customFormat="1" customHeight="1" s="341">
      <c r="A20" s="390" t="n"/>
      <c r="B20" s="389" t="inlineStr">
        <is>
          <t>Основные машины и механизмы</t>
        </is>
      </c>
      <c r="C20" s="467" t="n"/>
      <c r="D20" s="467" t="n"/>
      <c r="E20" s="467" t="n"/>
      <c r="F20" s="467" t="n"/>
      <c r="G20" s="467" t="n"/>
      <c r="H20" s="468" t="n"/>
      <c r="I20" s="209" t="n"/>
      <c r="J20" s="209" t="n"/>
    </row>
    <row r="21" ht="26.45" customFormat="1" customHeight="1" s="341">
      <c r="A21" s="390">
        <f>A17+1</f>
        <v/>
      </c>
      <c r="B21" s="294" t="inlineStr">
        <is>
          <t>91.10.01-002</t>
        </is>
      </c>
      <c r="C21" s="389" t="inlineStr">
        <is>
          <t>Агрегаты наполнительно-опрессовочные до 300 м3/ч</t>
        </is>
      </c>
      <c r="D21" s="390" t="inlineStr">
        <is>
          <t>маш.час</t>
        </is>
      </c>
      <c r="E21" s="483" t="n">
        <v>194.4</v>
      </c>
      <c r="F21" s="308" t="n">
        <v>287.99</v>
      </c>
      <c r="G21" s="315">
        <f>ROUND(E21*F21,2)</f>
        <v/>
      </c>
      <c r="H21" s="394">
        <f>G21/$G$32</f>
        <v/>
      </c>
      <c r="I21" s="315">
        <f>ROUND(F21*Прил.10!$D$11,2)</f>
        <v/>
      </c>
      <c r="J21" s="315">
        <f>ROUND(I21*E21,2)</f>
        <v/>
      </c>
    </row>
    <row r="22" ht="26.45" customFormat="1" customHeight="1" s="341">
      <c r="A22" s="390">
        <f>A21+1</f>
        <v/>
      </c>
      <c r="B22" s="294" t="inlineStr">
        <is>
          <t>91.05.05-015</t>
        </is>
      </c>
      <c r="C22" s="389" t="inlineStr">
        <is>
          <t>Краны на автомобильном ходу, грузоподъемность 16 т</t>
        </is>
      </c>
      <c r="D22" s="390" t="inlineStr">
        <is>
          <t>маш.час</t>
        </is>
      </c>
      <c r="E22" s="483" t="n">
        <v>421.6</v>
      </c>
      <c r="F22" s="308" t="n">
        <v>115.4</v>
      </c>
      <c r="G22" s="315">
        <f>ROUND(E22*F22,2)</f>
        <v/>
      </c>
      <c r="H22" s="394">
        <f>G22/$G$32</f>
        <v/>
      </c>
      <c r="I22" s="315">
        <f>ROUND(F22*Прил.10!$D$11,2)</f>
        <v/>
      </c>
      <c r="J22" s="315">
        <f>ROUND(I22*E22,2)</f>
        <v/>
      </c>
    </row>
    <row r="23" ht="26.45" customFormat="1" customHeight="1" s="341">
      <c r="A23" s="390">
        <f>A22+1</f>
        <v/>
      </c>
      <c r="B23" s="294" t="inlineStr">
        <is>
          <t>91.06.06-042</t>
        </is>
      </c>
      <c r="C23" s="389" t="inlineStr">
        <is>
          <t>Подъемники гидравлические, высота подъема 10 м</t>
        </is>
      </c>
      <c r="D23" s="390" t="inlineStr">
        <is>
          <t>маш.час</t>
        </is>
      </c>
      <c r="E23" s="483" t="n">
        <v>723.2</v>
      </c>
      <c r="F23" s="308" t="n">
        <v>29.6</v>
      </c>
      <c r="G23" s="315">
        <f>ROUND(E23*F23,2)</f>
        <v/>
      </c>
      <c r="H23" s="394">
        <f>G23/$G$32</f>
        <v/>
      </c>
      <c r="I23" s="315">
        <f>ROUND(F23*Прил.10!$D$11,2)</f>
        <v/>
      </c>
      <c r="J23" s="315">
        <f>ROUND(I23*E23,2)</f>
        <v/>
      </c>
    </row>
    <row r="24" ht="26.45" customFormat="1" customHeight="1" s="341">
      <c r="A24" s="390">
        <f>A23+1</f>
        <v/>
      </c>
      <c r="B24" s="294" t="inlineStr">
        <is>
          <t>91.06.03-058</t>
        </is>
      </c>
      <c r="C24" s="389" t="inlineStr">
        <is>
          <t>Лебедки электрические тяговым усилием 156,96 кН (16 т)</t>
        </is>
      </c>
      <c r="D24" s="390" t="inlineStr">
        <is>
          <t>маш.час</t>
        </is>
      </c>
      <c r="E24" s="483" t="n">
        <v>91.8</v>
      </c>
      <c r="F24" s="308" t="n">
        <v>131.44</v>
      </c>
      <c r="G24" s="315">
        <f>ROUND(E24*F24,2)</f>
        <v/>
      </c>
      <c r="H24" s="394">
        <f>G24/$G$32</f>
        <v/>
      </c>
      <c r="I24" s="315">
        <f>ROUND(F24*Прил.10!$D$11,2)</f>
        <v/>
      </c>
      <c r="J24" s="315">
        <f>ROUND(I24*E24,2)</f>
        <v/>
      </c>
    </row>
    <row r="25" ht="13.9" customFormat="1" customHeight="1" s="341">
      <c r="A25" s="390" t="n"/>
      <c r="B25" s="390" t="n"/>
      <c r="C25" s="389" t="inlineStr">
        <is>
          <t>Итого основные машины и механизмы</t>
        </is>
      </c>
      <c r="D25" s="390" t="n"/>
      <c r="E25" s="485" t="n"/>
      <c r="F25" s="315" t="n"/>
      <c r="G25" s="315">
        <f>SUM(G21:G24)</f>
        <v/>
      </c>
      <c r="H25" s="394">
        <f>G25/G32</f>
        <v/>
      </c>
      <c r="I25" s="315" t="n"/>
      <c r="J25" s="315">
        <f>SUM(J21:J24)</f>
        <v/>
      </c>
      <c r="L25" s="484" t="n"/>
    </row>
    <row r="26" ht="29.45" customFormat="1" customHeight="1" s="341">
      <c r="A26" s="390" t="n"/>
      <c r="B26" s="390" t="n"/>
      <c r="C26" s="389" t="inlineStr">
        <is>
          <t>Итого основные машины и механизмы 
(с коэффициентом на демонтаж 0,7)</t>
        </is>
      </c>
      <c r="D26" s="390" t="n"/>
      <c r="E26" s="483" t="n"/>
      <c r="F26" s="315" t="n"/>
      <c r="G26" s="315">
        <f>G25*0.7</f>
        <v/>
      </c>
      <c r="H26" s="394">
        <f>G26/G33</f>
        <v/>
      </c>
      <c r="I26" s="315" t="n"/>
      <c r="J26" s="315">
        <f>J25*0.7</f>
        <v/>
      </c>
      <c r="L26" s="484" t="n"/>
    </row>
    <row r="27" outlineLevel="1" ht="26.45" customFormat="1" customHeight="1" s="341">
      <c r="A27" s="390" t="n">
        <v>7</v>
      </c>
      <c r="B27" s="294" t="inlineStr">
        <is>
          <t>91.17.04-161</t>
        </is>
      </c>
      <c r="C27" s="389" t="inlineStr">
        <is>
          <t>Полуавтоматы сварочные номинальным сварочным током 40-500 А</t>
        </is>
      </c>
      <c r="D27" s="390" t="inlineStr">
        <is>
          <t>маш.час</t>
        </is>
      </c>
      <c r="E27" s="483" t="n">
        <v>356.4</v>
      </c>
      <c r="F27" s="308" t="n">
        <v>16.44</v>
      </c>
      <c r="G27" s="315">
        <f>ROUND(E27*F27,2)</f>
        <v/>
      </c>
      <c r="H27" s="394">
        <f>G27/$G$32</f>
        <v/>
      </c>
      <c r="I27" s="315">
        <f>ROUND(F27*Прил.10!$D$11,2)</f>
        <v/>
      </c>
      <c r="J27" s="315">
        <f>ROUND(I27*E27,2)</f>
        <v/>
      </c>
      <c r="L27" s="484" t="n"/>
    </row>
    <row r="28" outlineLevel="1" ht="26.45" customFormat="1" customHeight="1" s="341">
      <c r="A28" s="390" t="n">
        <v>8</v>
      </c>
      <c r="B28" s="294" t="inlineStr">
        <is>
          <t>91.14.02-001</t>
        </is>
      </c>
      <c r="C28" s="389" t="inlineStr">
        <is>
          <t>Автомобили бортовые, грузоподъемность до 5 т</t>
        </is>
      </c>
      <c r="D28" s="390" t="inlineStr">
        <is>
          <t>маш.час</t>
        </is>
      </c>
      <c r="E28" s="483" t="n">
        <v>83</v>
      </c>
      <c r="F28" s="308" t="n">
        <v>65.70999999999999</v>
      </c>
      <c r="G28" s="315">
        <f>ROUND(E28*F28,2)</f>
        <v/>
      </c>
      <c r="H28" s="394">
        <f>G28/$G$32</f>
        <v/>
      </c>
      <c r="I28" s="315">
        <f>ROUND(F28*Прил.10!$D$11,2)</f>
        <v/>
      </c>
      <c r="J28" s="315">
        <f>ROUND(I28*E28,2)</f>
        <v/>
      </c>
      <c r="L28" s="484" t="n"/>
    </row>
    <row r="29" outlineLevel="1" ht="26.45" customFormat="1" customHeight="1" s="341">
      <c r="A29" s="390" t="n">
        <v>9</v>
      </c>
      <c r="B29" s="294" t="inlineStr">
        <is>
          <t>91.17.04-233</t>
        </is>
      </c>
      <c r="C29" s="389" t="inlineStr">
        <is>
          <t>Установки для сварки ручной дуговой (постоянного тока)</t>
        </is>
      </c>
      <c r="D29" s="390" t="inlineStr">
        <is>
          <t>маш.час</t>
        </is>
      </c>
      <c r="E29" s="483" t="n">
        <v>233</v>
      </c>
      <c r="F29" s="308" t="n">
        <v>8.1</v>
      </c>
      <c r="G29" s="315">
        <f>ROUND(E29*F29,2)</f>
        <v/>
      </c>
      <c r="H29" s="394">
        <f>G29/$G$32</f>
        <v/>
      </c>
      <c r="I29" s="315">
        <f>ROUND(F29*Прил.10!$D$11,2)</f>
        <v/>
      </c>
      <c r="J29" s="315">
        <f>ROUND(I29*E29,2)</f>
        <v/>
      </c>
      <c r="L29" s="484" t="n"/>
    </row>
    <row r="30" ht="13.9" customFormat="1" customHeight="1" s="341">
      <c r="A30" s="390" t="n"/>
      <c r="B30" s="390" t="n"/>
      <c r="C30" s="389" t="inlineStr">
        <is>
          <t>Итого прочие машины и механизмы</t>
        </is>
      </c>
      <c r="D30" s="390" t="n"/>
      <c r="E30" s="391" t="n"/>
      <c r="F30" s="315" t="n"/>
      <c r="G30" s="315">
        <f>SUM(G27:G29)</f>
        <v/>
      </c>
      <c r="H30" s="394">
        <f>G30/G32</f>
        <v/>
      </c>
      <c r="I30" s="315" t="n"/>
      <c r="J30" s="315">
        <f>SUM(J27:J29)</f>
        <v/>
      </c>
      <c r="K30" s="484" t="n"/>
      <c r="L30" s="484" t="n"/>
    </row>
    <row r="31" ht="28.9" customFormat="1" customHeight="1" s="341">
      <c r="A31" s="390" t="n"/>
      <c r="B31" s="399" t="n"/>
      <c r="C31" s="389" t="inlineStr">
        <is>
          <t>Итого прочие машины и механизмы 
(с коэффициентом на демонтаж 0,7)</t>
        </is>
      </c>
      <c r="D31" s="390" t="n"/>
      <c r="E31" s="391" t="n"/>
      <c r="F31" s="315" t="n"/>
      <c r="G31" s="315">
        <f>G30*0.7</f>
        <v/>
      </c>
      <c r="H31" s="394">
        <f>G31/G33</f>
        <v/>
      </c>
      <c r="I31" s="315" t="n"/>
      <c r="J31" s="315">
        <f>J30*0.7</f>
        <v/>
      </c>
      <c r="K31" s="484" t="n"/>
      <c r="L31" s="484" t="n"/>
    </row>
    <row r="32" ht="26.45" customFormat="1" customHeight="1" s="341">
      <c r="A32" s="390" t="n"/>
      <c r="B32" s="399" t="n"/>
      <c r="C32" s="225" t="inlineStr">
        <is>
          <t>Итого по разделу «Машины и механизмы»</t>
        </is>
      </c>
      <c r="D32" s="399" t="n"/>
      <c r="E32" s="226" t="n"/>
      <c r="F32" s="227" t="n"/>
      <c r="G32" s="227">
        <f>G25+G30</f>
        <v/>
      </c>
      <c r="H32" s="228" t="n">
        <v>1</v>
      </c>
      <c r="I32" s="227" t="n"/>
      <c r="J32" s="227">
        <f>J25+J30</f>
        <v/>
      </c>
    </row>
    <row r="33" ht="42.6" customFormat="1" customHeight="1" s="341">
      <c r="A33" s="401" t="n"/>
      <c r="B33" s="399" t="n"/>
      <c r="C33" s="384" t="inlineStr">
        <is>
          <t>Итого по разделу «Машины и механизмы»  
(с коэффициентом на демонтаж 0,7)</t>
        </is>
      </c>
      <c r="D33" s="390" t="n"/>
      <c r="E33" s="391" t="n"/>
      <c r="F33" s="315" t="n"/>
      <c r="G33" s="315">
        <f>G26+G31</f>
        <v/>
      </c>
      <c r="H33" s="394" t="n">
        <v>1</v>
      </c>
      <c r="I33" s="315" t="n"/>
      <c r="J33" s="315">
        <f>J26+J31</f>
        <v/>
      </c>
    </row>
    <row r="34" ht="29.25" customHeight="1" s="343">
      <c r="A34" s="401" t="n"/>
      <c r="B34" s="384" t="inlineStr">
        <is>
          <t xml:space="preserve">Оборудование </t>
        </is>
      </c>
      <c r="C34" s="467" t="n"/>
      <c r="D34" s="467" t="n"/>
      <c r="E34" s="467" t="n"/>
      <c r="F34" s="467" t="n"/>
      <c r="G34" s="467" t="n"/>
      <c r="H34" s="467" t="n"/>
      <c r="I34" s="467" t="n"/>
      <c r="J34" s="468" t="n"/>
      <c r="K34" s="341" t="n"/>
      <c r="L34" s="341" t="n"/>
      <c r="M34" s="341" t="n"/>
      <c r="N34" s="341" t="n"/>
    </row>
    <row r="35" ht="15" customHeight="1" s="343">
      <c r="A35" s="390" t="n"/>
      <c r="B35" s="395" t="inlineStr">
        <is>
          <t>Основное оборудование</t>
        </is>
      </c>
      <c r="K35" s="341" t="n"/>
      <c r="L35" s="341" t="n"/>
      <c r="M35" s="341" t="n"/>
      <c r="N35" s="341" t="n"/>
    </row>
    <row r="36" ht="15.75" customHeight="1" s="343">
      <c r="A36" s="390" t="n"/>
      <c r="B36" s="390" t="n"/>
      <c r="C36" s="389" t="inlineStr">
        <is>
          <t>Итого основное оборудование</t>
        </is>
      </c>
      <c r="D36" s="390" t="n"/>
      <c r="E36" s="483" t="n"/>
      <c r="F36" s="392" t="n"/>
      <c r="G36" s="315" t="n">
        <v>0</v>
      </c>
      <c r="H36" s="394" t="n">
        <v>0</v>
      </c>
      <c r="I36" s="315" t="n"/>
      <c r="J36" s="315" t="n">
        <v>0</v>
      </c>
      <c r="K36" s="484" t="n"/>
      <c r="L36" s="341" t="n"/>
      <c r="M36" s="341" t="n"/>
      <c r="N36" s="341" t="n"/>
    </row>
    <row r="37" ht="13.5" customHeight="1" s="343">
      <c r="A37" s="390" t="n"/>
      <c r="B37" s="390" t="n"/>
      <c r="C37" s="389" t="inlineStr">
        <is>
          <t>Итого прочее оборудование</t>
        </is>
      </c>
      <c r="D37" s="390" t="n"/>
      <c r="E37" s="391" t="n"/>
      <c r="F37" s="392" t="n"/>
      <c r="G37" s="315" t="n">
        <v>0</v>
      </c>
      <c r="H37" s="394" t="n">
        <v>0</v>
      </c>
      <c r="I37" s="392" t="n"/>
      <c r="J37" s="315" t="n">
        <v>0</v>
      </c>
      <c r="K37" s="484" t="n"/>
      <c r="L37" s="341" t="n"/>
      <c r="M37" s="341" t="n"/>
      <c r="N37" s="341" t="n"/>
    </row>
    <row r="38" ht="13.5" customHeight="1" s="343">
      <c r="A38" s="390" t="n"/>
      <c r="B38" s="390" t="n"/>
      <c r="C38" s="384" t="inlineStr">
        <is>
          <t>Итого по разделу «Оборудование»</t>
        </is>
      </c>
      <c r="D38" s="390" t="n"/>
      <c r="E38" s="391" t="n"/>
      <c r="F38" s="392" t="n"/>
      <c r="G38" s="315">
        <f>G37+G36</f>
        <v/>
      </c>
      <c r="H38" s="394" t="n">
        <v>0</v>
      </c>
      <c r="I38" s="315" t="n"/>
      <c r="J38" s="315">
        <f>J37+J36</f>
        <v/>
      </c>
      <c r="K38" s="484" t="n"/>
      <c r="L38" s="341" t="n"/>
      <c r="M38" s="341" t="n"/>
      <c r="N38" s="341" t="n"/>
    </row>
    <row r="39" ht="15" customHeight="1" s="343">
      <c r="A39" s="390" t="n"/>
      <c r="B39" s="390" t="n"/>
      <c r="C39" s="389" t="inlineStr">
        <is>
          <t>в том числе технологическое оборудование</t>
        </is>
      </c>
      <c r="D39" s="390" t="n"/>
      <c r="E39" s="391" t="n"/>
      <c r="F39" s="392" t="n"/>
      <c r="G39" s="315">
        <f>G38</f>
        <v/>
      </c>
      <c r="H39" s="394" t="n"/>
      <c r="I39" s="315" t="n"/>
      <c r="J39" s="315">
        <f>J38</f>
        <v/>
      </c>
      <c r="K39" s="484" t="n"/>
      <c r="L39" s="341" t="n"/>
      <c r="M39" s="341" t="n"/>
      <c r="N39" s="341" t="n"/>
    </row>
    <row r="40" ht="30" customFormat="1" customHeight="1" s="341">
      <c r="A40" s="390" t="n"/>
      <c r="B40" s="486" t="inlineStr">
        <is>
          <t xml:space="preserve">Материалы </t>
        </is>
      </c>
      <c r="J40" s="487" t="n"/>
      <c r="K40" s="484" t="n"/>
    </row>
    <row r="41" ht="13.9" customFormat="1" customHeight="1" s="341">
      <c r="A41" s="390" t="n"/>
      <c r="B41" s="389" t="inlineStr">
        <is>
          <t>Основные материалы</t>
        </is>
      </c>
      <c r="C41" s="467" t="n"/>
      <c r="D41" s="467" t="n"/>
      <c r="E41" s="467" t="n"/>
      <c r="F41" s="467" t="n"/>
      <c r="G41" s="467" t="n"/>
      <c r="H41" s="468" t="n"/>
      <c r="I41" s="394" t="n"/>
      <c r="J41" s="394" t="n"/>
    </row>
    <row r="42" ht="15" customFormat="1" customHeight="1" s="341">
      <c r="A42" s="390" t="n"/>
      <c r="B42" s="294" t="n"/>
      <c r="C42" s="389" t="inlineStr">
        <is>
          <t>Итого основные материалы</t>
        </is>
      </c>
      <c r="D42" s="390" t="n"/>
      <c r="E42" s="483" t="n"/>
      <c r="F42" s="308" t="n"/>
      <c r="G42" s="315" t="n">
        <v>0</v>
      </c>
      <c r="H42" s="394" t="n">
        <v>0</v>
      </c>
      <c r="I42" s="315" t="n"/>
      <c r="J42" s="315" t="n">
        <v>0</v>
      </c>
      <c r="K42" s="484" t="n"/>
    </row>
    <row r="43" ht="13.9" customFormat="1" customHeight="1" s="341">
      <c r="A43" s="390" t="n"/>
      <c r="B43" s="390" t="n"/>
      <c r="C43" s="389" t="inlineStr">
        <is>
          <t>Итого прочие материалы</t>
        </is>
      </c>
      <c r="D43" s="390" t="n"/>
      <c r="E43" s="391" t="n"/>
      <c r="F43" s="392" t="n"/>
      <c r="G43" s="315" t="n">
        <v>0</v>
      </c>
      <c r="H43" s="394" t="n">
        <v>0</v>
      </c>
      <c r="I43" s="315" t="n"/>
      <c r="J43" s="315" t="n">
        <v>0</v>
      </c>
    </row>
    <row r="44" ht="13.9" customFormat="1" customHeight="1" s="341">
      <c r="A44" s="390" t="n"/>
      <c r="B44" s="390" t="n"/>
      <c r="C44" s="384" t="inlineStr">
        <is>
          <t>Итого по разделу «Материалы»</t>
        </is>
      </c>
      <c r="D44" s="390" t="n"/>
      <c r="E44" s="391" t="n"/>
      <c r="F44" s="392" t="n"/>
      <c r="G44" s="315">
        <f>G42+G43</f>
        <v/>
      </c>
      <c r="H44" s="394" t="n">
        <v>1</v>
      </c>
      <c r="I44" s="392" t="n"/>
      <c r="J44" s="315">
        <f>J42+J43</f>
        <v/>
      </c>
      <c r="K44" s="484" t="n"/>
    </row>
    <row r="45" ht="13.9" customFormat="1" customHeight="1" s="341">
      <c r="A45" s="390" t="n"/>
      <c r="B45" s="390" t="n"/>
      <c r="C45" s="389" t="inlineStr">
        <is>
          <t>ИТОГО ПО РМ</t>
        </is>
      </c>
      <c r="D45" s="390" t="n"/>
      <c r="E45" s="391" t="n"/>
      <c r="F45" s="392" t="n"/>
      <c r="G45" s="315">
        <f>G14+G32+G44</f>
        <v/>
      </c>
      <c r="H45" s="394" t="n"/>
      <c r="I45" s="392" t="n"/>
      <c r="J45" s="315">
        <f>J14+J32+J44</f>
        <v/>
      </c>
    </row>
    <row r="46" ht="30" customFormat="1" customHeight="1" s="341">
      <c r="A46" s="390" t="n"/>
      <c r="B46" s="390" t="n"/>
      <c r="C46" s="389" t="inlineStr">
        <is>
          <t>ИТОГО ПО РМ
(с коэффициентом на демонтаж 0,7)</t>
        </is>
      </c>
      <c r="D46" s="390" t="n"/>
      <c r="E46" s="391" t="n"/>
      <c r="F46" s="392" t="n"/>
      <c r="G46" s="315">
        <f>G15+G33</f>
        <v/>
      </c>
      <c r="H46" s="393" t="n"/>
      <c r="I46" s="315" t="n"/>
      <c r="J46" s="315">
        <f>J15+J33</f>
        <v/>
      </c>
    </row>
    <row r="47" ht="13.9" customFormat="1" customHeight="1" s="341">
      <c r="A47" s="390" t="n"/>
      <c r="B47" s="390" t="n"/>
      <c r="C47" s="389" t="inlineStr">
        <is>
          <t>Накладные расходы</t>
        </is>
      </c>
      <c r="D47" s="390" t="inlineStr">
        <is>
          <t>%</t>
        </is>
      </c>
      <c r="E47" s="242">
        <f>ROUND(G47/(G14+G17),2)</f>
        <v/>
      </c>
      <c r="F47" s="392" t="n"/>
      <c r="G47" s="315" t="n">
        <v>61131.05</v>
      </c>
      <c r="H47" s="394" t="n"/>
      <c r="I47" s="392" t="n"/>
      <c r="J47" s="315">
        <f>ROUND(E47*(J14+J17),2)</f>
        <v/>
      </c>
      <c r="K47" s="243" t="n"/>
    </row>
    <row r="48" ht="27.6" customFormat="1" customHeight="1" s="341">
      <c r="A48" s="390" t="n"/>
      <c r="B48" s="390" t="n"/>
      <c r="C48" s="389" t="inlineStr">
        <is>
          <t>Накладные расходы 
(с коэффициентом на демонтаж 0,7)</t>
        </is>
      </c>
      <c r="D48" s="319">
        <f>D47</f>
        <v/>
      </c>
      <c r="E48" s="242">
        <f>E47</f>
        <v/>
      </c>
      <c r="F48" s="392" t="n"/>
      <c r="G48" s="315">
        <f>G47*0.7</f>
        <v/>
      </c>
      <c r="H48" s="393" t="n"/>
      <c r="I48" s="315" t="n"/>
      <c r="J48" s="315">
        <f>ROUND(E48*(J15+J18),2)</f>
        <v/>
      </c>
      <c r="K48" s="243" t="n"/>
    </row>
    <row r="49" ht="13.9" customFormat="1" customHeight="1" s="341">
      <c r="A49" s="390" t="n"/>
      <c r="B49" s="390" t="n"/>
      <c r="C49" s="389" t="inlineStr">
        <is>
          <t>Сметная прибыль</t>
        </is>
      </c>
      <c r="D49" s="390" t="inlineStr">
        <is>
          <t>%</t>
        </is>
      </c>
      <c r="E49" s="242">
        <f>ROUND(G49/(G14+G17),2)</f>
        <v/>
      </c>
      <c r="F49" s="392" t="n"/>
      <c r="G49" s="315" t="n">
        <v>32141.07</v>
      </c>
      <c r="H49" s="394" t="n"/>
      <c r="I49" s="392" t="n"/>
      <c r="J49" s="315">
        <f>ROUND(E49*(J14+J17),2)</f>
        <v/>
      </c>
      <c r="K49" s="243" t="n"/>
    </row>
    <row r="50" ht="28.9" customFormat="1" customHeight="1" s="341">
      <c r="A50" s="390" t="n"/>
      <c r="B50" s="390" t="n"/>
      <c r="C50" s="389" t="inlineStr">
        <is>
          <t>Сметная прибыль 
(с коэффициентом на демонтаж 0,7)</t>
        </is>
      </c>
      <c r="D50" s="319">
        <f>D49</f>
        <v/>
      </c>
      <c r="E50" s="242">
        <f>E49</f>
        <v/>
      </c>
      <c r="F50" s="392" t="n"/>
      <c r="G50" s="315">
        <f>G49*0.7</f>
        <v/>
      </c>
      <c r="H50" s="393" t="n"/>
      <c r="I50" s="315" t="n"/>
      <c r="J50" s="315">
        <f>ROUND(E50*(J15+J18),2)</f>
        <v/>
      </c>
      <c r="K50" s="243" t="n"/>
    </row>
    <row r="51" ht="27.6" customFormat="1" customHeight="1" s="341">
      <c r="A51" s="390" t="n"/>
      <c r="B51" s="390" t="n"/>
      <c r="C51" s="389" t="inlineStr">
        <is>
          <t>Итого СМР (с НР и СП) 
(с коэффициентом на демонтаж 0,7)</t>
        </is>
      </c>
      <c r="D51" s="390" t="n"/>
      <c r="E51" s="391" t="n"/>
      <c r="F51" s="392" t="n"/>
      <c r="G51" s="315">
        <f>G46+G48+G50</f>
        <v/>
      </c>
      <c r="H51" s="394" t="n"/>
      <c r="I51" s="392" t="n"/>
      <c r="J51" s="315">
        <f>J46+J48+J50</f>
        <v/>
      </c>
      <c r="L51" s="244" t="n"/>
    </row>
    <row r="52" ht="27" customFormat="1" customHeight="1" s="341">
      <c r="A52" s="390" t="n"/>
      <c r="B52" s="390" t="n"/>
      <c r="C52" s="389" t="inlineStr">
        <is>
          <t>ВСЕГО СМР + ОБОРУДОВАНИЕ 
(с коэффициентом на демонтаж 0,7)</t>
        </is>
      </c>
      <c r="D52" s="390" t="n"/>
      <c r="E52" s="391" t="n"/>
      <c r="F52" s="392" t="n"/>
      <c r="G52" s="315">
        <f>G51</f>
        <v/>
      </c>
      <c r="H52" s="394" t="n"/>
      <c r="I52" s="392" t="n"/>
      <c r="J52" s="315">
        <f>J51</f>
        <v/>
      </c>
      <c r="L52" s="243" t="n"/>
    </row>
    <row r="53" ht="13.9" customFormat="1" customHeight="1" s="341">
      <c r="A53" s="390" t="n"/>
      <c r="B53" s="390" t="n"/>
      <c r="C53" s="389" t="inlineStr">
        <is>
          <t>ИТОГО ПОКАЗАТЕЛЬ НА ЕД. ИЗМ.</t>
        </is>
      </c>
      <c r="D53" s="390" t="inlineStr">
        <is>
          <t>ед.</t>
        </is>
      </c>
      <c r="E53" s="483" t="n">
        <v>16</v>
      </c>
      <c r="F53" s="392" t="n"/>
      <c r="G53" s="315">
        <f>G52/E53</f>
        <v/>
      </c>
      <c r="H53" s="394" t="n"/>
      <c r="I53" s="392" t="n"/>
      <c r="J53" s="315">
        <f>J52/E53</f>
        <v/>
      </c>
      <c r="L53" s="243" t="n"/>
    </row>
    <row r="54" ht="13.9" customFormat="1" customHeight="1" s="341">
      <c r="A54" s="339" t="n"/>
    </row>
    <row r="55" ht="13.9" customFormat="1" customHeight="1" s="341">
      <c r="A55" s="335" t="inlineStr">
        <is>
          <t>Составил ______________________      А.Р. Маркова</t>
        </is>
      </c>
    </row>
    <row r="56" ht="13.9" customFormat="1" customHeight="1" s="341">
      <c r="A56" s="342" t="inlineStr">
        <is>
          <t xml:space="preserve">                         (подпись, инициалы, фамилия)</t>
        </is>
      </c>
    </row>
    <row r="57" ht="13.9" customFormat="1" customHeight="1" s="341">
      <c r="A57" s="335" t="n"/>
    </row>
    <row r="58" ht="13.9" customFormat="1" customHeight="1" s="341">
      <c r="A58" s="335" t="inlineStr">
        <is>
          <t>Проверил ______________________        А.В. Костянецкая</t>
        </is>
      </c>
    </row>
    <row r="59" ht="13.9" customFormat="1" customHeight="1" s="341">
      <c r="A59" s="342" t="inlineStr">
        <is>
          <t xml:space="preserve">                        (подпись, инициалы, фамилия)</t>
        </is>
      </c>
    </row>
  </sheetData>
  <mergeCells count="20">
    <mergeCell ref="H9:H10"/>
    <mergeCell ref="B20:H20"/>
    <mergeCell ref="C9:C10"/>
    <mergeCell ref="E9:E10"/>
    <mergeCell ref="B34:J34"/>
    <mergeCell ref="B41:H41"/>
    <mergeCell ref="A7:H7"/>
    <mergeCell ref="B40:J40"/>
    <mergeCell ref="B16:H16"/>
    <mergeCell ref="B9:B10"/>
    <mergeCell ref="D9:D10"/>
    <mergeCell ref="B12:H12"/>
    <mergeCell ref="D6:J6"/>
    <mergeCell ref="B35:J35"/>
    <mergeCell ref="F9:G9"/>
    <mergeCell ref="A4:H4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topLeftCell="A2" workbookViewId="0">
      <selection activeCell="B15" sqref="B15"/>
    </sheetView>
  </sheetViews>
  <sheetFormatPr baseColWidth="8" defaultRowHeight="15"/>
  <cols>
    <col width="5.7109375" customWidth="1" style="343" min="1" max="1"/>
    <col width="14.85546875" customWidth="1" style="343" min="2" max="2"/>
    <col width="41.85546875" customWidth="1" style="343" min="3" max="3"/>
    <col width="9.7109375" customWidth="1" style="343" min="4" max="4"/>
    <col width="13.5703125" customWidth="1" style="343" min="5" max="5"/>
    <col width="12.42578125" customWidth="1" style="343" min="6" max="6"/>
    <col width="14.140625" customWidth="1" style="343" min="7" max="7"/>
  </cols>
  <sheetData>
    <row r="1">
      <c r="A1" s="409" t="inlineStr">
        <is>
          <t>Приложение №6</t>
        </is>
      </c>
    </row>
    <row r="2">
      <c r="A2" s="409" t="n"/>
      <c r="B2" s="409" t="n"/>
      <c r="C2" s="409" t="n"/>
      <c r="D2" s="409" t="n"/>
      <c r="E2" s="409" t="n"/>
      <c r="F2" s="409" t="n"/>
      <c r="G2" s="409" t="n"/>
    </row>
    <row r="3" ht="24.75" customHeight="1" s="343">
      <c r="A3" s="363" t="inlineStr">
        <is>
          <t>Расчет стоимости оборудования</t>
        </is>
      </c>
    </row>
    <row r="4" ht="24.75" customHeight="1" s="343">
      <c r="A4" s="363" t="n"/>
      <c r="B4" s="363" t="n"/>
      <c r="C4" s="363" t="n"/>
      <c r="D4" s="363" t="n"/>
      <c r="E4" s="363" t="n"/>
      <c r="F4" s="363" t="n"/>
      <c r="G4" s="363" t="n"/>
    </row>
    <row r="5" ht="25.5" customHeight="1" s="343">
      <c r="A5" s="366" t="inlineStr">
        <is>
          <t xml:space="preserve">Наименование разрабатываемого показателя УНЦ - </t>
        </is>
      </c>
      <c r="D5" s="366" t="inlineStr">
        <is>
          <t>Демонтаж ячейки выключателя ВУ 110кВ</t>
        </is>
      </c>
    </row>
    <row r="6">
      <c r="A6" s="335" t="n"/>
      <c r="B6" s="335" t="n"/>
      <c r="C6" s="335" t="n"/>
      <c r="D6" s="335" t="n"/>
      <c r="E6" s="335" t="n"/>
      <c r="F6" s="335" t="n"/>
      <c r="G6" s="335" t="n"/>
    </row>
    <row r="7" ht="30" customHeight="1" s="343">
      <c r="A7" s="410" t="inlineStr">
        <is>
          <t>№ пп.</t>
        </is>
      </c>
      <c r="B7" s="410" t="inlineStr">
        <is>
          <t>Код ресурса</t>
        </is>
      </c>
      <c r="C7" s="410" t="inlineStr">
        <is>
          <t>Наименование</t>
        </is>
      </c>
      <c r="D7" s="410" t="inlineStr">
        <is>
          <t>Ед. изм.</t>
        </is>
      </c>
      <c r="E7" s="390" t="inlineStr">
        <is>
          <t>Кол-во единиц по проектным данным</t>
        </is>
      </c>
      <c r="F7" s="410" t="inlineStr">
        <is>
          <t>Сметная стоимость в ценах на 01.01.2000 (руб.)</t>
        </is>
      </c>
      <c r="G7" s="468" t="n"/>
    </row>
    <row r="8">
      <c r="A8" s="470" t="n"/>
      <c r="B8" s="470" t="n"/>
      <c r="C8" s="470" t="n"/>
      <c r="D8" s="470" t="n"/>
      <c r="E8" s="470" t="n"/>
      <c r="F8" s="390" t="inlineStr">
        <is>
          <t>на ед. изм.</t>
        </is>
      </c>
      <c r="G8" s="390" t="inlineStr">
        <is>
          <t>общая</t>
        </is>
      </c>
    </row>
    <row r="9">
      <c r="A9" s="390" t="n">
        <v>1</v>
      </c>
      <c r="B9" s="390" t="n">
        <v>2</v>
      </c>
      <c r="C9" s="390" t="n">
        <v>3</v>
      </c>
      <c r="D9" s="390" t="n">
        <v>4</v>
      </c>
      <c r="E9" s="390" t="n">
        <v>5</v>
      </c>
      <c r="F9" s="390" t="n">
        <v>6</v>
      </c>
      <c r="G9" s="390" t="n">
        <v>7</v>
      </c>
    </row>
    <row r="10" ht="15" customHeight="1" s="343">
      <c r="A10" s="198" t="n"/>
      <c r="B10" s="389" t="inlineStr">
        <is>
          <t>ИНЖЕНЕРНОЕ ОБОРУДОВАНИЕ</t>
        </is>
      </c>
      <c r="C10" s="467" t="n"/>
      <c r="D10" s="467" t="n"/>
      <c r="E10" s="467" t="n"/>
      <c r="F10" s="467" t="n"/>
      <c r="G10" s="468" t="n"/>
    </row>
    <row r="11" ht="20.25" customHeight="1" s="343">
      <c r="A11" s="390" t="n"/>
      <c r="B11" s="384" t="n"/>
      <c r="C11" s="389" t="inlineStr">
        <is>
          <t>ИТОГО ИНЖЕНЕРНОЕ ОБОРУДОВАНИЕ</t>
        </is>
      </c>
      <c r="D11" s="384" t="n"/>
      <c r="E11" s="142" t="n"/>
      <c r="F11" s="392" t="n"/>
      <c r="G11" s="392" t="n">
        <v>0</v>
      </c>
    </row>
    <row r="12" ht="15" customHeight="1" s="343">
      <c r="A12" s="390" t="n"/>
      <c r="B12" s="155" t="inlineStr">
        <is>
          <t>ТЕХНОЛОГИЧЕСКОЕ ОБОРУДОВАНИЕ</t>
        </is>
      </c>
      <c r="C12" s="488" t="n"/>
      <c r="D12" s="488" t="n"/>
      <c r="E12" s="488" t="n"/>
      <c r="F12" s="488" t="n"/>
      <c r="G12" s="489" t="n"/>
    </row>
    <row r="13" ht="25.5" customHeight="1" s="343">
      <c r="A13" s="401" t="n"/>
      <c r="B13" s="389" t="n"/>
      <c r="C13" s="405" t="inlineStr">
        <is>
          <t>ИТОГО ТЕХНОЛОГИЧЕСКОЕ ОБОРУДОВАНИЕ</t>
        </is>
      </c>
      <c r="D13" s="389" t="n"/>
      <c r="E13" s="308" t="n"/>
      <c r="F13" s="392" t="n"/>
      <c r="G13" s="304" t="n">
        <v>0</v>
      </c>
    </row>
    <row r="14" ht="19.5" customHeight="1" s="343">
      <c r="A14" s="390" t="n"/>
      <c r="B14" s="159" t="n"/>
      <c r="C14" s="159" t="inlineStr">
        <is>
          <t>Всего по разделу «Оборудование»</t>
        </is>
      </c>
      <c r="D14" s="159" t="n"/>
      <c r="E14" s="160" t="n"/>
      <c r="F14" s="305" t="n"/>
      <c r="G14" s="315">
        <f>G11+G13</f>
        <v/>
      </c>
    </row>
    <row r="15">
      <c r="A15" s="339" t="n"/>
      <c r="B15" s="340" t="n"/>
      <c r="C15" s="339" t="n"/>
      <c r="D15" s="339" t="n"/>
      <c r="E15" s="339" t="n"/>
      <c r="F15" s="339" t="n"/>
      <c r="G15" s="339" t="n"/>
    </row>
    <row r="16" s="343">
      <c r="A16" s="335" t="inlineStr">
        <is>
          <t>Составил ______________________      А.Р. Маркова</t>
        </is>
      </c>
      <c r="B16" s="341" t="n"/>
      <c r="C16" s="341" t="n"/>
      <c r="D16" s="339" t="n"/>
      <c r="E16" s="339" t="n"/>
      <c r="F16" s="339" t="n"/>
      <c r="G16" s="339" t="n"/>
    </row>
    <row r="17" s="343">
      <c r="A17" s="342" t="inlineStr">
        <is>
          <t xml:space="preserve">                         (подпись, инициалы, фамилия)</t>
        </is>
      </c>
      <c r="B17" s="341" t="n"/>
      <c r="C17" s="341" t="n"/>
      <c r="D17" s="339" t="n"/>
      <c r="E17" s="339" t="n"/>
      <c r="F17" s="339" t="n"/>
      <c r="G17" s="339" t="n"/>
    </row>
    <row r="18" s="343">
      <c r="A18" s="335" t="n"/>
      <c r="B18" s="341" t="n"/>
      <c r="C18" s="341" t="n"/>
      <c r="D18" s="339" t="n"/>
      <c r="E18" s="339" t="n"/>
      <c r="F18" s="339" t="n"/>
      <c r="G18" s="339" t="n"/>
    </row>
    <row r="19" s="343">
      <c r="A19" s="335" t="inlineStr">
        <is>
          <t>Проверил ______________________        А.В. Костянецкая</t>
        </is>
      </c>
      <c r="B19" s="341" t="n"/>
      <c r="C19" s="341" t="n"/>
      <c r="D19" s="339" t="n"/>
      <c r="E19" s="339" t="n"/>
      <c r="F19" s="339" t="n"/>
      <c r="G19" s="339" t="n"/>
    </row>
    <row r="20" s="343">
      <c r="A20" s="342" t="inlineStr">
        <is>
          <t xml:space="preserve">                        (подпись, инициалы, фамилия)</t>
        </is>
      </c>
      <c r="B20" s="341" t="n"/>
      <c r="C20" s="341" t="n"/>
      <c r="D20" s="339" t="n"/>
      <c r="E20" s="339" t="n"/>
      <c r="F20" s="339" t="n"/>
      <c r="G20" s="339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43" min="1" max="1"/>
    <col width="29.7109375" customWidth="1" style="343" min="2" max="2"/>
    <col width="39.140625" customWidth="1" style="343" min="3" max="3"/>
    <col width="24.5703125" customWidth="1" style="343" min="4" max="4"/>
    <col width="8.85546875" customWidth="1" style="343" min="5" max="5"/>
  </cols>
  <sheetData>
    <row r="1">
      <c r="B1" s="335" t="n"/>
      <c r="C1" s="335" t="n"/>
      <c r="D1" s="409" t="inlineStr">
        <is>
          <t>Приложение №7</t>
        </is>
      </c>
    </row>
    <row r="2">
      <c r="A2" s="409" t="n"/>
      <c r="B2" s="409" t="n"/>
      <c r="C2" s="409" t="n"/>
      <c r="D2" s="409" t="n"/>
    </row>
    <row r="3" ht="24.75" customHeight="1" s="343">
      <c r="A3" s="363" t="inlineStr">
        <is>
          <t>Расчет показателя УНЦ</t>
        </is>
      </c>
    </row>
    <row r="4" ht="24.75" customHeight="1" s="343">
      <c r="A4" s="363" t="n"/>
      <c r="B4" s="363" t="n"/>
      <c r="C4" s="363" t="n"/>
      <c r="D4" s="363" t="n"/>
    </row>
    <row r="5" ht="24.6" customHeight="1" s="343">
      <c r="A5" s="366" t="inlineStr">
        <is>
          <t xml:space="preserve">Наименование разрабатываемого показателя УНЦ - </t>
        </is>
      </c>
      <c r="D5" s="366">
        <f>'Прил.5 Расчет СМР и ОБ'!D6:J6</f>
        <v/>
      </c>
    </row>
    <row r="6" ht="19.9" customHeight="1" s="343">
      <c r="A6" s="366" t="inlineStr">
        <is>
          <t>Единица измерения  — 1 ячейка</t>
        </is>
      </c>
      <c r="D6" s="366" t="n"/>
    </row>
    <row r="7">
      <c r="A7" s="335" t="n"/>
      <c r="B7" s="335" t="n"/>
      <c r="C7" s="335" t="n"/>
      <c r="D7" s="335" t="n"/>
    </row>
    <row r="8" ht="14.45" customHeight="1" s="343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43">
      <c r="A9" s="470" t="n"/>
      <c r="B9" s="470" t="n"/>
      <c r="C9" s="470" t="n"/>
      <c r="D9" s="470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41.45" customHeight="1" s="343">
      <c r="A11" s="390" t="inlineStr">
        <is>
          <t>М6-02-3</t>
        </is>
      </c>
      <c r="B11" s="390" t="inlineStr">
        <is>
          <t>УНЦ на демонтажные работы ПС</t>
        </is>
      </c>
      <c r="C11" s="337">
        <f>D5</f>
        <v/>
      </c>
      <c r="D11" s="338">
        <f>'Прил.4 РМ'!C41/1000</f>
        <v/>
      </c>
      <c r="E11" s="170" t="n"/>
    </row>
    <row r="12">
      <c r="A12" s="339" t="n"/>
      <c r="B12" s="340" t="n"/>
      <c r="C12" s="339" t="n"/>
      <c r="D12" s="339" t="n"/>
    </row>
    <row r="13">
      <c r="A13" s="335" t="inlineStr">
        <is>
          <t>Составил ______________________        А.Р. Маркова</t>
        </is>
      </c>
      <c r="B13" s="341" t="n"/>
      <c r="C13" s="341" t="n"/>
      <c r="D13" s="339" t="n"/>
    </row>
    <row r="14">
      <c r="A14" s="342" t="inlineStr">
        <is>
          <t xml:space="preserve">                         (подпись, инициалы, фамилия)</t>
        </is>
      </c>
      <c r="B14" s="341" t="n"/>
      <c r="C14" s="341" t="n"/>
      <c r="D14" s="339" t="n"/>
    </row>
    <row r="15">
      <c r="A15" s="335" t="n"/>
      <c r="B15" s="341" t="n"/>
      <c r="C15" s="341" t="n"/>
      <c r="D15" s="339" t="n"/>
    </row>
    <row r="16">
      <c r="A16" s="335" t="inlineStr">
        <is>
          <t>Проверил ______________________        А.В. Костянецкая</t>
        </is>
      </c>
      <c r="B16" s="341" t="n"/>
      <c r="C16" s="341" t="n"/>
      <c r="D16" s="339" t="n"/>
    </row>
    <row r="17">
      <c r="A17" s="342" t="inlineStr">
        <is>
          <t xml:space="preserve">                        (подпись, инициалы, фамилия)</t>
        </is>
      </c>
      <c r="B17" s="341" t="n"/>
      <c r="C17" s="341" t="n"/>
      <c r="D17" s="3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D26" sqref="D26"/>
    </sheetView>
  </sheetViews>
  <sheetFormatPr baseColWidth="8" defaultRowHeight="15"/>
  <cols>
    <col width="40.7109375" customWidth="1" style="343" min="2" max="2"/>
    <col width="37" customWidth="1" style="343" min="3" max="3"/>
    <col width="32" customWidth="1" style="343" min="4" max="4"/>
  </cols>
  <sheetData>
    <row r="4" ht="15.6" customHeight="1" s="343">
      <c r="B4" s="371" t="inlineStr">
        <is>
          <t>Приложение № 10</t>
        </is>
      </c>
    </row>
    <row r="5" ht="18" customHeight="1" s="343">
      <c r="B5" s="171" t="n"/>
    </row>
    <row r="6" ht="15.6" customHeight="1" s="343">
      <c r="B6" s="381" t="inlineStr">
        <is>
          <t>Используемые индексы изменений сметной стоимости и нормы сопутствующих затрат</t>
        </is>
      </c>
    </row>
    <row r="7" ht="18" customHeight="1" s="343">
      <c r="B7" s="250" t="n"/>
    </row>
    <row r="8" ht="46.9" customHeight="1" s="343">
      <c r="B8" s="376" t="inlineStr">
        <is>
          <t>Наименование индекса / норм сопутствующих затрат</t>
        </is>
      </c>
      <c r="C8" s="376" t="inlineStr">
        <is>
          <t>Дата применения и обоснование индекса / норм сопутствующих затрат</t>
        </is>
      </c>
      <c r="D8" s="376" t="inlineStr">
        <is>
          <t>Размер индекса / норма сопутствующих затрат</t>
        </is>
      </c>
    </row>
    <row r="9" ht="15.6" customHeight="1" s="343">
      <c r="B9" s="376" t="n">
        <v>1</v>
      </c>
      <c r="C9" s="376" t="n">
        <v>2</v>
      </c>
      <c r="D9" s="376" t="n">
        <v>3</v>
      </c>
    </row>
    <row r="10" ht="45" customHeight="1" s="343">
      <c r="B10" s="376" t="inlineStr">
        <is>
          <t xml:space="preserve">Индекс изменения сметной стоимости на 1 квартал 2023 года. ОЗП </t>
        </is>
      </c>
      <c r="C10" s="376" t="inlineStr">
        <is>
          <t>Письмо Минстроя России от 30.03.2023г. №17106-ИФ/09  прил.1</t>
        </is>
      </c>
      <c r="D10" s="376" t="n">
        <v>44.29</v>
      </c>
    </row>
    <row r="11" ht="29.25" customHeight="1" s="343">
      <c r="B11" s="376" t="inlineStr">
        <is>
          <t>Индекс изменения сметной стоимости на 1 квартал 2023 года. ЭМ</t>
        </is>
      </c>
      <c r="C11" s="376" t="inlineStr">
        <is>
          <t>Письмо Минстроя России от 30.03.2023г. №17106-ИФ/09  прил.1</t>
        </is>
      </c>
      <c r="D11" s="376" t="n">
        <v>13.47</v>
      </c>
    </row>
    <row r="12" ht="29.25" customHeight="1" s="343">
      <c r="B12" s="376" t="inlineStr">
        <is>
          <t>Индекс изменения сметной стоимости на 1 квартал 2023 года. МАТ</t>
        </is>
      </c>
      <c r="C12" s="376" t="inlineStr">
        <is>
          <t>Письмо Минстроя России от 30.03.2023г. №17106-ИФ/09  прил.1</t>
        </is>
      </c>
      <c r="D12" s="376" t="n">
        <v>8.039999999999999</v>
      </c>
    </row>
    <row r="13" ht="30.75" customHeight="1" s="343">
      <c r="B13" s="376" t="inlineStr">
        <is>
          <t>Индекс изменения сметной стоимости на 1 квартал 2023 года. ОБ</t>
        </is>
      </c>
      <c r="C13" s="252" t="inlineStr">
        <is>
          <t>Письмо Минстроя России от 23.02.2023г. №9791-ИФ/09 прил.6</t>
        </is>
      </c>
      <c r="D13" s="376" t="n">
        <v>6.26</v>
      </c>
    </row>
    <row r="14" ht="89.25" customHeight="1" s="343">
      <c r="B14" s="376" t="inlineStr">
        <is>
          <t>Временные здания и сооружения</t>
        </is>
      </c>
      <c r="C14" s="3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82" t="n">
        <v>0.039</v>
      </c>
    </row>
    <row r="15" ht="78" customHeight="1" s="343">
      <c r="B15" s="376" t="inlineStr">
        <is>
          <t>Дополнительные затраты при производстве строительно-монтажных работ в зимнее время</t>
        </is>
      </c>
      <c r="C15" s="3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82" t="n">
        <v>0.021</v>
      </c>
    </row>
    <row r="16" ht="34.5" customHeight="1" s="343">
      <c r="B16" s="376" t="n"/>
      <c r="C16" s="376" t="n"/>
      <c r="D16" s="376" t="n"/>
    </row>
    <row r="17" ht="31.5" customHeight="1" s="343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82" t="n">
        <v>0.0214</v>
      </c>
    </row>
    <row r="18" ht="31.5" customHeight="1" s="343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82" t="n">
        <v>0.002</v>
      </c>
    </row>
    <row r="19" ht="24" customHeight="1" s="343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82" t="n">
        <v>0.03</v>
      </c>
    </row>
    <row r="20" ht="18" customHeight="1" s="343">
      <c r="B20" s="250" t="n"/>
    </row>
    <row r="21" ht="18" customHeight="1" s="343">
      <c r="B21" s="250" t="n"/>
    </row>
    <row r="22" ht="18" customHeight="1" s="343">
      <c r="B22" s="250" t="n"/>
    </row>
    <row r="23" ht="18" customHeight="1" s="343">
      <c r="B23" s="250" t="n"/>
    </row>
    <row r="26">
      <c r="B26" s="335" t="inlineStr">
        <is>
          <t>Составил ______________________    А.Р. Маркова</t>
        </is>
      </c>
      <c r="C26" s="341" t="n"/>
    </row>
    <row r="27">
      <c r="B27" s="342" t="inlineStr">
        <is>
          <t xml:space="preserve">                         (подпись, инициалы, фамилия)</t>
        </is>
      </c>
      <c r="C27" s="341" t="n"/>
    </row>
    <row r="28">
      <c r="B28" s="335" t="n"/>
      <c r="C28" s="341" t="n"/>
    </row>
    <row r="29">
      <c r="B29" s="335" t="inlineStr">
        <is>
          <t>Проверил ______________________        А.В. Костянецкая</t>
        </is>
      </c>
      <c r="C29" s="341" t="n"/>
    </row>
    <row r="30">
      <c r="B30" s="342" t="inlineStr">
        <is>
          <t xml:space="preserve">                        (подпись, инициалы, фамилия)</t>
        </is>
      </c>
      <c r="C30" s="34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43" min="2" max="2"/>
    <col width="13" customWidth="1" style="343" min="3" max="3"/>
    <col width="22.85546875" customWidth="1" style="343" min="4" max="4"/>
    <col width="21.5703125" customWidth="1" style="343" min="5" max="5"/>
    <col width="53.7109375" bestFit="1" customWidth="1" style="343" min="6" max="6"/>
  </cols>
  <sheetData>
    <row r="1" s="343"/>
    <row r="2" ht="17.25" customHeight="1" s="343">
      <c r="A2" s="381" t="inlineStr">
        <is>
          <t>Расчет размера средств на оплату труда рабочих-строителей в текущем уровне цен (ФОТр.тек.)</t>
        </is>
      </c>
    </row>
    <row r="3" s="343"/>
    <row r="4" ht="18" customHeight="1" s="343">
      <c r="A4" s="344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43">
      <c r="A5" s="346" t="inlineStr">
        <is>
          <t>№ пп.</t>
        </is>
      </c>
      <c r="B5" s="346" t="inlineStr">
        <is>
          <t>Наименование элемента</t>
        </is>
      </c>
      <c r="C5" s="346" t="inlineStr">
        <is>
          <t>Обозначение</t>
        </is>
      </c>
      <c r="D5" s="346" t="inlineStr">
        <is>
          <t>Формула</t>
        </is>
      </c>
      <c r="E5" s="346" t="inlineStr">
        <is>
          <t>Величина элемента</t>
        </is>
      </c>
      <c r="F5" s="346" t="inlineStr">
        <is>
          <t>Наименования обосновывающих документов</t>
        </is>
      </c>
      <c r="G5" s="345" t="n"/>
    </row>
    <row r="6" ht="15.75" customHeight="1" s="343">
      <c r="A6" s="346" t="n">
        <v>1</v>
      </c>
      <c r="B6" s="346" t="n">
        <v>2</v>
      </c>
      <c r="C6" s="346" t="n">
        <v>3</v>
      </c>
      <c r="D6" s="346" t="n">
        <v>4</v>
      </c>
      <c r="E6" s="346" t="n">
        <v>5</v>
      </c>
      <c r="F6" s="346" t="n">
        <v>6</v>
      </c>
      <c r="G6" s="345" t="n"/>
    </row>
    <row r="7" ht="110.25" customHeight="1" s="343">
      <c r="A7" s="347" t="inlineStr">
        <is>
          <t>1.1</t>
        </is>
      </c>
      <c r="B7" s="3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350" t="n">
        <v>47872.94</v>
      </c>
      <c r="F7" s="3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43">
      <c r="A8" s="347" t="inlineStr">
        <is>
          <t>1.2</t>
        </is>
      </c>
      <c r="B8" s="352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351">
        <f>1973/12</f>
        <v/>
      </c>
      <c r="F8" s="352" t="inlineStr">
        <is>
          <t>Производственный календарь 2023 год
(40-часов.неделя)</t>
        </is>
      </c>
      <c r="G8" s="354" t="n"/>
    </row>
    <row r="9" ht="15.75" customHeight="1" s="343">
      <c r="A9" s="347" t="inlineStr">
        <is>
          <t>1.3</t>
        </is>
      </c>
      <c r="B9" s="352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351" t="n">
        <v>1</v>
      </c>
      <c r="F9" s="352" t="n"/>
      <c r="G9" s="354" t="n"/>
    </row>
    <row r="10" ht="15.75" customHeight="1" s="343">
      <c r="A10" s="347" t="inlineStr">
        <is>
          <t>1.4</t>
        </is>
      </c>
      <c r="B10" s="352" t="inlineStr">
        <is>
          <t>Средний разряд работ</t>
        </is>
      </c>
      <c r="C10" s="376" t="n"/>
      <c r="D10" s="376" t="n"/>
      <c r="E10" s="490" t="n">
        <v>4</v>
      </c>
      <c r="F10" s="352" t="inlineStr">
        <is>
          <t>РТМ</t>
        </is>
      </c>
      <c r="G10" s="354" t="n"/>
    </row>
    <row r="11" ht="78.75" customHeight="1" s="343">
      <c r="A11" s="347" t="inlineStr">
        <is>
          <t>1.5</t>
        </is>
      </c>
      <c r="B11" s="352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491" t="n">
        <v>1.34</v>
      </c>
      <c r="F11" s="3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43">
      <c r="A12" s="357" t="inlineStr">
        <is>
          <t>1.6</t>
        </is>
      </c>
      <c r="B12" s="459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92" t="n">
        <v>1.139</v>
      </c>
      <c r="F12" s="4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3">
      <c r="A13" s="462" t="inlineStr">
        <is>
          <t>1.7</t>
        </is>
      </c>
      <c r="B13" s="463" t="inlineStr">
        <is>
          <t>Размер средств на оплату труда рабочих-строителей в текущем уровне цен (ФОТр.тек.), руб/чел.-ч</t>
        </is>
      </c>
      <c r="C13" s="464" t="inlineStr">
        <is>
          <t>ФОТр.тек.</t>
        </is>
      </c>
      <c r="D13" s="464" t="inlineStr">
        <is>
          <t>(С1ср/tср*КТ*Т*Кув)*Кинф</t>
        </is>
      </c>
      <c r="E13" s="465">
        <f>((E7*E9/E8)*E11)*E12</f>
        <v/>
      </c>
      <c r="F13" s="4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2025-01-24T12:11:33Z</dcterms:modified>
  <cp:lastModifiedBy>Николай Трофименко</cp:lastModifiedBy>
  <cp:lastPrinted>2023-11-29T09:03:22Z</cp:lastPrinted>
</cp:coreProperties>
</file>