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891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Прил.3!$A$3</definedName>
    <definedName name="_xlnm.Print_Titles" localSheetId="2">'Прил.3'!$8:$10</definedName>
    <definedName name="_xlnm.Print_Area" localSheetId="2">'Прил.3'!$A$1:$H$54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РМ'!$B$6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ОБ'!$A$1:$J$65</definedName>
    <definedName name="\AUTOEXEC" localSheetId="6">#REF!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xlnm.Primt_Area_3" localSheetId="6">#REF!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xlnm.Primt_Area_3" localSheetId="6">#REF!</definedName>
    <definedName name="_02121" localSheetId="6">#REF!</definedName>
    <definedName name="_Hlt440565644_1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z" localSheetId="6">#REF!</definedName>
    <definedName name="asd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SD_DC" localSheetId="6">#REF!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гш" localSheetId="6">#REF!</definedName>
    <definedName name="йцу" localSheetId="6">#REF!</definedName>
    <definedName name="корр" localSheetId="6">{#N/A,#N/A,FALSE,"Шаблон_Спец1"}</definedName>
    <definedName name="Костромская_область" localSheetId="6">#REF!</definedName>
    <definedName name="мил" localSheetId="6">{0,"овz";1,"z";2,"аz";5,"овz"}</definedName>
    <definedName name="мин" localSheetId="6">#REF!</definedName>
    <definedName name="нр" localSheetId="6">#REF!</definedName>
    <definedName name="Нсапк" localSheetId="6">#REF!</definedName>
    <definedName name="Нсстр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с1" localSheetId="6">#REF!</definedName>
    <definedName name="т" localSheetId="6">#REF!</definedName>
    <definedName name="тыс" localSheetId="6">{0,"тысячz";1,"тысячаz";2,"тысячиz";5,"тысячz"}</definedName>
    <definedName name="тьбю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ЭКСПО" localSheetId="6">#REF!</definedName>
    <definedName name="ЭКСПОФОРУМ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10">
    <numFmt numFmtId="164" formatCode="_-* #,##0\ _₽_-;\-* #,##0\ _₽_-;_-* &quot;-&quot;??\ _₽_-;_-@_-"/>
    <numFmt numFmtId="165" formatCode="#,##0.0000"/>
    <numFmt numFmtId="166" formatCode="#,##0.00000"/>
    <numFmt numFmtId="167" formatCode="_-* #,##0.0\ _₽_-;\-* #,##0.0\ _₽_-;_-* &quot;-&quot;??\ _₽_-;_-@_-"/>
    <numFmt numFmtId="168" formatCode="0.0_ ;\-0.0\ "/>
    <numFmt numFmtId="169" formatCode="0.0000"/>
    <numFmt numFmtId="170" formatCode="#,##0.00_ ;\-#,##0.00\ "/>
    <numFmt numFmtId="171" formatCode="#,##0.0000_ ;\-#,##0.0000\ "/>
    <numFmt numFmtId="172" formatCode="#,##0.0"/>
    <numFmt numFmtId="173" formatCode="#,##0.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E7E6E6"/>
      <sz val="11"/>
    </font>
    <font>
      <name val="Calibri"/>
      <color rgb="FFBFBFBF"/>
      <sz val="11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00"/>
      <sz val="10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b val="1"/>
      <color rgb="FF000000"/>
      <sz val="10"/>
      <u val="single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10" fontId="17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167" fontId="18" fillId="4" borderId="0" pivotButton="0" quotePrefix="0" xfId="0"/>
    <xf numFmtId="0" fontId="0" fillId="0" borderId="1" applyAlignment="1" pivotButton="0" quotePrefix="0" xfId="0">
      <alignment horizontal="center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168" fontId="13" fillId="4" borderId="0" pivotButton="0" quotePrefix="0" xfId="0"/>
    <xf numFmtId="0" fontId="17" fillId="0" borderId="0" applyAlignment="1" pivotButton="0" quotePrefix="0" xfId="0">
      <alignment horizontal="right"/>
    </xf>
    <xf numFmtId="0" fontId="0" fillId="6" borderId="6" applyAlignment="1" pivotButton="0" quotePrefix="0" xfId="0">
      <alignment horizontal="center" vertical="center" wrapText="1"/>
    </xf>
    <xf numFmtId="0" fontId="0" fillId="6" borderId="7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169" fontId="0" fillId="7" borderId="8" applyAlignment="1" pivotButton="0" quotePrefix="0" xfId="0">
      <alignment horizontal="center" vertical="center"/>
    </xf>
    <xf numFmtId="169" fontId="0" fillId="0" borderId="8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9" fontId="0" fillId="7" borderId="10" applyAlignment="1" pivotButton="0" quotePrefix="0" xfId="0">
      <alignment horizontal="center" vertical="center"/>
    </xf>
    <xf numFmtId="169" fontId="0" fillId="0" borderId="10" applyAlignment="1" pivotButton="0" quotePrefix="0" xfId="0">
      <alignment horizontal="center" vertical="center"/>
    </xf>
    <xf numFmtId="169" fontId="0" fillId="7" borderId="7" applyAlignment="1" pivotButton="0" quotePrefix="0" xfId="0">
      <alignment horizontal="center" vertical="center"/>
    </xf>
    <xf numFmtId="169" fontId="0" fillId="0" borderId="7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7" borderId="10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0" fillId="0" borderId="0" pivotButton="0" quotePrefix="0" xfId="0"/>
    <xf numFmtId="0" fontId="0" fillId="5" borderId="0" pivotButton="0" quotePrefix="0" xfId="0"/>
    <xf numFmtId="0" fontId="0" fillId="0" borderId="0" pivotButton="0" quotePrefix="0" xfId="0"/>
    <xf numFmtId="0" fontId="17" fillId="0" borderId="0" pivotButton="0" quotePrefix="0" xfId="0"/>
    <xf numFmtId="0" fontId="16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170" fontId="19" fillId="0" borderId="0" pivotButton="0" quotePrefix="0" xfId="0"/>
    <xf numFmtId="0" fontId="0" fillId="0" borderId="0" pivotButton="0" quotePrefix="0" xfId="0"/>
    <xf numFmtId="0" fontId="20" fillId="0" borderId="1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69" fontId="1" fillId="0" borderId="1" applyAlignment="1" pivotButton="0" quotePrefix="0" xfId="0">
      <alignment horizontal="center" vertical="top" wrapText="1"/>
    </xf>
    <xf numFmtId="169" fontId="0" fillId="0" borderId="0" pivotButton="0" quotePrefix="0" xfId="0"/>
    <xf numFmtId="171" fontId="2" fillId="0" borderId="1" applyAlignment="1" pivotButton="0" quotePrefix="0" xfId="0">
      <alignment vertical="center" wrapText="1"/>
    </xf>
    <xf numFmtId="49" fontId="17" fillId="0" borderId="1" applyAlignment="1" pivotButton="0" quotePrefix="0" xfId="0">
      <alignment horizontal="center" vertical="center" wrapText="1"/>
    </xf>
    <xf numFmtId="4" fontId="17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top" wrapText="1"/>
    </xf>
    <xf numFmtId="165" fontId="1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4" fontId="1" fillId="0" borderId="12" applyAlignment="1" pivotButton="0" quotePrefix="0" xfId="0">
      <alignment horizontal="right" vertical="center" wrapText="1"/>
    </xf>
    <xf numFmtId="2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22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" fontId="1" fillId="0" borderId="1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1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72" fontId="17" fillId="0" borderId="1" applyAlignment="1" pivotButton="0" quotePrefix="0" xfId="0">
      <alignment horizontal="center" vertical="center"/>
    </xf>
    <xf numFmtId="173" fontId="17" fillId="0" borderId="1" applyAlignment="1" pivotButton="0" quotePrefix="0" xfId="0">
      <alignment horizontal="center" vertical="center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24" fillId="0" borderId="1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12" applyAlignment="1" pivotButton="0" quotePrefix="0" xfId="0">
      <alignment horizontal="center" vertical="center" wrapText="1"/>
    </xf>
    <xf numFmtId="0" fontId="20" fillId="0" borderId="2" applyAlignment="1" pivotButton="0" quotePrefix="0" xfId="0">
      <alignment horizontal="center" vertical="center" wrapText="1"/>
    </xf>
    <xf numFmtId="0" fontId="20" fillId="0" borderId="12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left" vertical="center" wrapText="1"/>
    </xf>
    <xf numFmtId="0" fontId="1" fillId="0" borderId="17" applyAlignment="1" pivotButton="0" quotePrefix="0" xfId="0">
      <alignment horizontal="left" vertical="center" wrapText="1"/>
    </xf>
    <xf numFmtId="0" fontId="1" fillId="0" borderId="18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/>
    </xf>
    <xf numFmtId="2" fontId="14" fillId="0" borderId="19" applyAlignment="1" pivotButton="0" quotePrefix="0" xfId="0">
      <alignment horizontal="center" wrapText="1"/>
    </xf>
    <xf numFmtId="0" fontId="0" fillId="0" borderId="20" applyAlignment="1" pivotButton="0" quotePrefix="0" xfId="0">
      <alignment horizontal="center" wrapText="1"/>
    </xf>
    <xf numFmtId="0" fontId="0" fillId="0" borderId="2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21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13" applyAlignment="1" pivotButton="0" quotePrefix="0" xfId="0">
      <alignment horizontal="center" vertical="center" wrapText="1"/>
    </xf>
    <xf numFmtId="0" fontId="0" fillId="4" borderId="12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7" fillId="0" borderId="5" applyAlignment="1" pivotButton="0" quotePrefix="0" xfId="0">
      <alignment vertical="center" wrapText="1"/>
    </xf>
    <xf numFmtId="16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49" fontId="17" fillId="0" borderId="22" applyAlignment="1" pivotButton="0" quotePrefix="0" xfId="0">
      <alignment horizontal="center" vertical="center"/>
    </xf>
    <xf numFmtId="0" fontId="24" fillId="0" borderId="22" applyAlignment="1" pivotButton="0" quotePrefix="0" xfId="0">
      <alignment vertical="center" wrapText="1"/>
    </xf>
    <xf numFmtId="0" fontId="17" fillId="0" borderId="22" applyAlignment="1" pivotButton="0" quotePrefix="0" xfId="0">
      <alignment horizontal="center" vertical="center" wrapText="1"/>
    </xf>
    <xf numFmtId="4" fontId="24" fillId="0" borderId="22" applyAlignment="1" pivotButton="0" quotePrefix="0" xfId="0">
      <alignment horizontal="center" vertical="center"/>
    </xf>
    <xf numFmtId="0" fontId="17" fillId="0" borderId="22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2" pivotButton="0" quotePrefix="0" xfId="0"/>
    <xf numFmtId="0" fontId="0" fillId="0" borderId="21" pivotButton="0" quotePrefix="0" xfId="0"/>
    <xf numFmtId="0" fontId="0" fillId="0" borderId="4" pivotButton="0" quotePrefix="0" xfId="0"/>
    <xf numFmtId="0" fontId="20" fillId="0" borderId="1" applyAlignment="1" pivotButton="0" quotePrefix="0" xfId="0">
      <alignment horizontal="center" vertical="center" wrapText="1"/>
    </xf>
    <xf numFmtId="167" fontId="18" fillId="4" borderId="0" pivotButton="0" quotePrefix="0" xfId="0"/>
    <xf numFmtId="171" fontId="2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68" fontId="13" fillId="4" borderId="0" pivotButton="0" quotePrefix="0" xfId="0"/>
    <xf numFmtId="169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69" fontId="0" fillId="0" borderId="0" pivotButton="0" quotePrefix="0" xfId="0"/>
    <xf numFmtId="170" fontId="19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172" fontId="17" fillId="0" borderId="1" applyAlignment="1" pivotButton="0" quotePrefix="0" xfId="0">
      <alignment horizontal="center" vertical="center"/>
    </xf>
    <xf numFmtId="173" fontId="17" fillId="0" borderId="1" applyAlignment="1" pivotButton="0" quotePrefix="0" xfId="0">
      <alignment horizontal="center" vertical="center"/>
    </xf>
    <xf numFmtId="169" fontId="17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2:G31"/>
  <sheetViews>
    <sheetView tabSelected="1" view="pageBreakPreview" topLeftCell="A7" zoomScale="60" zoomScaleNormal="85" workbookViewId="0">
      <selection activeCell="D26" sqref="D26"/>
    </sheetView>
  </sheetViews>
  <sheetFormatPr baseColWidth="8" defaultRowHeight="15"/>
  <cols>
    <col width="36.85546875" customWidth="1" style="348" min="3" max="3"/>
    <col width="39.42578125" customWidth="1" style="348" min="4" max="4"/>
    <col width="14.28515625" customWidth="1" style="348" min="7" max="7"/>
    <col width="15" customWidth="1" style="348" min="10" max="10"/>
  </cols>
  <sheetData>
    <row r="2" ht="15.75" customHeight="1" s="348">
      <c r="B2" s="373" t="inlineStr">
        <is>
          <t>Приложение № 1</t>
        </is>
      </c>
    </row>
    <row r="3" ht="18.75" customHeight="1" s="348">
      <c r="B3" s="374" t="inlineStr">
        <is>
          <t>Сравнительная таблица отбора объекта-представителя</t>
        </is>
      </c>
    </row>
    <row r="4" ht="84" customHeight="1" s="348">
      <c r="B4" s="37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5" ht="18.75" customHeight="1" s="348">
      <c r="B5" s="275" t="n"/>
      <c r="C5" s="275" t="n"/>
      <c r="D5" s="275" t="n"/>
    </row>
    <row r="6" ht="64.5" customHeight="1" s="348">
      <c r="B6" s="376" t="inlineStr">
        <is>
          <t>Наименование разрабатываемого показателя УНЦ - Демонтаж ячейки выключателя ВУ 330кВ</t>
        </is>
      </c>
    </row>
    <row r="7" ht="31.5" customHeight="1" s="348">
      <c r="B7" s="372" t="inlineStr">
        <is>
          <t>Сопоставимый уровень цен: 2 квартал 2013</t>
        </is>
      </c>
    </row>
    <row r="8" ht="15.75" customHeight="1" s="348">
      <c r="B8" s="372" t="inlineStr">
        <is>
          <t>Единица измерения  — 1 ед.</t>
        </is>
      </c>
    </row>
    <row r="9" ht="18.75" customHeight="1" s="348">
      <c r="B9" s="250" t="n"/>
    </row>
    <row r="10" ht="15.75" customHeight="1" s="348">
      <c r="B10" s="378" t="inlineStr">
        <is>
          <t>№ п/п</t>
        </is>
      </c>
      <c r="C10" s="378" t="inlineStr">
        <is>
          <t>Параметр</t>
        </is>
      </c>
      <c r="D10" s="378" t="inlineStr">
        <is>
          <t>Объект-представитель</t>
        </is>
      </c>
    </row>
    <row r="11" ht="31.5" customHeight="1" s="348">
      <c r="B11" s="378" t="n">
        <v>1</v>
      </c>
      <c r="C11" s="279" t="inlineStr">
        <is>
          <t>Наименование объекта-представителя</t>
        </is>
      </c>
      <c r="D11" s="378" t="inlineStr">
        <is>
          <t xml:space="preserve"> ПС 330кВ Кисловодск с заходами ВЛ 330 кВ</t>
        </is>
      </c>
    </row>
    <row r="12" ht="31.5" customHeight="1" s="348">
      <c r="B12" s="378" t="n">
        <v>2</v>
      </c>
      <c r="C12" s="279" t="inlineStr">
        <is>
          <t>Наименование субъекта Российской Федерации</t>
        </is>
      </c>
      <c r="D12" s="378" t="inlineStr">
        <is>
          <t>Ставропольский край</t>
        </is>
      </c>
    </row>
    <row r="13" ht="15.75" customHeight="1" s="348">
      <c r="B13" s="378" t="n">
        <v>3</v>
      </c>
      <c r="C13" s="279" t="inlineStr">
        <is>
          <t>Климатический район и подрайон</t>
        </is>
      </c>
      <c r="D13" s="378" t="inlineStr">
        <is>
          <t>IVГ</t>
        </is>
      </c>
    </row>
    <row r="14" ht="15.75" customHeight="1" s="348">
      <c r="B14" s="378" t="n">
        <v>4</v>
      </c>
      <c r="C14" s="279" t="inlineStr">
        <is>
          <t>Мощность объекта</t>
        </is>
      </c>
      <c r="D14" s="378" t="n">
        <v>4</v>
      </c>
    </row>
    <row r="15" ht="94.5" customHeight="1" s="348">
      <c r="B15" s="378" t="n">
        <v>5</v>
      </c>
      <c r="C15" s="252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5" s="378" t="inlineStr">
        <is>
          <t>Схема РУ 330-7
Марка КРУЭ - АББ</t>
        </is>
      </c>
    </row>
    <row r="16" ht="78.75" customHeight="1" s="348">
      <c r="B16" s="378" t="n">
        <v>6</v>
      </c>
      <c r="C16" s="252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6" s="292">
        <f>D17+D18</f>
        <v/>
      </c>
    </row>
    <row r="17" ht="15.75" customHeight="1" s="348">
      <c r="B17" s="291" t="inlineStr">
        <is>
          <t>6.1</t>
        </is>
      </c>
      <c r="C17" s="279" t="inlineStr">
        <is>
          <t>строительно-монтажные работы</t>
        </is>
      </c>
      <c r="D17" s="292">
        <f>'Прил.2 Расч стоим'!F14</f>
        <v/>
      </c>
    </row>
    <row r="18" ht="15.75" customHeight="1" s="348">
      <c r="B18" s="291" t="inlineStr">
        <is>
          <t>6.2</t>
        </is>
      </c>
      <c r="C18" s="279" t="inlineStr">
        <is>
          <t>оборудование и инвентарь</t>
        </is>
      </c>
      <c r="D18" s="292" t="n">
        <v>0</v>
      </c>
    </row>
    <row r="19" ht="15.75" customHeight="1" s="348">
      <c r="B19" s="291" t="inlineStr">
        <is>
          <t>6.3</t>
        </is>
      </c>
      <c r="C19" s="279" t="inlineStr">
        <is>
          <t>пусконаладочные работы</t>
        </is>
      </c>
      <c r="D19" s="292" t="n"/>
    </row>
    <row r="20" ht="15.75" customHeight="1" s="348">
      <c r="B20" s="291" t="inlineStr">
        <is>
          <t>6.4</t>
        </is>
      </c>
      <c r="C20" s="279" t="inlineStr">
        <is>
          <t>прочие и лимитированные затраты</t>
        </is>
      </c>
      <c r="D20" s="292" t="n"/>
    </row>
    <row r="21" ht="15.75" customHeight="1" s="348">
      <c r="B21" s="378" t="n">
        <v>7</v>
      </c>
      <c r="C21" s="279" t="inlineStr">
        <is>
          <t>Сопоставимый уровень цен</t>
        </is>
      </c>
      <c r="D21" s="291" t="inlineStr">
        <is>
          <t>2 квартал 2013</t>
        </is>
      </c>
      <c r="G21" s="286" t="n"/>
    </row>
    <row r="22" ht="110.25" customHeight="1" s="348">
      <c r="B22" s="378" t="n">
        <v>8</v>
      </c>
      <c r="C22" s="25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2" s="292">
        <f>D16</f>
        <v/>
      </c>
    </row>
    <row r="23" ht="47.25" customHeight="1" s="348">
      <c r="B23" s="378" t="n">
        <v>9</v>
      </c>
      <c r="C23" s="252" t="inlineStr">
        <is>
          <t>Приведенная сметная стоимость на единицу мощности, тыс. руб. (строка 8/строку 4)</t>
        </is>
      </c>
      <c r="D23" s="292">
        <f>D16/D14</f>
        <v/>
      </c>
      <c r="G23" s="286" t="n"/>
    </row>
    <row r="24" hidden="1" ht="110.25" customHeight="1" s="348">
      <c r="B24" s="378" t="n">
        <v>10</v>
      </c>
      <c r="C24" s="279" t="inlineStr">
        <is>
          <t>Примечание</t>
        </is>
      </c>
      <c r="D24" s="279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5" ht="37.5" customHeight="1" s="348">
      <c r="B25" s="280" t="n"/>
      <c r="C25" s="281" t="n"/>
      <c r="D25" s="281" t="n"/>
    </row>
    <row r="26">
      <c r="B26" s="347" t="inlineStr">
        <is>
          <t>Составил ______________________        А.Р. Маркова</t>
        </is>
      </c>
      <c r="C26" s="345" t="n"/>
    </row>
    <row r="27">
      <c r="B27" s="344" t="inlineStr">
        <is>
          <t xml:space="preserve">                         (подпись, инициалы, фамилия)</t>
        </is>
      </c>
      <c r="C27" s="345" t="n"/>
    </row>
    <row r="28">
      <c r="B28" s="347" t="n"/>
      <c r="C28" s="345" t="n"/>
    </row>
    <row r="29">
      <c r="B29" s="347" t="inlineStr">
        <is>
          <t>Проверил ______________________        А.В. Костянецкая</t>
        </is>
      </c>
      <c r="C29" s="345" t="n"/>
    </row>
    <row r="30">
      <c r="B30" s="344" t="inlineStr">
        <is>
          <t xml:space="preserve">                        (подпись, инициалы, фамилия)</t>
        </is>
      </c>
      <c r="C30" s="345" t="n"/>
    </row>
    <row r="31" ht="15.75" customHeight="1" s="348">
      <c r="B31" s="281" t="n"/>
      <c r="C31" s="281" t="n"/>
      <c r="D31" s="281" t="n"/>
    </row>
  </sheetData>
  <mergeCells count="6">
    <mergeCell ref="B3:D3"/>
    <mergeCell ref="B8:D8"/>
    <mergeCell ref="B4:D4"/>
    <mergeCell ref="B7:D7"/>
    <mergeCell ref="B6:D6"/>
    <mergeCell ref="B2:D2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 codeName="Лист5">
    <outlinePr summaryBelow="1" summaryRight="1"/>
    <pageSetUpPr fitToPage="1"/>
  </sheetPr>
  <dimension ref="B3:K22"/>
  <sheetViews>
    <sheetView view="pageBreakPreview" zoomScale="60" zoomScaleNormal="85" workbookViewId="0">
      <selection activeCell="G18" sqref="G18"/>
    </sheetView>
  </sheetViews>
  <sheetFormatPr baseColWidth="8" defaultRowHeight="15"/>
  <cols>
    <col width="5.5703125" customWidth="1" style="348" min="1" max="1"/>
    <col width="44.85546875" customWidth="1" style="348" min="3" max="3"/>
    <col width="13.85546875" customWidth="1" style="348" min="4" max="4"/>
    <col width="17.42578125" customWidth="1" style="348" min="5" max="5"/>
    <col width="12.7109375" customWidth="1" style="348" min="6" max="6"/>
    <col width="14.85546875" customWidth="1" style="348" min="7" max="7"/>
    <col width="16.7109375" customWidth="1" style="348" min="8" max="8"/>
    <col width="13" customWidth="1" style="348" min="9" max="10"/>
    <col width="18" customWidth="1" style="348" min="11" max="11"/>
  </cols>
  <sheetData>
    <row r="3" ht="15.75" customHeight="1" s="348">
      <c r="B3" s="373" t="inlineStr">
        <is>
          <t>Приложение № 2</t>
        </is>
      </c>
    </row>
    <row r="4" ht="15.75" customHeight="1" s="348">
      <c r="B4" s="383" t="inlineStr">
        <is>
          <t>Расчет стоимости основных видов работ для выбора объекта-представителя</t>
        </is>
      </c>
    </row>
    <row r="5" ht="15.75" customHeight="1" s="348">
      <c r="B5" s="175" t="n"/>
      <c r="C5" s="175" t="n"/>
      <c r="D5" s="175" t="n"/>
      <c r="E5" s="175" t="n"/>
      <c r="F5" s="175" t="n"/>
      <c r="G5" s="175" t="n"/>
      <c r="H5" s="175" t="n"/>
      <c r="I5" s="175" t="n"/>
      <c r="J5" s="175" t="n"/>
      <c r="K5" s="175" t="n"/>
    </row>
    <row r="6" ht="15.75" customHeight="1" s="348">
      <c r="B6" s="376" t="inlineStr">
        <is>
          <t xml:space="preserve">Наименование разрабатываемого показателя УНЦ - </t>
        </is>
      </c>
      <c r="D6" s="280" t="inlineStr">
        <is>
          <t>Демонтаж ячейки выключателя ВУ 330кВ</t>
        </is>
      </c>
      <c r="E6" s="280" t="n"/>
      <c r="F6" s="280" t="n"/>
      <c r="G6" s="280" t="n"/>
      <c r="H6" s="280" t="n"/>
      <c r="I6" s="280" t="n"/>
      <c r="J6" s="280" t="n"/>
      <c r="K6" s="280" t="n"/>
    </row>
    <row r="7" ht="15.75" customHeight="1" s="348">
      <c r="B7" s="372">
        <f>'Прил.1 Сравнит табл'!B8</f>
        <v/>
      </c>
    </row>
    <row r="8" ht="18.75" customHeight="1" s="348">
      <c r="B8" s="250" t="n"/>
    </row>
    <row r="9" ht="15.75" customHeight="1" s="348">
      <c r="B9" s="378" t="inlineStr">
        <is>
          <t>№ п/п</t>
        </is>
      </c>
      <c r="C9" s="37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78" t="inlineStr">
        <is>
          <t>Объект-представитель 1</t>
        </is>
      </c>
      <c r="E9" s="468" t="n"/>
      <c r="F9" s="468" t="n"/>
      <c r="G9" s="468" t="n"/>
      <c r="H9" s="468" t="n"/>
      <c r="I9" s="468" t="n"/>
      <c r="J9" s="469" t="n"/>
    </row>
    <row r="10" ht="15.75" customHeight="1" s="348">
      <c r="B10" s="470" t="n"/>
      <c r="C10" s="470" t="n"/>
      <c r="D10" s="378" t="inlineStr">
        <is>
          <t>Номер сметы</t>
        </is>
      </c>
      <c r="E10" s="378" t="inlineStr">
        <is>
          <t>Наименование сметы</t>
        </is>
      </c>
      <c r="F10" s="378" t="inlineStr">
        <is>
          <t>Сметная стоимость в уровне цен 2 кв. 2013г., тыс. руб.</t>
        </is>
      </c>
      <c r="G10" s="468" t="n"/>
      <c r="H10" s="468" t="n"/>
      <c r="I10" s="468" t="n"/>
      <c r="J10" s="469" t="n"/>
    </row>
    <row r="11" ht="58.5" customHeight="1" s="348">
      <c r="B11" s="471" t="n"/>
      <c r="C11" s="471" t="n"/>
      <c r="D11" s="471" t="n"/>
      <c r="E11" s="471" t="n"/>
      <c r="F11" s="378" t="inlineStr">
        <is>
          <t>Строительные работы</t>
        </is>
      </c>
      <c r="G11" s="378" t="inlineStr">
        <is>
          <t>Монтажные работы</t>
        </is>
      </c>
      <c r="H11" s="378" t="inlineStr">
        <is>
          <t>Оборудование</t>
        </is>
      </c>
      <c r="I11" s="378" t="inlineStr">
        <is>
          <t>Прочее</t>
        </is>
      </c>
      <c r="J11" s="378" t="inlineStr">
        <is>
          <t>Всего</t>
        </is>
      </c>
    </row>
    <row r="12" ht="58.5" customHeight="1" s="348">
      <c r="B12" s="378" t="n"/>
      <c r="C12" s="378" t="inlineStr">
        <is>
          <t>Демонтаж ячейки выключателя ВУ 330кВ</t>
        </is>
      </c>
      <c r="D12" s="378" t="n"/>
      <c r="E12" s="378" t="n"/>
      <c r="F12" s="378" t="n">
        <v>273.2245884</v>
      </c>
      <c r="G12" s="469" t="n"/>
      <c r="H12" s="378" t="n">
        <v>0</v>
      </c>
      <c r="I12" s="378" t="n"/>
      <c r="J12" s="378" t="n">
        <v>273.2245884</v>
      </c>
    </row>
    <row r="13" ht="15.75" customHeight="1" s="348">
      <c r="B13" s="377" t="inlineStr">
        <is>
          <t>Всего по объекту:</t>
        </is>
      </c>
      <c r="C13" s="468" t="n"/>
      <c r="D13" s="468" t="n"/>
      <c r="E13" s="469" t="n"/>
      <c r="F13" s="284" t="n"/>
      <c r="G13" s="284" t="n"/>
      <c r="H13" s="284" t="n"/>
      <c r="I13" s="284" t="n"/>
      <c r="J13" s="284" t="n"/>
    </row>
    <row r="14" ht="15.75" customHeight="1" s="348">
      <c r="B14" s="377" t="inlineStr">
        <is>
          <t>Всего по объекту в сопоставимом уровне цен 2кв. 2013г:</t>
        </is>
      </c>
      <c r="C14" s="468" t="n"/>
      <c r="D14" s="468" t="n"/>
      <c r="E14" s="469" t="n"/>
      <c r="F14" s="472">
        <f>F12</f>
        <v/>
      </c>
      <c r="G14" s="469" t="n"/>
      <c r="H14" s="284">
        <f>H12</f>
        <v/>
      </c>
      <c r="I14" s="284" t="n"/>
      <c r="J14" s="284">
        <f>J12</f>
        <v/>
      </c>
    </row>
    <row r="18">
      <c r="C18" s="347" t="inlineStr">
        <is>
          <t>Составил ______________________        А.Р. Маркова</t>
        </is>
      </c>
      <c r="D18" s="345" t="n"/>
    </row>
    <row r="19">
      <c r="C19" s="344" t="inlineStr">
        <is>
          <t xml:space="preserve">                         (подпись, инициалы, фамилия)</t>
        </is>
      </c>
      <c r="D19" s="345" t="n"/>
    </row>
    <row r="20">
      <c r="C20" s="347" t="n"/>
      <c r="D20" s="345" t="n"/>
    </row>
    <row r="21">
      <c r="C21" s="347" t="inlineStr">
        <is>
          <t>Проверил ______________________        А.В. Костянецкая</t>
        </is>
      </c>
      <c r="D21" s="345" t="n"/>
    </row>
    <row r="22">
      <c r="C22" s="344" t="inlineStr">
        <is>
          <t xml:space="preserve">                        (подпись, инициалы, фамилия)</t>
        </is>
      </c>
      <c r="D22" s="345" t="n"/>
    </row>
  </sheetData>
  <mergeCells count="14">
    <mergeCell ref="B6:C6"/>
    <mergeCell ref="F12:G12"/>
    <mergeCell ref="D10:D11"/>
    <mergeCell ref="B4:K4"/>
    <mergeCell ref="D9:J9"/>
    <mergeCell ref="B13:E13"/>
    <mergeCell ref="F10:J10"/>
    <mergeCell ref="B7:K7"/>
    <mergeCell ref="B9:B11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8" cellComments="atEnd"/>
</worksheet>
</file>

<file path=xl/worksheets/sheet3.xml><?xml version="1.0" encoding="utf-8"?>
<worksheet xmlns="http://schemas.openxmlformats.org/spreadsheetml/2006/main">
  <sheetPr codeName="Лист6">
    <outlinePr summaryBelow="1" summaryRight="1"/>
    <pageSetUpPr fitToPage="1"/>
  </sheetPr>
  <dimension ref="A2:N37"/>
  <sheetViews>
    <sheetView view="pageBreakPreview" topLeftCell="A29" zoomScale="85" zoomScaleSheetLayoutView="85" workbookViewId="0">
      <selection activeCell="D43" sqref="D43"/>
    </sheetView>
  </sheetViews>
  <sheetFormatPr baseColWidth="8" defaultRowHeight="15"/>
  <cols>
    <col width="11.140625" customWidth="1" style="348" min="1" max="1"/>
    <col width="14.7109375" customWidth="1" style="348" min="2" max="2"/>
    <col width="21.42578125" customWidth="1" style="348" min="3" max="3"/>
    <col width="49.7109375" customWidth="1" style="348" min="4" max="4"/>
    <col width="16.28515625" customWidth="1" style="348" min="5" max="5"/>
    <col width="20.7109375" customWidth="1" style="348" min="6" max="6"/>
    <col width="16.140625" customWidth="1" style="348" min="7" max="7"/>
    <col width="16.7109375" customWidth="1" style="348" min="8" max="8"/>
    <col width="11.140625" customWidth="1" style="348" min="9" max="9"/>
    <col width="9.28515625" customWidth="1" style="348" min="10" max="10"/>
    <col width="13" customWidth="1" style="348" min="11" max="11"/>
    <col width="9.140625" customWidth="1" style="348" min="12" max="12"/>
  </cols>
  <sheetData>
    <row r="2" ht="15.75" customHeight="1" s="348">
      <c r="A2" s="373" t="inlineStr">
        <is>
          <t xml:space="preserve">Приложение № 3 </t>
        </is>
      </c>
    </row>
    <row r="3" ht="18.75" customHeight="1" s="348">
      <c r="A3" s="374" t="inlineStr">
        <is>
          <t>Объектная ресурсная ведомость</t>
        </is>
      </c>
    </row>
    <row r="4" ht="18.75" customHeight="1" s="348">
      <c r="A4" s="374" t="n"/>
      <c r="B4" s="374" t="n"/>
      <c r="C4" s="374" t="n"/>
    </row>
    <row r="5" ht="18.75" customHeight="1" s="348">
      <c r="A5" s="374" t="n"/>
      <c r="B5" s="374" t="n"/>
      <c r="C5" s="374" t="n"/>
      <c r="D5" s="374" t="n"/>
      <c r="E5" s="374" t="n"/>
      <c r="F5" s="374" t="n"/>
      <c r="G5" s="374" t="n"/>
      <c r="H5" s="374" t="n"/>
    </row>
    <row r="6" ht="32.25" customHeight="1" s="348">
      <c r="A6" s="387" t="inlineStr">
        <is>
          <t xml:space="preserve">Наименование разрабатываемого показателя УНЦ - </t>
        </is>
      </c>
      <c r="D6" s="387" t="inlineStr">
        <is>
          <t>Демонтаж ячейки выключателя ВУ 330кВ</t>
        </is>
      </c>
    </row>
    <row r="7" ht="21.75" customHeight="1" s="348">
      <c r="A7" s="176" t="n"/>
      <c r="B7" s="176" t="n"/>
      <c r="C7" s="176" t="n"/>
      <c r="D7" s="176" t="n"/>
      <c r="E7" s="176" t="n"/>
      <c r="F7" s="176" t="n"/>
      <c r="G7" s="176" t="n"/>
      <c r="H7" s="473" t="n"/>
    </row>
    <row r="8" ht="38.25" customHeight="1" s="348">
      <c r="A8" s="378" t="inlineStr">
        <is>
          <t>п/п</t>
        </is>
      </c>
      <c r="B8" s="378" t="inlineStr">
        <is>
          <t>№ЛСР</t>
        </is>
      </c>
      <c r="C8" s="378" t="inlineStr">
        <is>
          <t>Код ресурса</t>
        </is>
      </c>
      <c r="D8" s="378" t="inlineStr">
        <is>
          <t>Наименование ресурса</t>
        </is>
      </c>
      <c r="E8" s="378" t="inlineStr">
        <is>
          <t>Ед. изм.</t>
        </is>
      </c>
      <c r="F8" s="378" t="inlineStr">
        <is>
          <t>Кол-во единиц по данным объекта-представителя</t>
        </is>
      </c>
      <c r="G8" s="378" t="inlineStr">
        <is>
          <t>Сметная стоимость в ценах на 01.01.2000 (руб.)</t>
        </is>
      </c>
      <c r="H8" s="469" t="n"/>
    </row>
    <row r="9" ht="40.5" customHeight="1" s="348">
      <c r="A9" s="471" t="n"/>
      <c r="B9" s="471" t="n"/>
      <c r="C9" s="471" t="n"/>
      <c r="D9" s="471" t="n"/>
      <c r="E9" s="471" t="n"/>
      <c r="F9" s="471" t="n"/>
      <c r="G9" s="378" t="inlineStr">
        <is>
          <t>на ед.изм.</t>
        </is>
      </c>
      <c r="H9" s="378" t="inlineStr">
        <is>
          <t>общая</t>
        </is>
      </c>
    </row>
    <row r="10" ht="15.75" customHeight="1" s="348">
      <c r="A10" s="378" t="n">
        <v>1</v>
      </c>
      <c r="B10" s="194" t="n"/>
      <c r="C10" s="378" t="n">
        <v>2</v>
      </c>
      <c r="D10" s="378" t="inlineStr">
        <is>
          <t>З</t>
        </is>
      </c>
      <c r="E10" s="378" t="n">
        <v>4</v>
      </c>
      <c r="F10" s="378" t="n">
        <v>5</v>
      </c>
      <c r="G10" s="194" t="n">
        <v>6</v>
      </c>
      <c r="H10" s="194" t="n">
        <v>7</v>
      </c>
    </row>
    <row r="11" ht="15" customHeight="1" s="348">
      <c r="A11" s="385" t="inlineStr">
        <is>
          <t>Затраты труда рабочих</t>
        </is>
      </c>
      <c r="B11" s="468" t="n"/>
      <c r="C11" s="468" t="n"/>
      <c r="D11" s="468" t="n"/>
      <c r="E11" s="468" t="n"/>
      <c r="F11" s="474" t="n">
        <v>1780.42</v>
      </c>
      <c r="G11" s="324" t="n"/>
      <c r="H11" s="475">
        <f>SUM(H12:H13)</f>
        <v/>
      </c>
      <c r="J11" s="476" t="n"/>
    </row>
    <row r="12">
      <c r="A12" s="328" t="n">
        <v>1</v>
      </c>
      <c r="B12" s="248" t="n"/>
      <c r="C12" s="328" t="inlineStr">
        <is>
          <t>1-5-0</t>
        </is>
      </c>
      <c r="D12" s="329" t="inlineStr">
        <is>
          <t>Затраты труда рабочих (ср 5)</t>
        </is>
      </c>
      <c r="E12" s="411" t="inlineStr">
        <is>
          <t>чел.-ч</t>
        </is>
      </c>
      <c r="F12" s="477" t="n">
        <v>1285.82</v>
      </c>
      <c r="G12" s="331" t="n">
        <v>11.09</v>
      </c>
      <c r="H12" s="331">
        <f>ROUND(F12*G12,2)</f>
        <v/>
      </c>
    </row>
    <row r="13">
      <c r="A13" s="294">
        <f>A12+1</f>
        <v/>
      </c>
      <c r="B13" s="248" t="n"/>
      <c r="C13" s="328" t="inlineStr">
        <is>
          <t>1-4-9</t>
        </is>
      </c>
      <c r="D13" s="329" t="inlineStr">
        <is>
          <t>Затраты труда рабочих (ср 4,9)</t>
        </is>
      </c>
      <c r="E13" s="411" t="inlineStr">
        <is>
          <t>чел.-ч</t>
        </is>
      </c>
      <c r="F13" s="477" t="n">
        <v>494.6</v>
      </c>
      <c r="G13" s="331" t="n">
        <v>10.94</v>
      </c>
      <c r="H13" s="331">
        <f>ROUND(F13*G13,2)</f>
        <v/>
      </c>
    </row>
    <row r="14" ht="15" customHeight="1" s="348">
      <c r="A14" s="384" t="inlineStr">
        <is>
          <t>Затраты труда машинистов</t>
        </is>
      </c>
      <c r="B14" s="468" t="n"/>
      <c r="C14" s="468" t="n"/>
      <c r="D14" s="468" t="n"/>
      <c r="E14" s="469" t="n"/>
      <c r="F14" s="324" t="n"/>
      <c r="G14" s="324" t="n"/>
      <c r="H14" s="475">
        <f>H15</f>
        <v/>
      </c>
    </row>
    <row r="15">
      <c r="A15" s="326">
        <f>A13+1</f>
        <v/>
      </c>
      <c r="B15" s="248" t="n"/>
      <c r="C15" s="328" t="n">
        <v>2</v>
      </c>
      <c r="D15" s="329" t="inlineStr">
        <is>
          <t>Затраты труда машинистов</t>
        </is>
      </c>
      <c r="E15" s="411" t="inlineStr">
        <is>
          <t>чел.-ч</t>
        </is>
      </c>
      <c r="F15" s="477" t="n">
        <v>77.12</v>
      </c>
      <c r="G15" s="331" t="n"/>
      <c r="H15" s="478" t="n">
        <v>967.86</v>
      </c>
      <c r="L15" s="180" t="n"/>
      <c r="N15" s="479" t="n"/>
    </row>
    <row r="16" ht="15" customHeight="1" s="348">
      <c r="A16" s="384" t="inlineStr">
        <is>
          <t>Машины и механизмы</t>
        </is>
      </c>
      <c r="B16" s="468" t="n"/>
      <c r="C16" s="468" t="n"/>
      <c r="D16" s="468" t="n"/>
      <c r="E16" s="469" t="n"/>
      <c r="F16" s="324" t="n"/>
      <c r="G16" s="324" t="n"/>
      <c r="H16" s="475">
        <f>SUM(H17:H21)</f>
        <v/>
      </c>
    </row>
    <row r="17" ht="25.5" customHeight="1" s="348">
      <c r="A17" s="328">
        <f>A15+1</f>
        <v/>
      </c>
      <c r="B17" s="248" t="n"/>
      <c r="C17" s="328" t="inlineStr">
        <is>
          <t>91.05.13-002</t>
        </is>
      </c>
      <c r="D17" s="329" t="inlineStr">
        <is>
          <t>Автомобили бортовые, грузоподъемность до 6 т, с краном-манипулятором-6,2 т</t>
        </is>
      </c>
      <c r="E17" s="411" t="inlineStr">
        <is>
          <t>маш.час</t>
        </is>
      </c>
      <c r="F17" s="411" t="n">
        <v>61.4</v>
      </c>
      <c r="G17" s="192" t="n">
        <v>406.66</v>
      </c>
      <c r="H17" s="331">
        <f>ROUND(F17*G17,2)</f>
        <v/>
      </c>
    </row>
    <row r="18" ht="25.5" customHeight="1" s="348">
      <c r="A18" s="328">
        <f>A17+1</f>
        <v/>
      </c>
      <c r="B18" s="248" t="n"/>
      <c r="C18" s="328" t="inlineStr">
        <is>
          <t>91.06.05-016</t>
        </is>
      </c>
      <c r="D18" s="329" t="inlineStr">
        <is>
          <t>Погрузчики с вилочными подхватами, грузоподъемность 5 т</t>
        </is>
      </c>
      <c r="E18" s="411" t="inlineStr">
        <is>
          <t>маш.час</t>
        </is>
      </c>
      <c r="F18" s="411" t="n">
        <v>15.72</v>
      </c>
      <c r="G18" s="192" t="n">
        <v>99.89</v>
      </c>
      <c r="H18" s="331">
        <f>ROUND(F18*G18,2)</f>
        <v/>
      </c>
    </row>
    <row r="19">
      <c r="A19" s="328">
        <f>A18+1</f>
        <v/>
      </c>
      <c r="B19" s="248" t="n"/>
      <c r="C19" s="328" t="inlineStr">
        <is>
          <t>91.21.22-433</t>
        </is>
      </c>
      <c r="D19" s="329" t="inlineStr">
        <is>
          <t>Установка газотехнологическая</t>
        </is>
      </c>
      <c r="E19" s="411" t="inlineStr">
        <is>
          <t>маш.час</t>
        </is>
      </c>
      <c r="F19" s="411" t="n">
        <v>9.48</v>
      </c>
      <c r="G19" s="192" t="n">
        <v>101.62</v>
      </c>
      <c r="H19" s="331">
        <f>ROUND(F19*G19,2)</f>
        <v/>
      </c>
    </row>
    <row r="20" ht="25.5" customHeight="1" s="348">
      <c r="A20" s="328">
        <f>A19+1</f>
        <v/>
      </c>
      <c r="B20" s="248" t="n"/>
      <c r="C20" s="328" t="inlineStr">
        <is>
          <t>91.05.04-032</t>
        </is>
      </c>
      <c r="D20" s="329" t="inlineStr">
        <is>
          <t>Краны подвесные электрические (кран-балки), грузоподъемность 5 т</t>
        </is>
      </c>
      <c r="E20" s="411" t="inlineStr">
        <is>
          <t>маш.час</t>
        </is>
      </c>
      <c r="F20" s="411" t="n">
        <v>149.16</v>
      </c>
      <c r="G20" s="192" t="n">
        <v>5.25</v>
      </c>
      <c r="H20" s="331">
        <f>ROUND(F20*G20,2)</f>
        <v/>
      </c>
    </row>
    <row r="21" ht="25.5" customHeight="1" s="348">
      <c r="A21" s="328">
        <f>A20+1</f>
        <v/>
      </c>
      <c r="B21" s="248" t="n"/>
      <c r="C21" s="328" t="inlineStr">
        <is>
          <t>91.17.04-233</t>
        </is>
      </c>
      <c r="D21" s="329" t="inlineStr">
        <is>
          <t>Установки для сварки ручной дуговой (постоянного тока)</t>
        </is>
      </c>
      <c r="E21" s="411" t="inlineStr">
        <is>
          <t>маш.час</t>
        </is>
      </c>
      <c r="F21" s="411" t="n">
        <v>5.04</v>
      </c>
      <c r="G21" s="192" t="n">
        <v>8.1</v>
      </c>
      <c r="H21" s="331">
        <f>ROUND(F21*G21,2)</f>
        <v/>
      </c>
    </row>
    <row r="22" ht="15" customHeight="1" s="348">
      <c r="A22" s="384" t="inlineStr">
        <is>
          <t>Оборудование</t>
        </is>
      </c>
      <c r="B22" s="468" t="n"/>
      <c r="C22" s="468" t="n"/>
      <c r="D22" s="468" t="n"/>
      <c r="E22" s="469" t="n"/>
      <c r="F22" s="324" t="n"/>
      <c r="G22" s="324" t="n"/>
      <c r="H22" s="475">
        <f>SUM(H23:H26)</f>
        <v/>
      </c>
    </row>
    <row r="23" ht="178.5" customHeight="1" s="348">
      <c r="A23" s="326">
        <f>A21+1</f>
        <v/>
      </c>
      <c r="B23" s="384" t="n"/>
      <c r="C23" s="328" t="inlineStr">
        <is>
          <t>Прайс из СД ОП</t>
        </is>
      </c>
      <c r="D23" s="329" t="inlineStr">
        <is>
          <t xml:space="preserve">Комплектное распределительное устройство с элегазовой изоляцией по схеме четырехугольника, с однорядным расположением ячеек, с двумя ячейками линий и двумя ячейками Автотрансформатора, с закорачивающими разъединителями плавки гололеда в т.ч.: выключатель элегазовый ;-к-т(3-х фазный)-4;  разъединитель с двигательным приводом с двумя заземлителями, (к-т 3-х фазный)-8; разъединитель с двигательным приводом с одним заземлителем (к-т 3-х фазный)-6;   Трансформатор тока (фаз-30шт); трансформатор напряжения -12фаз; ОПН -6шт; разъединитель с двигательным приводом без заземлителей (к-т-3-х фазный)-2шт  шкаф управления ячейкой-5шт </t>
        </is>
      </c>
      <c r="E23" s="411" t="inlineStr">
        <is>
          <t>к-т</t>
        </is>
      </c>
      <c r="F23" s="411" t="n">
        <v>1</v>
      </c>
      <c r="G23" s="331" t="n">
        <v>52068062.83</v>
      </c>
      <c r="H23" s="331">
        <f>ROUND(F23*G23,2)</f>
        <v/>
      </c>
      <c r="I23" s="332" t="n"/>
    </row>
    <row r="24" s="348">
      <c r="A24" s="326">
        <f>A23+1</f>
        <v/>
      </c>
      <c r="B24" s="248" t="n"/>
      <c r="C24" s="328" t="inlineStr">
        <is>
          <t>Прайс из СД ОП</t>
        </is>
      </c>
      <c r="D24" s="329" t="inlineStr">
        <is>
          <t xml:space="preserve">Шеф-монтаж КРУЭ-для монтажа КРУЭ 330 кв </t>
        </is>
      </c>
      <c r="E24" s="411" t="inlineStr">
        <is>
          <t>к-т</t>
        </is>
      </c>
      <c r="F24" s="411" t="n">
        <v>1</v>
      </c>
      <c r="G24" s="331" t="n">
        <v>2073298.43</v>
      </c>
      <c r="H24" s="331">
        <f>ROUND(F24*G24,2)</f>
        <v/>
      </c>
    </row>
    <row r="25" ht="32.25" customHeight="1" s="348">
      <c r="A25" s="326">
        <f>A24+1</f>
        <v/>
      </c>
      <c r="B25" s="384" t="n"/>
      <c r="C25" s="328" t="inlineStr">
        <is>
          <t>Прайс из СД ОП</t>
        </is>
      </c>
      <c r="D25" s="329" t="inlineStr">
        <is>
          <t>Газотехнологическое оборудование для монтажа КРУЭ 330 кв</t>
        </is>
      </c>
      <c r="E25" s="411" t="inlineStr">
        <is>
          <t>к-т</t>
        </is>
      </c>
      <c r="F25" s="411" t="n">
        <v>1</v>
      </c>
      <c r="G25" s="331" t="n">
        <v>1492146.6</v>
      </c>
      <c r="H25" s="331">
        <f>ROUND(F25*G25,2)</f>
        <v/>
      </c>
      <c r="I25" s="332" t="n"/>
    </row>
    <row r="26" ht="25.5" customHeight="1" s="348">
      <c r="A26" s="326">
        <f>A25+1</f>
        <v/>
      </c>
      <c r="B26" s="248" t="n"/>
      <c r="C26" s="328" t="inlineStr">
        <is>
          <t>Прайс из СД ОП</t>
        </is>
      </c>
      <c r="D26" s="329" t="inlineStr">
        <is>
          <t>элегаз в балонах (40 кг) для первичного заполнения-для монтажа КРУЭ 330 кв</t>
        </is>
      </c>
      <c r="E26" s="411" t="inlineStr">
        <is>
          <t>шт</t>
        </is>
      </c>
      <c r="F26" s="411" t="n">
        <v>87</v>
      </c>
      <c r="G26" s="331" t="n">
        <v>15706.81</v>
      </c>
      <c r="H26" s="331">
        <f>ROUND(F26*G26,2)</f>
        <v/>
      </c>
    </row>
    <row r="27" ht="15" customHeight="1" s="348">
      <c r="A27" s="384" t="inlineStr">
        <is>
          <t>Материалы</t>
        </is>
      </c>
      <c r="B27" s="468" t="n"/>
      <c r="C27" s="468" t="n"/>
      <c r="D27" s="468" t="n"/>
      <c r="E27" s="469" t="n"/>
      <c r="F27" s="324" t="n"/>
      <c r="G27" s="324" t="n"/>
      <c r="H27" s="475">
        <f>SUM(H28:H31)</f>
        <v/>
      </c>
    </row>
    <row r="28" ht="27" customHeight="1" s="348">
      <c r="A28" s="326">
        <f>A26+1</f>
        <v/>
      </c>
      <c r="B28" s="248" t="n"/>
      <c r="C28" s="328" t="inlineStr">
        <is>
          <t>01.3.01.07-0003</t>
        </is>
      </c>
      <c r="D28" s="329" t="inlineStr">
        <is>
          <t>Спирт изопропиловый</t>
        </is>
      </c>
      <c r="E28" s="411" t="inlineStr">
        <is>
          <t>л</t>
        </is>
      </c>
      <c r="F28" s="411" t="n">
        <v>33.2</v>
      </c>
      <c r="G28" s="331" t="n">
        <v>55.6</v>
      </c>
      <c r="H28" s="331">
        <f>ROUND(F28*G28,2)</f>
        <v/>
      </c>
      <c r="I28" s="332" t="n"/>
      <c r="K28" s="332" t="n"/>
    </row>
    <row r="29" ht="38.25" customHeight="1" s="348">
      <c r="A29" s="326">
        <f>A28+1</f>
        <v/>
      </c>
      <c r="B29" s="248" t="n"/>
      <c r="C29" s="328" t="inlineStr">
        <is>
          <t>14.2.06.05-0001</t>
        </is>
      </c>
      <c r="D29" s="329" t="inlineStr">
        <is>
          <t>Герметик Компаунд КЛД-ЗОМФ</t>
        </is>
      </c>
      <c r="E29" s="411" t="inlineStr">
        <is>
          <t>кг</t>
        </is>
      </c>
      <c r="F29" s="411" t="n">
        <v>4.96</v>
      </c>
      <c r="G29" s="331" t="n">
        <v>254.25</v>
      </c>
      <c r="H29" s="331">
        <f>ROUND(F29*G29,2)</f>
        <v/>
      </c>
      <c r="I29" s="332" t="n"/>
      <c r="K29" s="332" t="n"/>
    </row>
    <row r="30" ht="30.75" customHeight="1" s="348">
      <c r="A30" s="326">
        <f>A29+1</f>
        <v/>
      </c>
      <c r="B30" s="248" t="n"/>
      <c r="C30" s="328" t="inlineStr">
        <is>
          <t>999-9950</t>
        </is>
      </c>
      <c r="D30" s="329" t="inlineStr">
        <is>
          <t>Вспомогательные ненормируемые ресурсы (2% от Оплаты труда рабочих)</t>
        </is>
      </c>
      <c r="E30" s="411" t="inlineStr">
        <is>
          <t>руб.</t>
        </is>
      </c>
      <c r="F30" s="411" t="n">
        <v>393.4</v>
      </c>
      <c r="G30" s="331" t="n">
        <v>1</v>
      </c>
      <c r="H30" s="331">
        <f>ROUND(F30*G30,2)</f>
        <v/>
      </c>
      <c r="I30" s="332" t="n"/>
      <c r="K30" s="332" t="n"/>
    </row>
    <row r="31" ht="41.25" customHeight="1" s="348">
      <c r="A31" s="326">
        <f>A30+1</f>
        <v/>
      </c>
      <c r="B31" s="248" t="n"/>
      <c r="C31" s="328" t="inlineStr">
        <is>
          <t>01.7.11.07-0036</t>
        </is>
      </c>
      <c r="D31" s="329" t="inlineStr">
        <is>
          <t>Электроды диаметром: 4 мм Э46</t>
        </is>
      </c>
      <c r="E31" s="411" t="inlineStr">
        <is>
          <t>кг</t>
        </is>
      </c>
      <c r="F31" s="411" t="n">
        <v>8.4</v>
      </c>
      <c r="G31" s="331" t="n">
        <v>10.75</v>
      </c>
      <c r="H31" s="331">
        <f>ROUND(F31*G31,2)</f>
        <v/>
      </c>
      <c r="I31" s="332" t="n"/>
      <c r="K31" s="332" t="n"/>
    </row>
    <row r="32">
      <c r="K32" s="480" t="n"/>
    </row>
    <row r="33">
      <c r="B33" s="347" t="inlineStr">
        <is>
          <t>Составил ______________________     А.Р. Маркова</t>
        </is>
      </c>
      <c r="C33" s="345" t="n"/>
    </row>
    <row r="34">
      <c r="B34" s="344" t="inlineStr">
        <is>
          <t xml:space="preserve">                         (подпись, инициалы, фамилия)</t>
        </is>
      </c>
      <c r="C34" s="345" t="n"/>
    </row>
    <row r="35">
      <c r="B35" s="347" t="n"/>
      <c r="C35" s="345" t="n"/>
    </row>
    <row r="36">
      <c r="B36" s="347" t="inlineStr">
        <is>
          <t>Проверил ______________________        А.В. Костянецкая</t>
        </is>
      </c>
      <c r="C36" s="345" t="n"/>
    </row>
    <row r="37">
      <c r="B37" s="344" t="inlineStr">
        <is>
          <t xml:space="preserve">                        (подпись, инициалы, фамилия)</t>
        </is>
      </c>
      <c r="C37" s="345" t="n"/>
    </row>
  </sheetData>
  <mergeCells count="17">
    <mergeCell ref="A3:H3"/>
    <mergeCell ref="A8:A9"/>
    <mergeCell ref="D6:H6"/>
    <mergeCell ref="E8:E9"/>
    <mergeCell ref="C8:C9"/>
    <mergeCell ref="A16:E16"/>
    <mergeCell ref="F8:F9"/>
    <mergeCell ref="A2:H2"/>
    <mergeCell ref="A6:C6"/>
    <mergeCell ref="A11:E11"/>
    <mergeCell ref="D8:D9"/>
    <mergeCell ref="B8:B9"/>
    <mergeCell ref="C4:H4"/>
    <mergeCell ref="A14:E14"/>
    <mergeCell ref="G8:H8"/>
    <mergeCell ref="A22:E22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77" fitToHeight="0" cellComments="atEnd"/>
</worksheet>
</file>

<file path=xl/worksheets/sheet4.xml><?xml version="1.0" encoding="utf-8"?>
<worksheet xmlns="http://schemas.openxmlformats.org/spreadsheetml/2006/main">
  <sheetPr codeName="Лист7">
    <outlinePr summaryBelow="1" summaryRight="1"/>
    <pageSetUpPr fitToPage="1"/>
  </sheetPr>
  <dimension ref="B1:L50"/>
  <sheetViews>
    <sheetView view="pageBreakPreview" topLeftCell="A35" workbookViewId="0">
      <selection activeCell="B43" sqref="B43"/>
    </sheetView>
  </sheetViews>
  <sheetFormatPr baseColWidth="8" defaultRowHeight="15"/>
  <cols>
    <col width="4.140625" customWidth="1" style="348" min="1" max="1"/>
    <col width="36.28515625" customWidth="1" style="348" min="2" max="2"/>
    <col width="18.85546875" customWidth="1" style="348" min="3" max="3"/>
    <col width="18.28515625" customWidth="1" style="348" min="4" max="4"/>
    <col width="18.85546875" customWidth="1" style="348" min="5" max="5"/>
    <col width="9.140625" customWidth="1" style="348" min="6" max="6"/>
    <col width="12.85546875" customWidth="1" style="348" min="7" max="7"/>
    <col width="9.140625" customWidth="1" style="348" min="8" max="11"/>
    <col width="13.5703125" customWidth="1" style="348" min="12" max="12"/>
    <col width="9.140625" customWidth="1" style="348" min="13" max="13"/>
  </cols>
  <sheetData>
    <row r="1">
      <c r="B1" s="347" t="n"/>
      <c r="C1" s="347" t="n"/>
      <c r="D1" s="347" t="n"/>
      <c r="E1" s="347" t="n"/>
    </row>
    <row r="2">
      <c r="B2" s="347" t="n"/>
      <c r="C2" s="347" t="n"/>
      <c r="D2" s="347" t="n"/>
      <c r="E2" s="410" t="inlineStr">
        <is>
          <t>Приложение № 4</t>
        </is>
      </c>
    </row>
    <row r="3">
      <c r="B3" s="347" t="n"/>
      <c r="C3" s="347" t="n"/>
      <c r="D3" s="347" t="n"/>
      <c r="E3" s="347" t="n"/>
    </row>
    <row r="4">
      <c r="B4" s="347" t="n"/>
      <c r="C4" s="347" t="n"/>
      <c r="D4" s="347" t="n"/>
      <c r="E4" s="347" t="n"/>
    </row>
    <row r="5" s="348">
      <c r="B5" s="365" t="inlineStr">
        <is>
          <t>Ресурсная модель</t>
        </is>
      </c>
    </row>
    <row r="6" s="348">
      <c r="B6" s="298" t="n"/>
      <c r="C6" s="298" t="n"/>
      <c r="D6" s="298" t="n"/>
      <c r="E6" s="298" t="n"/>
    </row>
    <row r="7" ht="45.75" customHeight="1" s="348">
      <c r="B7" s="389" t="inlineStr">
        <is>
          <t xml:space="preserve">Наименование разрабатываемого показателя УНЦ - Демонтаж ячейки выключателя ВУ 330кВ </t>
        </is>
      </c>
    </row>
    <row r="8">
      <c r="B8" s="388">
        <f>'Прил.1 Сравнит табл'!B8</f>
        <v/>
      </c>
    </row>
    <row r="9">
      <c r="B9" s="167" t="n"/>
      <c r="C9" s="347" t="n"/>
      <c r="D9" s="347" t="n"/>
      <c r="E9" s="347" t="n"/>
    </row>
    <row r="10" ht="51" customHeight="1" s="348">
      <c r="B10" s="391" t="inlineStr">
        <is>
          <t>Наименование</t>
        </is>
      </c>
      <c r="C10" s="391" t="inlineStr">
        <is>
          <t>Сметная стоимость в ценах на 01.01.2023
 (руб.)</t>
        </is>
      </c>
      <c r="D10" s="391" t="inlineStr">
        <is>
          <t>Удельный вес, 
(в СМР)</t>
        </is>
      </c>
      <c r="E10" s="391" t="inlineStr">
        <is>
          <t>Удельный вес, % 
(от всего по РМ)</t>
        </is>
      </c>
    </row>
    <row r="11">
      <c r="B11" s="198" t="inlineStr">
        <is>
          <t>Оплата труда рабочих</t>
        </is>
      </c>
      <c r="C11" s="339">
        <f>'Прил.5 Расчет СМР и ОБ'!J15</f>
        <v/>
      </c>
      <c r="D11" s="200">
        <f>C11/$C$24</f>
        <v/>
      </c>
      <c r="E11" s="200">
        <f>C11/$C$40</f>
        <v/>
      </c>
    </row>
    <row r="12">
      <c r="B12" s="198" t="inlineStr">
        <is>
          <t>Эксплуатация машин основных</t>
        </is>
      </c>
      <c r="C12" s="339">
        <f>'Прил.5 Расчет СМР и ОБ'!J23</f>
        <v/>
      </c>
      <c r="D12" s="200">
        <f>C12/$C$24</f>
        <v/>
      </c>
      <c r="E12" s="200">
        <f>C12/$C$40</f>
        <v/>
      </c>
    </row>
    <row r="13">
      <c r="B13" s="198" t="inlineStr">
        <is>
          <t>Эксплуатация машин прочих</t>
        </is>
      </c>
      <c r="C13" s="339">
        <f>'Прил.5 Расчет СМР и ОБ'!J29</f>
        <v/>
      </c>
      <c r="D13" s="200">
        <f>C13/$C$24</f>
        <v/>
      </c>
      <c r="E13" s="200">
        <f>C13/$C$40</f>
        <v/>
      </c>
    </row>
    <row r="14">
      <c r="B14" s="198" t="inlineStr">
        <is>
          <t>ЭКСПЛУАТАЦИЯ МАШИН, ВСЕГО:</t>
        </is>
      </c>
      <c r="C14" s="339">
        <f>C13+C12</f>
        <v/>
      </c>
      <c r="D14" s="200">
        <f>C14/$C$24</f>
        <v/>
      </c>
      <c r="E14" s="200">
        <f>C14/$C$40</f>
        <v/>
      </c>
    </row>
    <row r="15">
      <c r="B15" s="198" t="inlineStr">
        <is>
          <t>в том числе зарплата машинистов</t>
        </is>
      </c>
      <c r="C15" s="339">
        <f>'Прил.5 Расчет СМР и ОБ'!J18</f>
        <v/>
      </c>
      <c r="D15" s="200">
        <f>C15/$C$24</f>
        <v/>
      </c>
      <c r="E15" s="200">
        <f>C15/$C$40</f>
        <v/>
      </c>
    </row>
    <row r="16">
      <c r="B16" s="198" t="inlineStr">
        <is>
          <t>Материалы основные</t>
        </is>
      </c>
      <c r="C16" s="339">
        <f>'Прил.5 Расчет СМР и ОБ'!J40</f>
        <v/>
      </c>
      <c r="D16" s="200">
        <f>C16/$C$24</f>
        <v/>
      </c>
      <c r="E16" s="200">
        <f>C16/$C$40</f>
        <v/>
      </c>
    </row>
    <row r="17">
      <c r="B17" s="198" t="inlineStr">
        <is>
          <t>Материалы прочие</t>
        </is>
      </c>
      <c r="C17" s="339">
        <f>'Прил.5 Расчет СМР и ОБ'!J41</f>
        <v/>
      </c>
      <c r="D17" s="200">
        <f>C17/$C$24</f>
        <v/>
      </c>
      <c r="E17" s="200">
        <f>C17/$C$40</f>
        <v/>
      </c>
      <c r="G17" s="481" t="n"/>
    </row>
    <row r="18">
      <c r="B18" s="198" t="inlineStr">
        <is>
          <t>МАТЕРИАЛЫ, ВСЕГО:</t>
        </is>
      </c>
      <c r="C18" s="339">
        <f>C17+C16</f>
        <v/>
      </c>
      <c r="D18" s="200">
        <f>C18/$C$24</f>
        <v/>
      </c>
      <c r="E18" s="200">
        <f>C18/$C$40</f>
        <v/>
      </c>
    </row>
    <row r="19">
      <c r="B19" s="198" t="inlineStr">
        <is>
          <t>ИТОГО</t>
        </is>
      </c>
      <c r="C19" s="339">
        <f>C18+C14+C11</f>
        <v/>
      </c>
      <c r="D19" s="200" t="n"/>
      <c r="E19" s="198" t="n"/>
    </row>
    <row r="20">
      <c r="B20" s="198" t="inlineStr">
        <is>
          <t>Сметная прибыль, руб.</t>
        </is>
      </c>
      <c r="C20" s="339">
        <f>ROUND(C21*(C11+C15),2)</f>
        <v/>
      </c>
      <c r="D20" s="200">
        <f>C20/$C$24</f>
        <v/>
      </c>
      <c r="E20" s="200">
        <f>C20/$C$40</f>
        <v/>
      </c>
    </row>
    <row r="21">
      <c r="B21" s="198" t="inlineStr">
        <is>
          <t>Сметная прибыль, %</t>
        </is>
      </c>
      <c r="C21" s="203">
        <f>'Прил.5 Расчет СМР и ОБ'!E47</f>
        <v/>
      </c>
      <c r="D21" s="200" t="n"/>
      <c r="E21" s="198" t="n"/>
    </row>
    <row r="22">
      <c r="B22" s="198" t="inlineStr">
        <is>
          <t>Накладные расходы, руб.</t>
        </is>
      </c>
      <c r="C22" s="339">
        <f>ROUND(C23*(C11+C15),2)</f>
        <v/>
      </c>
      <c r="D22" s="200">
        <f>C22/$C$24</f>
        <v/>
      </c>
      <c r="E22" s="200">
        <f>C22/$C$40</f>
        <v/>
      </c>
    </row>
    <row r="23">
      <c r="B23" s="198" t="inlineStr">
        <is>
          <t>Накладные расходы, %</t>
        </is>
      </c>
      <c r="C23" s="203">
        <f>'Прил.5 Расчет СМР и ОБ'!E45</f>
        <v/>
      </c>
      <c r="D23" s="200" t="n"/>
      <c r="E23" s="198" t="n"/>
    </row>
    <row r="24">
      <c r="B24" s="198" t="inlineStr">
        <is>
          <t>ВСЕГО СМР с НР и СП</t>
        </is>
      </c>
      <c r="C24" s="339">
        <f>C19+C20+C22</f>
        <v/>
      </c>
      <c r="D24" s="200">
        <f>C24/$C$24</f>
        <v/>
      </c>
      <c r="E24" s="200">
        <f>C24/$C$40</f>
        <v/>
      </c>
    </row>
    <row r="25" ht="25.5" customHeight="1" s="348">
      <c r="B25" s="198" t="inlineStr">
        <is>
          <t>ВСЕГО стоимость оборудования, в том числе</t>
        </is>
      </c>
      <c r="C25" s="339">
        <f>'Прил.5 Расчет СМР и ОБ'!J37</f>
        <v/>
      </c>
      <c r="D25" s="200" t="n"/>
      <c r="E25" s="200">
        <f>C25/$C$40</f>
        <v/>
      </c>
    </row>
    <row r="26" ht="25.5" customHeight="1" s="348">
      <c r="B26" s="198" t="inlineStr">
        <is>
          <t>стоимость оборудования технологического</t>
        </is>
      </c>
      <c r="C26" s="339">
        <f>C25</f>
        <v/>
      </c>
      <c r="D26" s="200" t="n"/>
      <c r="E26" s="200">
        <f>C26/$C$40</f>
        <v/>
      </c>
    </row>
    <row r="27">
      <c r="B27" s="198" t="inlineStr">
        <is>
          <t>ИТОГО (СМР + ОБОРУДОВАНИЕ)</t>
        </is>
      </c>
      <c r="C27" s="199">
        <f>C24+C25</f>
        <v/>
      </c>
      <c r="D27" s="200" t="n"/>
      <c r="E27" s="200">
        <f>C27/$C$40</f>
        <v/>
      </c>
    </row>
    <row r="28" ht="33" customHeight="1" s="348">
      <c r="B28" s="198" t="inlineStr">
        <is>
          <t>ПРОЧ. ЗАТР., УЧТЕННЫЕ ПОКАЗАТЕЛЕМ,  в том числе</t>
        </is>
      </c>
      <c r="C28" s="198" t="n"/>
      <c r="D28" s="198" t="n"/>
      <c r="E28" s="198" t="n"/>
    </row>
    <row r="29" ht="25.5" customHeight="1" s="348">
      <c r="B29" s="198" t="inlineStr">
        <is>
          <t>Временные здания и сооружения - 3,9%</t>
        </is>
      </c>
      <c r="C29" s="199">
        <f>ROUND(C24*3.9%,2)</f>
        <v/>
      </c>
      <c r="D29" s="198" t="n"/>
      <c r="E29" s="200">
        <f>C29/$C$40</f>
        <v/>
      </c>
    </row>
    <row r="30" ht="38.25" customHeight="1" s="348">
      <c r="B30" s="198" t="inlineStr">
        <is>
          <t>Дополнительные затраты при производстве строительно-монтажных работ в зимнее время - 2,1%</t>
        </is>
      </c>
      <c r="C30" s="199">
        <f>ROUND((C24+C29)*2.1%,2)</f>
        <v/>
      </c>
      <c r="D30" s="198" t="n"/>
      <c r="E30" s="200">
        <f>C30/$C$40</f>
        <v/>
      </c>
    </row>
    <row r="31">
      <c r="B31" s="198" t="inlineStr">
        <is>
          <t>Пусконаладочные работы</t>
        </is>
      </c>
      <c r="C31" s="199" t="n">
        <v>0</v>
      </c>
      <c r="D31" s="198" t="n"/>
      <c r="E31" s="200">
        <f>C31/$C$40</f>
        <v/>
      </c>
    </row>
    <row r="32" ht="25.5" customHeight="1" s="348">
      <c r="B32" s="198" t="inlineStr">
        <is>
          <t>Затраты по перевозке работников к месту работы и обратно</t>
        </is>
      </c>
      <c r="C32" s="199" t="n">
        <v>0</v>
      </c>
      <c r="D32" s="198" t="n"/>
      <c r="E32" s="200" t="n">
        <v>0</v>
      </c>
    </row>
    <row r="33" ht="25.5" customHeight="1" s="348">
      <c r="B33" s="198" t="inlineStr">
        <is>
          <t>Затраты, связанные с осуществлением работ вахтовым методом</t>
        </is>
      </c>
      <c r="C33" s="199" t="n">
        <v>0</v>
      </c>
      <c r="D33" s="198" t="n"/>
      <c r="E33" s="200" t="n">
        <v>0</v>
      </c>
    </row>
    <row r="34" ht="51" customHeight="1" s="348">
      <c r="B34" s="19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99" t="n">
        <v>0</v>
      </c>
      <c r="D34" s="198" t="n"/>
      <c r="E34" s="200" t="n">
        <v>0</v>
      </c>
    </row>
    <row r="35" ht="76.5" customHeight="1" s="348">
      <c r="B35" s="19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99" t="n">
        <v>0</v>
      </c>
      <c r="D35" s="198" t="n"/>
      <c r="E35" s="200" t="n">
        <v>0</v>
      </c>
    </row>
    <row r="36" ht="25.5" customHeight="1" s="348">
      <c r="B36" s="198" t="inlineStr">
        <is>
          <t>Строительный контроль и содержание службы заказчика - 2,14%</t>
        </is>
      </c>
      <c r="C36" s="199">
        <f>ROUND((C27+C29+C31+C30+C32+C33+C34+C35)*2.14%,2)</f>
        <v/>
      </c>
      <c r="D36" s="198" t="n"/>
      <c r="E36" s="200">
        <f>C36/$C$40</f>
        <v/>
      </c>
      <c r="G36" s="249" t="n"/>
      <c r="L36" s="169" t="n"/>
    </row>
    <row r="37">
      <c r="B37" s="198" t="inlineStr">
        <is>
          <t>Авторский надзор - 0,2%</t>
        </is>
      </c>
      <c r="C37" s="199">
        <f>ROUND((C27+C29+C30+C31+C32+C33+C34+C35)*0.2%,2)</f>
        <v/>
      </c>
      <c r="D37" s="198" t="n"/>
      <c r="E37" s="200">
        <f>C37/$C$40</f>
        <v/>
      </c>
      <c r="G37" s="249" t="n"/>
      <c r="L37" s="169" t="n"/>
    </row>
    <row r="38" ht="38.25" customHeight="1" s="348">
      <c r="B38" s="198" t="inlineStr">
        <is>
          <t>ИТОГО (СМР+ОБОРУДОВАНИЕ+ПРОЧ. ЗАТР., УЧТЕННЫЕ ПОКАЗАТЕЛЕМ)</t>
        </is>
      </c>
      <c r="C38" s="339">
        <f>C36+C30+C27+C29+C31+C37+C32+C33+C34+C35</f>
        <v/>
      </c>
      <c r="D38" s="198" t="n"/>
      <c r="E38" s="200">
        <f>C38/$C$40</f>
        <v/>
      </c>
    </row>
    <row r="39" ht="13.5" customHeight="1" s="348">
      <c r="B39" s="198" t="inlineStr">
        <is>
          <t>Непредвиденные расходы</t>
        </is>
      </c>
      <c r="C39" s="339">
        <f>ROUND(C38*3%,2)</f>
        <v/>
      </c>
      <c r="D39" s="198" t="n"/>
      <c r="E39" s="200">
        <f>C39/$C$38</f>
        <v/>
      </c>
    </row>
    <row r="40">
      <c r="B40" s="198" t="inlineStr">
        <is>
          <t>ВСЕГО:</t>
        </is>
      </c>
      <c r="C40" s="339">
        <f>C39+C38</f>
        <v/>
      </c>
      <c r="D40" s="198" t="n"/>
      <c r="E40" s="200">
        <f>C40/$C$40</f>
        <v/>
      </c>
    </row>
    <row r="41">
      <c r="B41" s="198" t="inlineStr">
        <is>
          <t>ИТОГО ПОКАЗАТЕЛЬ НА ЕД. ИЗМ.</t>
        </is>
      </c>
      <c r="C41" s="339">
        <f>C40/'Прил.5 Расчет СМР и ОБ'!E51</f>
        <v/>
      </c>
      <c r="D41" s="198" t="n"/>
      <c r="E41" s="198" t="n"/>
    </row>
    <row r="42">
      <c r="B42" s="170" t="n"/>
      <c r="C42" s="347" t="n"/>
      <c r="D42" s="347" t="n"/>
      <c r="E42" s="347" t="n"/>
    </row>
    <row r="43">
      <c r="B43" s="170" t="inlineStr">
        <is>
          <t>Составил ____________________________  А.Р. Маркова</t>
        </is>
      </c>
      <c r="C43" s="347" t="n"/>
      <c r="D43" s="347" t="n"/>
      <c r="E43" s="347" t="n"/>
    </row>
    <row r="44">
      <c r="B44" s="170" t="inlineStr">
        <is>
          <t xml:space="preserve">(должность, подпись, инициалы, фамилия) </t>
        </is>
      </c>
      <c r="C44" s="347" t="n"/>
      <c r="D44" s="347" t="n"/>
      <c r="E44" s="347" t="n"/>
    </row>
    <row r="45">
      <c r="B45" s="170" t="n"/>
      <c r="C45" s="347" t="n"/>
      <c r="D45" s="347" t="n"/>
      <c r="E45" s="347" t="n"/>
    </row>
    <row r="46">
      <c r="B46" s="170" t="inlineStr">
        <is>
          <t>Проверил ____________________________ А.В. Костянецкая</t>
        </is>
      </c>
      <c r="C46" s="347" t="n"/>
      <c r="D46" s="347" t="n"/>
      <c r="E46" s="347" t="n"/>
    </row>
    <row r="47">
      <c r="B47" s="388" t="inlineStr">
        <is>
          <t>(должность, подпись, инициалы, фамилия)</t>
        </is>
      </c>
      <c r="D47" s="347" t="n"/>
      <c r="E47" s="347" t="n"/>
    </row>
    <row r="49">
      <c r="B49" s="347" t="n"/>
      <c r="C49" s="347" t="n"/>
      <c r="D49" s="347" t="n"/>
      <c r="E49" s="347" t="n"/>
    </row>
    <row r="50">
      <c r="B50" s="347" t="n"/>
      <c r="C50" s="347" t="n"/>
      <c r="D50" s="347" t="n"/>
      <c r="E50" s="34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4" cellComments="atEnd"/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2:N60"/>
  <sheetViews>
    <sheetView view="pageBreakPreview" topLeftCell="A47" workbookViewId="0">
      <selection activeCell="B61" sqref="B61"/>
    </sheetView>
  </sheetViews>
  <sheetFormatPr baseColWidth="8" defaultColWidth="9.140625" defaultRowHeight="15" outlineLevelRow="1"/>
  <cols>
    <col width="5.7109375" customWidth="1" style="345" min="1" max="1"/>
    <col width="22.5703125" customWidth="1" style="345" min="2" max="2"/>
    <col width="39.140625" customWidth="1" style="345" min="3" max="3"/>
    <col width="10.7109375" customWidth="1" style="345" min="4" max="4"/>
    <col width="12.7109375" customWidth="1" style="345" min="5" max="5"/>
    <col width="14.5703125" customWidth="1" style="345" min="6" max="6"/>
    <col width="15.42578125" customWidth="1" style="345" min="7" max="7"/>
    <col width="12.7109375" customWidth="1" style="345" min="8" max="8"/>
    <col width="14.5703125" customWidth="1" style="345" min="9" max="9"/>
    <col width="16.140625" customWidth="1" style="345" min="10" max="10"/>
    <col width="22.42578125" customWidth="1" style="345" min="11" max="11"/>
    <col width="20.28515625" customWidth="1" style="345" min="12" max="12"/>
    <col width="10.85546875" customWidth="1" style="345" min="13" max="13"/>
    <col width="9.140625" customWidth="1" style="345" min="14" max="14"/>
    <col width="9.140625" customWidth="1" style="348" min="15" max="15"/>
  </cols>
  <sheetData>
    <row r="2" ht="15.75" customHeight="1" s="348">
      <c r="I2" s="350" t="n"/>
      <c r="J2" s="254" t="inlineStr">
        <is>
          <t>Приложение №5</t>
        </is>
      </c>
    </row>
    <row r="4" ht="12.75" customFormat="1" customHeight="1" s="347">
      <c r="A4" s="365" t="inlineStr">
        <is>
          <t>Расчет стоимости СМР и оборудования</t>
        </is>
      </c>
      <c r="I4" s="365" t="n"/>
      <c r="J4" s="365" t="n"/>
    </row>
    <row r="5" ht="12.75" customFormat="1" customHeight="1" s="347">
      <c r="A5" s="365" t="n"/>
      <c r="B5" s="365" t="n"/>
      <c r="C5" s="365" t="n"/>
      <c r="D5" s="365" t="n"/>
      <c r="E5" s="365" t="n"/>
      <c r="F5" s="365" t="n"/>
      <c r="G5" s="365" t="n"/>
      <c r="H5" s="365" t="n"/>
      <c r="I5" s="365" t="n"/>
      <c r="J5" s="365" t="n"/>
    </row>
    <row r="6" ht="26.25" customFormat="1" customHeight="1" s="347">
      <c r="A6" s="368" t="inlineStr">
        <is>
          <t xml:space="preserve">Наименование разрабатываемого показателя УНЦ </t>
        </is>
      </c>
      <c r="D6" s="368" t="inlineStr">
        <is>
          <t>Демонтаж ячейки выключателя ВУ 330кВ</t>
        </is>
      </c>
    </row>
    <row r="7" ht="25.5" customFormat="1" customHeight="1" s="347">
      <c r="A7" s="368">
        <f>'Прил.1 Сравнит табл'!B8</f>
        <v/>
      </c>
      <c r="I7" s="389" t="n"/>
      <c r="J7" s="389" t="n"/>
    </row>
    <row r="8" ht="12.75" customFormat="1" customHeight="1" s="347"/>
    <row r="9" ht="27" customHeight="1" s="348">
      <c r="A9" s="391" t="inlineStr">
        <is>
          <t>№ пп.</t>
        </is>
      </c>
      <c r="B9" s="391" t="inlineStr">
        <is>
          <t>Код ресурса</t>
        </is>
      </c>
      <c r="C9" s="391" t="inlineStr">
        <is>
          <t>Наименование</t>
        </is>
      </c>
      <c r="D9" s="391" t="inlineStr">
        <is>
          <t>Ед. изм.</t>
        </is>
      </c>
      <c r="E9" s="391" t="inlineStr">
        <is>
          <t>Кол-во единиц по проектным данным</t>
        </is>
      </c>
      <c r="F9" s="391" t="inlineStr">
        <is>
          <t>Сметная стоимость в ценах на 01.01.2000 (руб.)</t>
        </is>
      </c>
      <c r="G9" s="469" t="n"/>
      <c r="H9" s="391" t="inlineStr">
        <is>
          <t>Удельный вес, %</t>
        </is>
      </c>
      <c r="I9" s="391" t="inlineStr">
        <is>
          <t>Сметная стоимость в ценах на 01.01.2023 (руб.)</t>
        </is>
      </c>
      <c r="J9" s="469" t="n"/>
    </row>
    <row r="10" ht="28.5" customHeight="1" s="348">
      <c r="A10" s="471" t="n"/>
      <c r="B10" s="471" t="n"/>
      <c r="C10" s="471" t="n"/>
      <c r="D10" s="471" t="n"/>
      <c r="E10" s="471" t="n"/>
      <c r="F10" s="391" t="inlineStr">
        <is>
          <t>на ед. изм.</t>
        </is>
      </c>
      <c r="G10" s="391" t="inlineStr">
        <is>
          <t>общая</t>
        </is>
      </c>
      <c r="H10" s="471" t="n"/>
      <c r="I10" s="391" t="inlineStr">
        <is>
          <t>на ед. изм.</t>
        </is>
      </c>
      <c r="J10" s="391" t="inlineStr">
        <is>
          <t>общая</t>
        </is>
      </c>
    </row>
    <row r="11">
      <c r="A11" s="391" t="n">
        <v>1</v>
      </c>
      <c r="B11" s="391" t="n">
        <v>2</v>
      </c>
      <c r="C11" s="391" t="n">
        <v>3</v>
      </c>
      <c r="D11" s="391" t="n">
        <v>4</v>
      </c>
      <c r="E11" s="391" t="n">
        <v>5</v>
      </c>
      <c r="F11" s="391" t="n">
        <v>6</v>
      </c>
      <c r="G11" s="391" t="n">
        <v>7</v>
      </c>
      <c r="H11" s="391" t="n">
        <v>8</v>
      </c>
      <c r="I11" s="391" t="n">
        <v>9</v>
      </c>
      <c r="J11" s="391" t="n">
        <v>10</v>
      </c>
    </row>
    <row r="12">
      <c r="A12" s="391" t="n"/>
      <c r="B12" s="384" t="inlineStr">
        <is>
          <t>Затраты труда рабочих-строителей</t>
        </is>
      </c>
      <c r="C12" s="468" t="n"/>
      <c r="D12" s="468" t="n"/>
      <c r="E12" s="468" t="n"/>
      <c r="F12" s="468" t="n"/>
      <c r="G12" s="468" t="n"/>
      <c r="H12" s="469" t="n"/>
      <c r="I12" s="209" t="n"/>
      <c r="J12" s="209" t="n"/>
    </row>
    <row r="13" ht="30" customHeight="1" s="348">
      <c r="A13" s="391" t="n">
        <v>1</v>
      </c>
      <c r="B13" s="293" t="inlineStr">
        <is>
          <t>1-5-0</t>
        </is>
      </c>
      <c r="C13" s="390" t="inlineStr">
        <is>
          <t>Затраты труда рабочих-строителей среднего разряда (5,0)</t>
        </is>
      </c>
      <c r="D13" s="391" t="inlineStr">
        <is>
          <t>чел.-ч.</t>
        </is>
      </c>
      <c r="E13" s="482">
        <f>G13/F13</f>
        <v/>
      </c>
      <c r="F13" s="316" t="n">
        <v>11.09</v>
      </c>
      <c r="G13" s="316">
        <f>Прил.3!H11</f>
        <v/>
      </c>
      <c r="H13" s="395">
        <f>G13/G14</f>
        <v/>
      </c>
      <c r="I13" s="316">
        <f>'ФОТр.тек.'!E13</f>
        <v/>
      </c>
      <c r="J13" s="316">
        <f>ROUND(I13*E13,2)</f>
        <v/>
      </c>
    </row>
    <row r="14" ht="25.5" customFormat="1" customHeight="1" s="345">
      <c r="A14" s="391" t="n"/>
      <c r="B14" s="391" t="n"/>
      <c r="C14" s="384" t="inlineStr">
        <is>
          <t>Итого по разделу "Затраты труда рабочих-строителей"</t>
        </is>
      </c>
      <c r="D14" s="391" t="inlineStr">
        <is>
          <t>чел.-ч.</t>
        </is>
      </c>
      <c r="E14" s="482">
        <f>SUM(E13:E13)</f>
        <v/>
      </c>
      <c r="F14" s="316" t="n"/>
      <c r="G14" s="316">
        <f>SUM(G13:G13)</f>
        <v/>
      </c>
      <c r="H14" s="395" t="n">
        <v>1</v>
      </c>
      <c r="I14" s="316" t="n"/>
      <c r="J14" s="316">
        <f>J13</f>
        <v/>
      </c>
      <c r="K14" s="483" t="n"/>
    </row>
    <row r="15" ht="42" customFormat="1" customHeight="1" s="345">
      <c r="A15" s="391" t="n"/>
      <c r="B15" s="391" t="n"/>
      <c r="C15" s="384" t="inlineStr">
        <is>
          <t>Итого по разделу "Затраты труда рабочих-строителей" 
(с коэффициентом на демонтаж 0,7)</t>
        </is>
      </c>
      <c r="D15" s="391" t="n"/>
      <c r="E15" s="482" t="n"/>
      <c r="F15" s="316" t="n"/>
      <c r="G15" s="316">
        <f>G14*0.7</f>
        <v/>
      </c>
      <c r="H15" s="394" t="n">
        <v>1</v>
      </c>
      <c r="I15" s="312" t="n"/>
      <c r="J15" s="316">
        <f>J14*0.7</f>
        <v/>
      </c>
      <c r="K15" s="483" t="n"/>
    </row>
    <row r="16" ht="14.25" customFormat="1" customHeight="1" s="345">
      <c r="A16" s="391" t="n"/>
      <c r="B16" s="390" t="inlineStr">
        <is>
          <t>Затраты труда машинистов</t>
        </is>
      </c>
      <c r="C16" s="468" t="n"/>
      <c r="D16" s="468" t="n"/>
      <c r="E16" s="468" t="n"/>
      <c r="F16" s="468" t="n"/>
      <c r="G16" s="468" t="n"/>
      <c r="H16" s="469" t="n"/>
      <c r="I16" s="209" t="n"/>
      <c r="J16" s="209" t="n"/>
    </row>
    <row r="17" ht="14.25" customFormat="1" customHeight="1" s="345">
      <c r="A17" s="391" t="n">
        <v>2</v>
      </c>
      <c r="B17" s="391" t="n">
        <v>2</v>
      </c>
      <c r="C17" s="390" t="inlineStr">
        <is>
          <t>Затраты труда машинистов</t>
        </is>
      </c>
      <c r="D17" s="391" t="inlineStr">
        <is>
          <t>чел.-ч.</t>
        </is>
      </c>
      <c r="E17" s="482">
        <f>Прил.3!F15</f>
        <v/>
      </c>
      <c r="F17" s="316">
        <f>G17/E17</f>
        <v/>
      </c>
      <c r="G17" s="316">
        <f>Прил.3!H15</f>
        <v/>
      </c>
      <c r="H17" s="395" t="n">
        <v>1</v>
      </c>
      <c r="I17" s="316">
        <f>ROUND(F17*Прил.10!D10,2)</f>
        <v/>
      </c>
      <c r="J17" s="316">
        <f>ROUND(I17*E17,2)</f>
        <v/>
      </c>
      <c r="L17" s="244" t="n"/>
    </row>
    <row r="18" ht="30" customFormat="1" customHeight="1" s="345">
      <c r="A18" s="391" t="n"/>
      <c r="B18" s="391" t="n"/>
      <c r="C18" s="390" t="inlineStr">
        <is>
          <t>Затраты труда машинистов 
(с коэффициентом на демонтаж 0,7)</t>
        </is>
      </c>
      <c r="D18" s="391" t="n"/>
      <c r="E18" s="482" t="n"/>
      <c r="F18" s="316" t="n"/>
      <c r="G18" s="316">
        <f>G17*0.7</f>
        <v/>
      </c>
      <c r="H18" s="394" t="n">
        <v>1</v>
      </c>
      <c r="I18" s="316" t="n"/>
      <c r="J18" s="316">
        <f>J17*0.7</f>
        <v/>
      </c>
      <c r="L18" s="244" t="n"/>
    </row>
    <row r="19" ht="14.25" customFormat="1" customHeight="1" s="345">
      <c r="A19" s="391" t="n"/>
      <c r="B19" s="384" t="inlineStr">
        <is>
          <t>Машины и механизмы</t>
        </is>
      </c>
      <c r="C19" s="468" t="n"/>
      <c r="D19" s="468" t="n"/>
      <c r="E19" s="468" t="n"/>
      <c r="F19" s="468" t="n"/>
      <c r="G19" s="468" t="n"/>
      <c r="H19" s="469" t="n"/>
      <c r="I19" s="395" t="n"/>
      <c r="J19" s="395" t="n"/>
    </row>
    <row r="20" ht="14.25" customFormat="1" customHeight="1" s="345">
      <c r="A20" s="391" t="n"/>
      <c r="B20" s="390" t="inlineStr">
        <is>
          <t>Основные машины и механизмы</t>
        </is>
      </c>
      <c r="C20" s="468" t="n"/>
      <c r="D20" s="468" t="n"/>
      <c r="E20" s="468" t="n"/>
      <c r="F20" s="468" t="n"/>
      <c r="G20" s="468" t="n"/>
      <c r="H20" s="469" t="n"/>
      <c r="I20" s="209" t="n"/>
      <c r="J20" s="209" t="n"/>
    </row>
    <row r="21" ht="25.5" customFormat="1" customHeight="1" s="345">
      <c r="A21" s="391" t="n">
        <v>3</v>
      </c>
      <c r="B21" s="293" t="inlineStr">
        <is>
          <t>91.05.13-002</t>
        </is>
      </c>
      <c r="C21" s="390" t="inlineStr">
        <is>
          <t>Автомобили бортовые, грузоподъемность до 6 т, с краном-манипулятором-6,2 т</t>
        </is>
      </c>
      <c r="D21" s="391" t="inlineStr">
        <is>
          <t>маш.час</t>
        </is>
      </c>
      <c r="E21" s="482" t="n">
        <v>61.4</v>
      </c>
      <c r="F21" s="309" t="n">
        <v>406.66</v>
      </c>
      <c r="G21" s="316">
        <f>ROUND(E21*F21,2)</f>
        <v/>
      </c>
      <c r="H21" s="395">
        <f>G21/$G$30</f>
        <v/>
      </c>
      <c r="I21" s="316">
        <f>ROUND(F21*Прил.10!$D$11,2)</f>
        <v/>
      </c>
      <c r="J21" s="316">
        <f>ROUND(I21*E21,2)</f>
        <v/>
      </c>
    </row>
    <row r="22" ht="14.25" customFormat="1" customHeight="1" s="345">
      <c r="A22" s="391" t="n"/>
      <c r="B22" s="391" t="n"/>
      <c r="C22" s="390" t="inlineStr">
        <is>
          <t>Итого основные машины и механизмы</t>
        </is>
      </c>
      <c r="D22" s="391" t="n"/>
      <c r="E22" s="484" t="n"/>
      <c r="F22" s="316" t="n"/>
      <c r="G22" s="316">
        <f>SUM(G21:G21)</f>
        <v/>
      </c>
      <c r="H22" s="395">
        <f>G22/G30</f>
        <v/>
      </c>
      <c r="I22" s="316" t="n"/>
      <c r="J22" s="316">
        <f>SUM(J21:J21)</f>
        <v/>
      </c>
      <c r="L22" s="483" t="n"/>
    </row>
    <row r="23" ht="30.6" customFormat="1" customHeight="1" s="345">
      <c r="A23" s="391" t="n"/>
      <c r="B23" s="391" t="n"/>
      <c r="C23" s="390" t="inlineStr">
        <is>
          <t>Итого основные машины и механизмы 
(с коэффициентом на демонтаж 0,7)</t>
        </is>
      </c>
      <c r="D23" s="391" t="n"/>
      <c r="E23" s="482" t="n"/>
      <c r="F23" s="316" t="n"/>
      <c r="G23" s="316">
        <f>G22*0.7</f>
        <v/>
      </c>
      <c r="H23" s="395">
        <f>G23/G31</f>
        <v/>
      </c>
      <c r="I23" s="316" t="n"/>
      <c r="J23" s="316">
        <f>J22*0.7</f>
        <v/>
      </c>
      <c r="L23" s="483" t="n"/>
    </row>
    <row r="24" hidden="1" outlineLevel="1" ht="30.6" customFormat="1" customHeight="1" s="345">
      <c r="A24" s="391" t="n">
        <v>4</v>
      </c>
      <c r="B24" s="293" t="inlineStr">
        <is>
          <t>91.06.05-016</t>
        </is>
      </c>
      <c r="C24" s="390" t="inlineStr">
        <is>
          <t>Погрузчики с вилочными подхватами, грузоподъемность 5 т</t>
        </is>
      </c>
      <c r="D24" s="391" t="inlineStr">
        <is>
          <t>маш.час</t>
        </is>
      </c>
      <c r="E24" s="482" t="n">
        <v>15.72</v>
      </c>
      <c r="F24" s="309" t="n">
        <v>99.89</v>
      </c>
      <c r="G24" s="316">
        <f>ROUND(E24*F24,2)</f>
        <v/>
      </c>
      <c r="H24" s="395">
        <f>G24/$G$30</f>
        <v/>
      </c>
      <c r="I24" s="316">
        <f>ROUND(F24*Прил.10!$D$11,2)</f>
        <v/>
      </c>
      <c r="J24" s="316">
        <f>ROUND(I24*E24,2)</f>
        <v/>
      </c>
      <c r="L24" s="483" t="n"/>
    </row>
    <row r="25" hidden="1" outlineLevel="1" ht="14.25" customFormat="1" customHeight="1" s="345">
      <c r="A25" s="391" t="n">
        <v>5</v>
      </c>
      <c r="B25" s="293" t="inlineStr">
        <is>
          <t>91.21.22-433</t>
        </is>
      </c>
      <c r="C25" s="390" t="inlineStr">
        <is>
          <t>Установка газотехнологическая</t>
        </is>
      </c>
      <c r="D25" s="391" t="inlineStr">
        <is>
          <t>маш.час</t>
        </is>
      </c>
      <c r="E25" s="482" t="n">
        <v>9.48</v>
      </c>
      <c r="F25" s="309" t="n">
        <v>101.62</v>
      </c>
      <c r="G25" s="316">
        <f>ROUND(E25*F25,2)</f>
        <v/>
      </c>
      <c r="H25" s="395">
        <f>G25/$G$30</f>
        <v/>
      </c>
      <c r="I25" s="316">
        <f>ROUND(F25*Прил.10!$D$11,2)</f>
        <v/>
      </c>
      <c r="J25" s="316">
        <f>ROUND(I25*E25,2)</f>
        <v/>
      </c>
      <c r="L25" s="483" t="n"/>
    </row>
    <row r="26" hidden="1" outlineLevel="1" ht="25.5" customFormat="1" customHeight="1" s="345">
      <c r="A26" s="391" t="n">
        <v>6</v>
      </c>
      <c r="B26" s="293" t="inlineStr">
        <is>
          <t>91.05.04-032</t>
        </is>
      </c>
      <c r="C26" s="390" t="inlineStr">
        <is>
          <t>Краны подвесные электрические (кран-балки), грузоподъемность 5 т</t>
        </is>
      </c>
      <c r="D26" s="391" t="inlineStr">
        <is>
          <t>маш.час</t>
        </is>
      </c>
      <c r="E26" s="482" t="n">
        <v>149.16</v>
      </c>
      <c r="F26" s="309" t="n">
        <v>5.25</v>
      </c>
      <c r="G26" s="316">
        <f>ROUND(E26*F26,2)</f>
        <v/>
      </c>
      <c r="H26" s="395">
        <f>G26/$G$30</f>
        <v/>
      </c>
      <c r="I26" s="316">
        <f>ROUND(F26*Прил.10!$D$11,2)</f>
        <v/>
      </c>
      <c r="J26" s="316">
        <f>ROUND(I26*E26,2)</f>
        <v/>
      </c>
      <c r="L26" s="483" t="n"/>
    </row>
    <row r="27" hidden="1" outlineLevel="1" ht="25.5" customFormat="1" customHeight="1" s="345">
      <c r="A27" s="391" t="n">
        <v>7</v>
      </c>
      <c r="B27" s="293" t="inlineStr">
        <is>
          <t>91.17.04-233</t>
        </is>
      </c>
      <c r="C27" s="390" t="inlineStr">
        <is>
          <t>Установки для сварки ручной дуговой (постоянного тока)</t>
        </is>
      </c>
      <c r="D27" s="391" t="inlineStr">
        <is>
          <t>маш.час</t>
        </is>
      </c>
      <c r="E27" s="482" t="n">
        <v>5.04</v>
      </c>
      <c r="F27" s="309" t="n">
        <v>8.1</v>
      </c>
      <c r="G27" s="316">
        <f>ROUND(E27*F27,2)</f>
        <v/>
      </c>
      <c r="H27" s="395">
        <f>G27/$G$30</f>
        <v/>
      </c>
      <c r="I27" s="316">
        <f>ROUND(F27*Прил.10!$D$11,2)</f>
        <v/>
      </c>
      <c r="J27" s="316">
        <f>ROUND(I27*E27,2)</f>
        <v/>
      </c>
      <c r="L27" s="483" t="n"/>
    </row>
    <row r="28" collapsed="1" ht="14.25" customFormat="1" customHeight="1" s="345">
      <c r="A28" s="391" t="n"/>
      <c r="B28" s="391" t="n"/>
      <c r="C28" s="390" t="inlineStr">
        <is>
          <t>Итого прочие машины и механизмы</t>
        </is>
      </c>
      <c r="D28" s="391" t="n"/>
      <c r="E28" s="392" t="n"/>
      <c r="F28" s="316" t="n"/>
      <c r="G28" s="316">
        <f>SUM(G24:G27)</f>
        <v/>
      </c>
      <c r="H28" s="395">
        <f>G28/G30</f>
        <v/>
      </c>
      <c r="I28" s="316" t="n"/>
      <c r="J28" s="316">
        <f>SUM(J24:J27)</f>
        <v/>
      </c>
      <c r="K28" s="483" t="n"/>
      <c r="L28" s="483" t="n"/>
    </row>
    <row r="29" ht="29.45" customFormat="1" customHeight="1" s="345">
      <c r="A29" s="391" t="n"/>
      <c r="B29" s="400" t="n"/>
      <c r="C29" s="390" t="inlineStr">
        <is>
          <t>Итого прочие машины и механизмы 
(с коэффициентом на демонтаж 0,7)</t>
        </is>
      </c>
      <c r="D29" s="391" t="n"/>
      <c r="E29" s="392" t="n"/>
      <c r="F29" s="316" t="n"/>
      <c r="G29" s="316">
        <f>G28*0.7</f>
        <v/>
      </c>
      <c r="H29" s="395">
        <f>G29/G31</f>
        <v/>
      </c>
      <c r="I29" s="316" t="n"/>
      <c r="J29" s="316">
        <f>J28*0.7</f>
        <v/>
      </c>
      <c r="K29" s="483" t="n"/>
      <c r="L29" s="483" t="n"/>
    </row>
    <row r="30" ht="25.5" customFormat="1" customHeight="1" s="345">
      <c r="A30" s="391" t="n"/>
      <c r="B30" s="400" t="n"/>
      <c r="C30" s="225" t="inlineStr">
        <is>
          <t>Итого по разделу «Машины и механизмы»</t>
        </is>
      </c>
      <c r="D30" s="400" t="n"/>
      <c r="E30" s="226" t="n"/>
      <c r="F30" s="227" t="n"/>
      <c r="G30" s="227">
        <f>G22+G28</f>
        <v/>
      </c>
      <c r="H30" s="228" t="n">
        <v>1</v>
      </c>
      <c r="I30" s="227" t="n"/>
      <c r="J30" s="227">
        <f>J22+J28</f>
        <v/>
      </c>
    </row>
    <row r="31" ht="43.15" customFormat="1" customHeight="1" s="345">
      <c r="A31" s="402" t="n"/>
      <c r="B31" s="400" t="n"/>
      <c r="C31" s="384" t="inlineStr">
        <is>
          <t>Итого по разделу «Машины и механизмы»  
(с коэффициентом на демонтаж 0,7)</t>
        </is>
      </c>
      <c r="D31" s="391" t="n"/>
      <c r="E31" s="392" t="n"/>
      <c r="F31" s="316" t="n"/>
      <c r="G31" s="316">
        <f>G23+G29</f>
        <v/>
      </c>
      <c r="H31" s="395" t="n">
        <v>1</v>
      </c>
      <c r="I31" s="316" t="n"/>
      <c r="J31" s="316">
        <f>J23+J29</f>
        <v/>
      </c>
    </row>
    <row r="32" ht="18.6" customHeight="1" s="348">
      <c r="A32" s="402" t="n"/>
      <c r="B32" s="384" t="inlineStr">
        <is>
          <t xml:space="preserve">Оборудование </t>
        </is>
      </c>
      <c r="C32" s="468" t="n"/>
      <c r="D32" s="468" t="n"/>
      <c r="E32" s="468" t="n"/>
      <c r="F32" s="468" t="n"/>
      <c r="G32" s="468" t="n"/>
      <c r="H32" s="468" t="n"/>
      <c r="I32" s="468" t="n"/>
      <c r="J32" s="469" t="n"/>
      <c r="K32" s="345" t="n"/>
      <c r="L32" s="345" t="n"/>
      <c r="M32" s="345" t="n"/>
      <c r="N32" s="345" t="n"/>
    </row>
    <row r="33" ht="15" customHeight="1" s="348">
      <c r="A33" s="391" t="n"/>
      <c r="B33" s="396" t="inlineStr">
        <is>
          <t>Основное оборудование</t>
        </is>
      </c>
      <c r="K33" s="345" t="n"/>
      <c r="L33" s="345" t="n"/>
      <c r="M33" s="345" t="n"/>
      <c r="N33" s="345" t="n"/>
    </row>
    <row r="34" ht="15.75" customHeight="1" s="348">
      <c r="A34" s="391" t="n"/>
      <c r="B34" s="391" t="n"/>
      <c r="C34" s="390" t="inlineStr">
        <is>
          <t>Итого основное оборудование</t>
        </is>
      </c>
      <c r="D34" s="391" t="n"/>
      <c r="E34" s="482" t="n"/>
      <c r="F34" s="393" t="n"/>
      <c r="G34" s="316" t="n">
        <v>0</v>
      </c>
      <c r="H34" s="395" t="n">
        <v>0</v>
      </c>
      <c r="I34" s="316" t="n"/>
      <c r="J34" s="316" t="n">
        <v>0</v>
      </c>
      <c r="K34" s="483" t="n"/>
      <c r="L34" s="345" t="n"/>
      <c r="M34" s="345" t="n"/>
      <c r="N34" s="345" t="n"/>
    </row>
    <row r="35" ht="13.5" customHeight="1" s="348">
      <c r="A35" s="391" t="n"/>
      <c r="B35" s="391" t="n"/>
      <c r="C35" s="390" t="inlineStr">
        <is>
          <t>Итого прочее оборудование</t>
        </is>
      </c>
      <c r="D35" s="391" t="n"/>
      <c r="E35" s="392" t="n"/>
      <c r="F35" s="393" t="n"/>
      <c r="G35" s="316" t="n">
        <v>0</v>
      </c>
      <c r="H35" s="395" t="n">
        <v>0</v>
      </c>
      <c r="I35" s="393" t="n"/>
      <c r="J35" s="316" t="n">
        <v>0</v>
      </c>
      <c r="K35" s="483" t="n"/>
      <c r="L35" s="345" t="n"/>
      <c r="M35" s="345" t="n"/>
      <c r="N35" s="345" t="n"/>
    </row>
    <row r="36" ht="23.25" customHeight="1" s="348">
      <c r="A36" s="391" t="n"/>
      <c r="B36" s="391" t="n"/>
      <c r="C36" s="384" t="inlineStr">
        <is>
          <t>Итого по разделу «Оборудование»</t>
        </is>
      </c>
      <c r="D36" s="391" t="n"/>
      <c r="E36" s="392" t="n"/>
      <c r="F36" s="393" t="n"/>
      <c r="G36" s="316">
        <f>G35+G34</f>
        <v/>
      </c>
      <c r="H36" s="395" t="n">
        <v>0</v>
      </c>
      <c r="I36" s="316" t="n"/>
      <c r="J36" s="316">
        <f>J35+J34</f>
        <v/>
      </c>
      <c r="K36" s="483" t="n"/>
      <c r="L36" s="345" t="n"/>
      <c r="M36" s="345" t="n"/>
      <c r="N36" s="345" t="n"/>
    </row>
    <row r="37" ht="25.5" customHeight="1" s="348">
      <c r="A37" s="391" t="n"/>
      <c r="B37" s="391" t="n"/>
      <c r="C37" s="390" t="inlineStr">
        <is>
          <t>в том числе технологическое оборудование</t>
        </is>
      </c>
      <c r="D37" s="391" t="n"/>
      <c r="E37" s="392" t="n"/>
      <c r="F37" s="393" t="n"/>
      <c r="G37" s="316">
        <f>G36</f>
        <v/>
      </c>
      <c r="H37" s="395" t="n"/>
      <c r="I37" s="316" t="n"/>
      <c r="J37" s="316">
        <f>J36</f>
        <v/>
      </c>
      <c r="K37" s="483" t="n"/>
      <c r="L37" s="345" t="n"/>
      <c r="M37" s="345" t="n"/>
      <c r="N37" s="345" t="n"/>
    </row>
    <row r="38" ht="17.45" customFormat="1" customHeight="1" s="345">
      <c r="A38" s="391" t="n"/>
      <c r="B38" s="485" t="inlineStr">
        <is>
          <t xml:space="preserve">Материалы </t>
        </is>
      </c>
      <c r="J38" s="486" t="n"/>
      <c r="K38" s="483" t="n"/>
    </row>
    <row r="39" ht="14.25" customFormat="1" customHeight="1" s="345">
      <c r="A39" s="391" t="n"/>
      <c r="B39" s="390" t="inlineStr">
        <is>
          <t>Основные материалы</t>
        </is>
      </c>
      <c r="C39" s="468" t="n"/>
      <c r="D39" s="468" t="n"/>
      <c r="E39" s="468" t="n"/>
      <c r="F39" s="468" t="n"/>
      <c r="G39" s="468" t="n"/>
      <c r="H39" s="469" t="n"/>
      <c r="I39" s="395" t="n"/>
      <c r="J39" s="395" t="n"/>
    </row>
    <row r="40" ht="22.5" customFormat="1" customHeight="1" s="345">
      <c r="A40" s="391" t="n"/>
      <c r="B40" s="293" t="n"/>
      <c r="C40" s="390" t="inlineStr">
        <is>
          <t>Итого основные материалы</t>
        </is>
      </c>
      <c r="D40" s="391" t="n"/>
      <c r="E40" s="482" t="n"/>
      <c r="F40" s="309" t="n"/>
      <c r="G40" s="316" t="n">
        <v>0</v>
      </c>
      <c r="H40" s="395" t="n">
        <v>0</v>
      </c>
      <c r="I40" s="316" t="n"/>
      <c r="J40" s="316" t="n">
        <v>0</v>
      </c>
      <c r="K40" s="483" t="n"/>
    </row>
    <row r="41" ht="14.25" customFormat="1" customHeight="1" s="345">
      <c r="A41" s="391" t="n"/>
      <c r="B41" s="391" t="n"/>
      <c r="C41" s="390" t="inlineStr">
        <is>
          <t>Итого прочие материалы</t>
        </is>
      </c>
      <c r="D41" s="391" t="n"/>
      <c r="E41" s="392" t="n"/>
      <c r="F41" s="393" t="n"/>
      <c r="G41" s="316" t="n">
        <v>0</v>
      </c>
      <c r="H41" s="395" t="n">
        <v>0</v>
      </c>
      <c r="I41" s="316" t="n"/>
      <c r="J41" s="316" t="n">
        <v>0</v>
      </c>
    </row>
    <row r="42" ht="14.25" customFormat="1" customHeight="1" s="345">
      <c r="A42" s="391" t="n"/>
      <c r="B42" s="391" t="n"/>
      <c r="C42" s="384" t="inlineStr">
        <is>
          <t>Итого по разделу «Материалы»</t>
        </is>
      </c>
      <c r="D42" s="391" t="n"/>
      <c r="E42" s="392" t="n"/>
      <c r="F42" s="393" t="n"/>
      <c r="G42" s="316">
        <f>G40+G41</f>
        <v/>
      </c>
      <c r="H42" s="395" t="n">
        <v>0</v>
      </c>
      <c r="I42" s="393" t="n"/>
      <c r="J42" s="316">
        <f>J40+J41</f>
        <v/>
      </c>
      <c r="K42" s="483" t="n"/>
    </row>
    <row r="43" ht="14.25" customFormat="1" customHeight="1" s="345">
      <c r="A43" s="391" t="n"/>
      <c r="B43" s="391" t="n"/>
      <c r="C43" s="390" t="inlineStr">
        <is>
          <t>ИТОГО ПО РМ</t>
        </is>
      </c>
      <c r="D43" s="391" t="n"/>
      <c r="E43" s="392" t="n"/>
      <c r="F43" s="393" t="n"/>
      <c r="G43" s="316">
        <f>G14+G30+G42</f>
        <v/>
      </c>
      <c r="H43" s="395" t="n"/>
      <c r="I43" s="393" t="n"/>
      <c r="J43" s="316">
        <f>J14+J30+J42</f>
        <v/>
      </c>
    </row>
    <row r="44" ht="27.6" customFormat="1" customHeight="1" s="345">
      <c r="A44" s="391" t="n"/>
      <c r="B44" s="391" t="n"/>
      <c r="C44" s="390" t="inlineStr">
        <is>
          <t>ИТОГО ПО РМ
(с коэффициентом на демонтаж 0,7)</t>
        </is>
      </c>
      <c r="D44" s="391" t="n"/>
      <c r="E44" s="392" t="n"/>
      <c r="F44" s="393" t="n"/>
      <c r="G44" s="316">
        <f>G15+G31</f>
        <v/>
      </c>
      <c r="H44" s="394" t="n"/>
      <c r="I44" s="316" t="n"/>
      <c r="J44" s="316">
        <f>J15+J31</f>
        <v/>
      </c>
    </row>
    <row r="45" ht="14.25" customFormat="1" customHeight="1" s="345">
      <c r="A45" s="391" t="n"/>
      <c r="B45" s="391" t="n"/>
      <c r="C45" s="390" t="inlineStr">
        <is>
          <t>Накладные расходы</t>
        </is>
      </c>
      <c r="D45" s="391" t="inlineStr">
        <is>
          <t>%</t>
        </is>
      </c>
      <c r="E45" s="242">
        <f>ROUND(G45/(G14+G17),2)</f>
        <v/>
      </c>
      <c r="F45" s="393" t="n"/>
      <c r="G45" s="316" t="n">
        <v>19515</v>
      </c>
      <c r="H45" s="395" t="n"/>
      <c r="I45" s="393" t="n"/>
      <c r="J45" s="316">
        <f>ROUND(E45*(J14+J17),2)</f>
        <v/>
      </c>
      <c r="K45" s="243" t="n"/>
    </row>
    <row r="46" ht="25.9" customFormat="1" customHeight="1" s="345">
      <c r="A46" s="391" t="n"/>
      <c r="B46" s="391" t="n"/>
      <c r="C46" s="390" t="inlineStr">
        <is>
          <t>Накладные расходы 
(с коэффициентом на демонтаж 0,7)</t>
        </is>
      </c>
      <c r="D46" s="320">
        <f>D45</f>
        <v/>
      </c>
      <c r="E46" s="242">
        <f>E45</f>
        <v/>
      </c>
      <c r="F46" s="393" t="n"/>
      <c r="G46" s="316">
        <f>G45*0.7</f>
        <v/>
      </c>
      <c r="H46" s="394" t="n"/>
      <c r="I46" s="316" t="n"/>
      <c r="J46" s="316">
        <f>ROUND(E46*(J15+J18),2)</f>
        <v/>
      </c>
      <c r="K46" s="243" t="n"/>
    </row>
    <row r="47" ht="14.25" customFormat="1" customHeight="1" s="345">
      <c r="A47" s="391" t="n"/>
      <c r="B47" s="391" t="n"/>
      <c r="C47" s="390" t="inlineStr">
        <is>
          <t>Сметная прибыль</t>
        </is>
      </c>
      <c r="D47" s="391" t="inlineStr">
        <is>
          <t>%</t>
        </is>
      </c>
      <c r="E47" s="242">
        <f>ROUND(G47/(G14+G17),2)</f>
        <v/>
      </c>
      <c r="F47" s="393" t="n"/>
      <c r="G47" s="316" t="n">
        <v>13352</v>
      </c>
      <c r="H47" s="395" t="n"/>
      <c r="I47" s="393" t="n"/>
      <c r="J47" s="316">
        <f>ROUND(E47*(J14+J17),2)</f>
        <v/>
      </c>
      <c r="K47" s="243" t="n"/>
    </row>
    <row r="48" ht="28.9" customFormat="1" customHeight="1" s="345">
      <c r="A48" s="391" t="n"/>
      <c r="B48" s="391" t="n"/>
      <c r="C48" s="390" t="inlineStr">
        <is>
          <t>Сметная прибыль 
(с коэффициентом на демонтаж 0,7)</t>
        </is>
      </c>
      <c r="D48" s="320">
        <f>D47</f>
        <v/>
      </c>
      <c r="E48" s="242">
        <f>E47</f>
        <v/>
      </c>
      <c r="F48" s="393" t="n"/>
      <c r="G48" s="316">
        <f>G47*0.7</f>
        <v/>
      </c>
      <c r="H48" s="394" t="n"/>
      <c r="I48" s="316" t="n"/>
      <c r="J48" s="316">
        <f>ROUND(E48*(J15+J18),2)</f>
        <v/>
      </c>
      <c r="K48" s="243" t="n"/>
    </row>
    <row r="49" ht="26.45" customFormat="1" customHeight="1" s="345">
      <c r="A49" s="391" t="n"/>
      <c r="B49" s="391" t="n"/>
      <c r="C49" s="390" t="inlineStr">
        <is>
          <t>Итого СМР (с НР и СП) 
(с коэффициентом на демонтаж 0,7)</t>
        </is>
      </c>
      <c r="D49" s="391" t="n"/>
      <c r="E49" s="392" t="n"/>
      <c r="F49" s="393" t="n"/>
      <c r="G49" s="316">
        <f>G44+G46+G48</f>
        <v/>
      </c>
      <c r="H49" s="395" t="n"/>
      <c r="I49" s="393" t="n"/>
      <c r="J49" s="316">
        <f>J44+J46+J48</f>
        <v/>
      </c>
      <c r="L49" s="244" t="n"/>
    </row>
    <row r="50" ht="29.45" customFormat="1" customHeight="1" s="345">
      <c r="A50" s="391" t="n"/>
      <c r="B50" s="391" t="n"/>
      <c r="C50" s="390" t="inlineStr">
        <is>
          <t>ВСЕГО СМР + ОБОРУДОВАНИЕ 
(с коэффициентом на демонтаж 0,7)</t>
        </is>
      </c>
      <c r="D50" s="391" t="n"/>
      <c r="E50" s="392" t="n"/>
      <c r="F50" s="393" t="n"/>
      <c r="G50" s="316">
        <f>G49</f>
        <v/>
      </c>
      <c r="H50" s="395" t="n"/>
      <c r="I50" s="393" t="n"/>
      <c r="J50" s="316">
        <f>J49</f>
        <v/>
      </c>
      <c r="L50" s="243" t="n"/>
    </row>
    <row r="51" ht="14.25" customFormat="1" customHeight="1" s="345">
      <c r="A51" s="391" t="n"/>
      <c r="B51" s="391" t="n"/>
      <c r="C51" s="390" t="inlineStr">
        <is>
          <t>ИТОГО ПОКАЗАТЕЛЬ НА ЕД. ИЗМ.</t>
        </is>
      </c>
      <c r="D51" s="391" t="inlineStr">
        <is>
          <t>ед.</t>
        </is>
      </c>
      <c r="E51" s="482" t="n">
        <v>4</v>
      </c>
      <c r="F51" s="393" t="n"/>
      <c r="G51" s="316">
        <f>G50/E51</f>
        <v/>
      </c>
      <c r="H51" s="395" t="n"/>
      <c r="I51" s="393" t="n"/>
      <c r="J51" s="316">
        <f>J50/E51</f>
        <v/>
      </c>
      <c r="L51" s="243" t="n"/>
    </row>
    <row r="55" ht="14.25" customFormat="1" customHeight="1" s="345">
      <c r="A55" s="346" t="n"/>
    </row>
    <row r="56" ht="14.25" customFormat="1" customHeight="1" s="345">
      <c r="A56" s="347" t="inlineStr">
        <is>
          <t>Составил ______________________      А.Р. Маркова</t>
        </is>
      </c>
    </row>
    <row r="57" ht="14.25" customFormat="1" customHeight="1" s="345">
      <c r="A57" s="344" t="inlineStr">
        <is>
          <t xml:space="preserve">                         (подпись, инициалы, фамилия)</t>
        </is>
      </c>
    </row>
    <row r="58" ht="14.25" customFormat="1" customHeight="1" s="345">
      <c r="A58" s="347" t="n"/>
    </row>
    <row r="59" ht="14.25" customFormat="1" customHeight="1" s="345">
      <c r="A59" s="347" t="inlineStr">
        <is>
          <t>Проверил ______________________        А.В. Костянецкая</t>
        </is>
      </c>
    </row>
    <row r="60" ht="14.25" customFormat="1" customHeight="1" s="345">
      <c r="A60" s="344" t="inlineStr">
        <is>
          <t xml:space="preserve">                        (подпись, инициалы, фамилия)</t>
        </is>
      </c>
    </row>
  </sheetData>
  <mergeCells count="20">
    <mergeCell ref="H9:H10"/>
    <mergeCell ref="B20:H20"/>
    <mergeCell ref="B38:J38"/>
    <mergeCell ref="C9:C10"/>
    <mergeCell ref="E9:E10"/>
    <mergeCell ref="A7:H7"/>
    <mergeCell ref="B16:H16"/>
    <mergeCell ref="B33:J33"/>
    <mergeCell ref="B9:B10"/>
    <mergeCell ref="D9:D10"/>
    <mergeCell ref="B12:H12"/>
    <mergeCell ref="B39:H39"/>
    <mergeCell ref="D6:J6"/>
    <mergeCell ref="B32:J32"/>
    <mergeCell ref="F9:G9"/>
    <mergeCell ref="A4:H4"/>
    <mergeCell ref="A9:A10"/>
    <mergeCell ref="A6:C6"/>
    <mergeCell ref="B19:H19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9">
    <outlinePr summaryBelow="1" summaryRight="1"/>
    <pageSetUpPr fitToPage="1"/>
  </sheetPr>
  <dimension ref="A1:G20"/>
  <sheetViews>
    <sheetView view="pageBreakPreview" topLeftCell="A3" workbookViewId="0">
      <selection activeCell="B15" sqref="B15"/>
    </sheetView>
  </sheetViews>
  <sheetFormatPr baseColWidth="8" defaultRowHeight="15"/>
  <cols>
    <col width="5.7109375" customWidth="1" style="348" min="1" max="1"/>
    <col width="14.85546875" customWidth="1" style="348" min="2" max="2"/>
    <col width="41.85546875" customWidth="1" style="348" min="3" max="3"/>
    <col width="9.7109375" customWidth="1" style="348" min="4" max="4"/>
    <col width="13.5703125" customWidth="1" style="348" min="5" max="5"/>
    <col width="12.42578125" customWidth="1" style="348" min="6" max="6"/>
    <col width="14.140625" customWidth="1" style="348" min="7" max="7"/>
  </cols>
  <sheetData>
    <row r="1">
      <c r="A1" s="410" t="inlineStr">
        <is>
          <t>Приложение №6</t>
        </is>
      </c>
    </row>
    <row r="2">
      <c r="A2" s="410" t="n"/>
      <c r="B2" s="410" t="n"/>
      <c r="C2" s="410" t="n"/>
      <c r="D2" s="410" t="n"/>
      <c r="E2" s="410" t="n"/>
      <c r="F2" s="410" t="n"/>
      <c r="G2" s="410" t="n"/>
    </row>
    <row r="3" ht="24.75" customHeight="1" s="348">
      <c r="A3" s="365" t="inlineStr">
        <is>
          <t>Расчет стоимости оборудования</t>
        </is>
      </c>
    </row>
    <row r="4" ht="24.75" customHeight="1" s="348">
      <c r="A4" s="365" t="n"/>
      <c r="B4" s="365" t="n"/>
      <c r="C4" s="365" t="n"/>
      <c r="D4" s="365" t="n"/>
      <c r="E4" s="365" t="n"/>
      <c r="F4" s="365" t="n"/>
      <c r="G4" s="365" t="n"/>
    </row>
    <row r="5" ht="25.5" customHeight="1" s="348">
      <c r="A5" s="368" t="inlineStr">
        <is>
          <t xml:space="preserve">Наименование разрабатываемого показателя УНЦ - </t>
        </is>
      </c>
      <c r="D5" s="368" t="inlineStr">
        <is>
          <t>Демонтаж ячейки выключателя ВУ 330кВ</t>
        </is>
      </c>
    </row>
    <row r="6">
      <c r="A6" s="347" t="n"/>
      <c r="B6" s="347" t="n"/>
      <c r="C6" s="347" t="n"/>
      <c r="D6" s="347" t="n"/>
      <c r="E6" s="347" t="n"/>
      <c r="F6" s="347" t="n"/>
      <c r="G6" s="347" t="n"/>
    </row>
    <row r="7" ht="30" customHeight="1" s="348">
      <c r="A7" s="411" t="inlineStr">
        <is>
          <t>№ пп.</t>
        </is>
      </c>
      <c r="B7" s="411" t="inlineStr">
        <is>
          <t>Код ресурса</t>
        </is>
      </c>
      <c r="C7" s="411" t="inlineStr">
        <is>
          <t>Наименование</t>
        </is>
      </c>
      <c r="D7" s="411" t="inlineStr">
        <is>
          <t>Ед. изм.</t>
        </is>
      </c>
      <c r="E7" s="391" t="inlineStr">
        <is>
          <t>Кол-во единиц по проектным данным</t>
        </is>
      </c>
      <c r="F7" s="411" t="inlineStr">
        <is>
          <t>Сметная стоимость в ценах на 01.01.2000 (руб.)</t>
        </is>
      </c>
      <c r="G7" s="469" t="n"/>
    </row>
    <row r="8">
      <c r="A8" s="471" t="n"/>
      <c r="B8" s="471" t="n"/>
      <c r="C8" s="471" t="n"/>
      <c r="D8" s="471" t="n"/>
      <c r="E8" s="471" t="n"/>
      <c r="F8" s="391" t="inlineStr">
        <is>
          <t>на ед. изм.</t>
        </is>
      </c>
      <c r="G8" s="391" t="inlineStr">
        <is>
          <t>общая</t>
        </is>
      </c>
    </row>
    <row r="9">
      <c r="A9" s="391" t="n">
        <v>1</v>
      </c>
      <c r="B9" s="391" t="n">
        <v>2</v>
      </c>
      <c r="C9" s="391" t="n">
        <v>3</v>
      </c>
      <c r="D9" s="391" t="n">
        <v>4</v>
      </c>
      <c r="E9" s="391" t="n">
        <v>5</v>
      </c>
      <c r="F9" s="391" t="n">
        <v>6</v>
      </c>
      <c r="G9" s="391" t="n">
        <v>7</v>
      </c>
    </row>
    <row r="10" ht="15" customHeight="1" s="348">
      <c r="A10" s="198" t="n"/>
      <c r="B10" s="390" t="inlineStr">
        <is>
          <t>ИНЖЕНЕРНОЕ ОБОРУДОВАНИЕ</t>
        </is>
      </c>
      <c r="C10" s="468" t="n"/>
      <c r="D10" s="468" t="n"/>
      <c r="E10" s="468" t="n"/>
      <c r="F10" s="468" t="n"/>
      <c r="G10" s="469" t="n"/>
    </row>
    <row r="11" ht="20.25" customHeight="1" s="348">
      <c r="A11" s="391" t="n"/>
      <c r="B11" s="384" t="n"/>
      <c r="C11" s="390" t="inlineStr">
        <is>
          <t>ИТОГО ИНЖЕНЕРНОЕ ОБОРУДОВАНИЕ</t>
        </is>
      </c>
      <c r="D11" s="384" t="n"/>
      <c r="E11" s="142" t="n"/>
      <c r="F11" s="393" t="n"/>
      <c r="G11" s="393" t="n">
        <v>0</v>
      </c>
    </row>
    <row r="12" ht="15" customHeight="1" s="348">
      <c r="A12" s="391" t="n"/>
      <c r="B12" s="155" t="inlineStr">
        <is>
          <t>ТЕХНОЛОГИЧЕСКОЕ ОБОРУДОВАНИЕ</t>
        </is>
      </c>
      <c r="C12" s="487" t="n"/>
      <c r="D12" s="487" t="n"/>
      <c r="E12" s="487" t="n"/>
      <c r="F12" s="487" t="n"/>
      <c r="G12" s="488" t="n"/>
    </row>
    <row r="13" ht="25.5" customHeight="1" s="348">
      <c r="A13" s="402" t="n"/>
      <c r="B13" s="390" t="n"/>
      <c r="C13" s="390" t="inlineStr">
        <is>
          <t>ИТОГО ТЕХНОЛОГИЧЕСКОЕ ОБОРУДОВАНИЕ</t>
        </is>
      </c>
      <c r="D13" s="390" t="n"/>
      <c r="E13" s="309" t="n"/>
      <c r="F13" s="393" t="n"/>
      <c r="G13" s="305" t="n">
        <v>0</v>
      </c>
    </row>
    <row r="14" ht="19.5" customHeight="1" s="348">
      <c r="A14" s="391" t="n"/>
      <c r="B14" s="159" t="n"/>
      <c r="C14" s="159" t="inlineStr">
        <is>
          <t>Всего по разделу «Оборудование»</t>
        </is>
      </c>
      <c r="D14" s="159" t="n"/>
      <c r="E14" s="160" t="n"/>
      <c r="F14" s="306" t="n"/>
      <c r="G14" s="316">
        <f>G11+G13</f>
        <v/>
      </c>
    </row>
    <row r="15">
      <c r="A15" s="346" t="n"/>
      <c r="B15" s="342" t="n"/>
      <c r="C15" s="346" t="n"/>
      <c r="D15" s="346" t="n"/>
      <c r="E15" s="346" t="n"/>
      <c r="F15" s="346" t="n"/>
      <c r="G15" s="346" t="n"/>
    </row>
    <row r="16" s="348">
      <c r="A16" s="347" t="inlineStr">
        <is>
          <t>Составил ______________________      А.Р. Маркова</t>
        </is>
      </c>
      <c r="B16" s="345" t="n"/>
      <c r="C16" s="345" t="n"/>
      <c r="D16" s="346" t="n"/>
      <c r="E16" s="346" t="n"/>
      <c r="F16" s="346" t="n"/>
      <c r="G16" s="346" t="n"/>
    </row>
    <row r="17" s="348">
      <c r="A17" s="344" t="inlineStr">
        <is>
          <t xml:space="preserve">                         (подпись, инициалы, фамилия)</t>
        </is>
      </c>
      <c r="B17" s="345" t="n"/>
      <c r="C17" s="345" t="n"/>
      <c r="D17" s="346" t="n"/>
      <c r="E17" s="346" t="n"/>
      <c r="F17" s="346" t="n"/>
      <c r="G17" s="346" t="n"/>
    </row>
    <row r="18" s="348">
      <c r="A18" s="347" t="n"/>
      <c r="B18" s="345" t="n"/>
      <c r="C18" s="345" t="n"/>
      <c r="D18" s="346" t="n"/>
      <c r="E18" s="346" t="n"/>
      <c r="F18" s="346" t="n"/>
      <c r="G18" s="346" t="n"/>
    </row>
    <row r="19" s="348">
      <c r="A19" s="347" t="inlineStr">
        <is>
          <t>Проверил ______________________        А.В. Костянецкая</t>
        </is>
      </c>
      <c r="B19" s="345" t="n"/>
      <c r="C19" s="345" t="n"/>
      <c r="D19" s="346" t="n"/>
      <c r="E19" s="346" t="n"/>
      <c r="F19" s="346" t="n"/>
      <c r="G19" s="346" t="n"/>
    </row>
    <row r="20" s="348">
      <c r="A20" s="344" t="inlineStr">
        <is>
          <t xml:space="preserve">                        (подпись, инициалы, фамилия)</t>
        </is>
      </c>
      <c r="B20" s="345" t="n"/>
      <c r="C20" s="345" t="n"/>
      <c r="D20" s="346" t="n"/>
      <c r="E20" s="346" t="n"/>
      <c r="F20" s="346" t="n"/>
      <c r="G20" s="346" t="n"/>
    </row>
  </sheetData>
  <mergeCells count="12">
    <mergeCell ref="B10:G10"/>
    <mergeCell ref="A1:G1"/>
    <mergeCell ref="A5:C5"/>
    <mergeCell ref="A3:G3"/>
    <mergeCell ref="C7:C8"/>
    <mergeCell ref="A7:A8"/>
    <mergeCell ref="B7:B8"/>
    <mergeCell ref="D7:D8"/>
    <mergeCell ref="E7:E8"/>
    <mergeCell ref="B12:G12"/>
    <mergeCell ref="D5:G5"/>
    <mergeCell ref="F7:G7"/>
  </mergeCells>
  <pageMargins left="0.7" right="0.7" top="0.75" bottom="0.75" header="0.3" footer="0.3"/>
  <pageSetup orientation="portrait" paperSize="9" scale="77" cellComments="atEnd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D17"/>
  <sheetViews>
    <sheetView view="pageBreakPreview" zoomScale="115" workbookViewId="0">
      <selection activeCell="B13" sqref="B13"/>
    </sheetView>
  </sheetViews>
  <sheetFormatPr baseColWidth="8" defaultRowHeight="15"/>
  <cols>
    <col width="15.28515625" customWidth="1" style="348" min="1" max="1"/>
    <col width="20.140625" customWidth="1" style="348" min="2" max="2"/>
    <col width="39.85546875" customWidth="1" style="348" min="3" max="3"/>
    <col width="24.42578125" customWidth="1" style="348" min="4" max="4"/>
    <col width="9.140625" customWidth="1" style="348" min="5" max="5"/>
  </cols>
  <sheetData>
    <row r="1">
      <c r="B1" s="347" t="n"/>
      <c r="C1" s="347" t="n"/>
      <c r="D1" s="410" t="inlineStr">
        <is>
          <t>Приложение №7</t>
        </is>
      </c>
    </row>
    <row r="2">
      <c r="A2" s="410" t="n"/>
      <c r="B2" s="410" t="n"/>
      <c r="C2" s="410" t="n"/>
      <c r="D2" s="410" t="n"/>
    </row>
    <row r="3">
      <c r="A3" s="365" t="inlineStr">
        <is>
          <t>Расчет показателя УНЦ</t>
        </is>
      </c>
    </row>
    <row r="4">
      <c r="A4" s="365" t="n"/>
      <c r="B4" s="365" t="n"/>
      <c r="C4" s="365" t="n"/>
      <c r="D4" s="365" t="n"/>
    </row>
    <row r="5" ht="25.5" customHeight="1" s="348">
      <c r="A5" s="368" t="inlineStr">
        <is>
          <t xml:space="preserve">Наименование разрабатываемого показателя УНЦ - </t>
        </is>
      </c>
      <c r="D5" s="368">
        <f>'Прил.5 Расчет СМР и ОБ'!D6:J6</f>
        <v/>
      </c>
    </row>
    <row r="6">
      <c r="A6" s="368" t="inlineStr">
        <is>
          <t>Единица измерения  — 1 ячейка</t>
        </is>
      </c>
      <c r="D6" s="368" t="n"/>
    </row>
    <row r="7">
      <c r="A7" s="347" t="n"/>
      <c r="B7" s="347" t="n"/>
      <c r="C7" s="347" t="n"/>
      <c r="D7" s="347" t="n"/>
    </row>
    <row r="8">
      <c r="A8" s="378" t="inlineStr">
        <is>
          <t>Код показателя</t>
        </is>
      </c>
      <c r="B8" s="378" t="inlineStr">
        <is>
          <t>Наименование показателя</t>
        </is>
      </c>
      <c r="C8" s="378" t="inlineStr">
        <is>
          <t>Наименование РМ, входящих в состав показателя</t>
        </is>
      </c>
      <c r="D8" s="378" t="inlineStr">
        <is>
          <t>Норматив цены на 01.01.2023, тыс.руб.</t>
        </is>
      </c>
    </row>
    <row r="9">
      <c r="A9" s="471" t="n"/>
      <c r="B9" s="471" t="n"/>
      <c r="C9" s="471" t="n"/>
      <c r="D9" s="471" t="n"/>
    </row>
    <row r="10">
      <c r="A10" s="391" t="n">
        <v>1</v>
      </c>
      <c r="B10" s="391" t="n">
        <v>2</v>
      </c>
      <c r="C10" s="391" t="n">
        <v>3</v>
      </c>
      <c r="D10" s="391" t="n">
        <v>4</v>
      </c>
    </row>
    <row r="11" ht="25.5" customHeight="1" s="348">
      <c r="A11" s="391" t="inlineStr">
        <is>
          <t>М6-02-5</t>
        </is>
      </c>
      <c r="B11" s="391" t="inlineStr">
        <is>
          <t>УНЦ на демонтажные работы ПС</t>
        </is>
      </c>
      <c r="C11" s="339" t="inlineStr">
        <is>
          <t>Демонтаж ячейки выключателя ВУ 330кВ</t>
        </is>
      </c>
      <c r="D11" s="340">
        <f>'Прил.4 РМ'!C41/1000</f>
        <v/>
      </c>
    </row>
    <row r="12">
      <c r="A12" s="346" t="n"/>
      <c r="B12" s="342" t="n"/>
      <c r="C12" s="346" t="n"/>
      <c r="D12" s="346" t="n"/>
    </row>
    <row r="13">
      <c r="A13" s="347" t="inlineStr">
        <is>
          <t>Составил ______________________      А.Р. Маркова</t>
        </is>
      </c>
      <c r="B13" s="345" t="n"/>
      <c r="C13" s="345" t="n"/>
      <c r="D13" s="346" t="n"/>
    </row>
    <row r="14">
      <c r="A14" s="344" t="inlineStr">
        <is>
          <t xml:space="preserve">                         (подпись, инициалы, фамилия)</t>
        </is>
      </c>
      <c r="B14" s="345" t="n"/>
      <c r="C14" s="345" t="n"/>
      <c r="D14" s="346" t="n"/>
    </row>
    <row r="15">
      <c r="A15" s="347" t="n"/>
      <c r="B15" s="345" t="n"/>
      <c r="C15" s="345" t="n"/>
      <c r="D15" s="346" t="n"/>
    </row>
    <row r="16">
      <c r="A16" s="347" t="inlineStr">
        <is>
          <t>Проверил ______________________        А.В. Костянецкая</t>
        </is>
      </c>
      <c r="B16" s="345" t="n"/>
      <c r="C16" s="345" t="n"/>
      <c r="D16" s="346" t="n"/>
    </row>
    <row r="17">
      <c r="A17" s="344" t="inlineStr">
        <is>
          <t xml:space="preserve">                        (подпись, инициалы, фамилия)</t>
        </is>
      </c>
      <c r="B17" s="345" t="n"/>
      <c r="C17" s="345" t="n"/>
      <c r="D17" s="34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8" cellComments="atEnd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 fitToPage="1"/>
  </sheetPr>
  <dimension ref="B4:D30"/>
  <sheetViews>
    <sheetView view="pageBreakPreview" zoomScale="60" zoomScaleNormal="100" workbookViewId="0">
      <selection activeCell="B26" sqref="B26"/>
    </sheetView>
  </sheetViews>
  <sheetFormatPr baseColWidth="8" defaultRowHeight="15"/>
  <cols>
    <col width="40.7109375" customWidth="1" style="348" min="2" max="2"/>
    <col width="37" customWidth="1" style="348" min="3" max="3"/>
    <col width="32" customWidth="1" style="348" min="4" max="4"/>
  </cols>
  <sheetData>
    <row r="4" ht="15.75" customHeight="1" s="348">
      <c r="B4" s="373" t="inlineStr">
        <is>
          <t>Приложение № 10</t>
        </is>
      </c>
    </row>
    <row r="5" ht="18.75" customHeight="1" s="348">
      <c r="B5" s="171" t="n"/>
    </row>
    <row r="6" ht="15.75" customHeight="1" s="348">
      <c r="B6" s="383" t="inlineStr">
        <is>
          <t>Используемые индексы изменений сметной стоимости и нормы сопутствующих затрат</t>
        </is>
      </c>
    </row>
    <row r="7" ht="18.75" customHeight="1" s="348">
      <c r="B7" s="250" t="n"/>
    </row>
    <row r="8" ht="47.25" customHeight="1" s="348">
      <c r="B8" s="378" t="inlineStr">
        <is>
          <t>Наименование индекса / норм сопутствующих затрат</t>
        </is>
      </c>
      <c r="C8" s="378" t="inlineStr">
        <is>
          <t>Дата применения и обоснование индекса / норм сопутствующих затрат</t>
        </is>
      </c>
      <c r="D8" s="378" t="inlineStr">
        <is>
          <t>Размер индекса / норма сопутствующих затрат</t>
        </is>
      </c>
    </row>
    <row r="9" ht="15.75" customHeight="1" s="348">
      <c r="B9" s="378" t="n">
        <v>1</v>
      </c>
      <c r="C9" s="378" t="n">
        <v>2</v>
      </c>
      <c r="D9" s="378" t="n">
        <v>3</v>
      </c>
    </row>
    <row r="10" ht="45" customHeight="1" s="348">
      <c r="B10" s="378" t="inlineStr">
        <is>
          <t xml:space="preserve">Индекс изменения сметной стоимости на 1 квартал 2023 года. ОЗП </t>
        </is>
      </c>
      <c r="C10" s="378" t="inlineStr">
        <is>
          <t>Письмо Минстроя России от 30.03.2023г. №17106-ИФ/09  прил.1</t>
        </is>
      </c>
      <c r="D10" s="378" t="n">
        <v>44.29</v>
      </c>
    </row>
    <row r="11" ht="29.25" customHeight="1" s="348">
      <c r="B11" s="378" t="inlineStr">
        <is>
          <t>Индекс изменения сметной стоимости на 1 квартал 2023 года. ЭМ</t>
        </is>
      </c>
      <c r="C11" s="378" t="inlineStr">
        <is>
          <t>Письмо Минстроя России от 30.03.2023г. №17106-ИФ/09  прил.1</t>
        </is>
      </c>
      <c r="D11" s="378" t="n">
        <v>13.47</v>
      </c>
    </row>
    <row r="12" ht="29.25" customHeight="1" s="348">
      <c r="B12" s="378" t="inlineStr">
        <is>
          <t>Индекс изменения сметной стоимости на 1 квартал 2023 года. МАТ</t>
        </is>
      </c>
      <c r="C12" s="378" t="inlineStr">
        <is>
          <t>Письмо Минстроя России от 30.03.2023г. №17106-ИФ/09  прил.1</t>
        </is>
      </c>
      <c r="D12" s="378" t="n">
        <v>8.039999999999999</v>
      </c>
    </row>
    <row r="13" ht="30.75" customHeight="1" s="348">
      <c r="B13" s="378" t="inlineStr">
        <is>
          <t>Индекс изменения сметной стоимости на 1 квартал 2023 года. ОБ</t>
        </is>
      </c>
      <c r="C13" s="252" t="inlineStr">
        <is>
          <t>Письмо Минстроя России от 23.02.2023г. №9791-ИФ/09 прил.6</t>
        </is>
      </c>
      <c r="D13" s="378" t="n">
        <v>6.26</v>
      </c>
    </row>
    <row r="14" ht="89.25" customHeight="1" s="348">
      <c r="B14" s="378" t="inlineStr">
        <is>
          <t>Временные здания и сооружения</t>
        </is>
      </c>
      <c r="C14" s="378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182" t="n">
        <v>0.039</v>
      </c>
    </row>
    <row r="15" ht="78.75" customHeight="1" s="348">
      <c r="B15" s="378" t="inlineStr">
        <is>
          <t>Дополнительные затраты при производстве строительно-монтажных работ в зимнее время</t>
        </is>
      </c>
      <c r="C15" s="37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182" t="n">
        <v>0.021</v>
      </c>
    </row>
    <row r="16" ht="34.5" customHeight="1" s="348">
      <c r="B16" s="378" t="n"/>
      <c r="C16" s="378" t="n"/>
      <c r="D16" s="378" t="n"/>
    </row>
    <row r="17" ht="31.5" customHeight="1" s="348">
      <c r="B17" s="378" t="inlineStr">
        <is>
          <t>Строительный контроль</t>
        </is>
      </c>
      <c r="C17" s="378" t="inlineStr">
        <is>
          <t>Постановление Правительства РФ от 21.06.10 г. № 468</t>
        </is>
      </c>
      <c r="D17" s="182" t="n">
        <v>0.0214</v>
      </c>
    </row>
    <row r="18" ht="31.5" customHeight="1" s="348">
      <c r="B18" s="378" t="inlineStr">
        <is>
          <t>Авторский надзор - 0,2%</t>
        </is>
      </c>
      <c r="C18" s="378" t="inlineStr">
        <is>
          <t>Приказ от 4.08.2020 № 421/пр п.173</t>
        </is>
      </c>
      <c r="D18" s="182" t="n">
        <v>0.002</v>
      </c>
    </row>
    <row r="19" ht="24" customHeight="1" s="348">
      <c r="B19" s="378" t="inlineStr">
        <is>
          <t>Непредвиденные расходы</t>
        </is>
      </c>
      <c r="C19" s="378" t="inlineStr">
        <is>
          <t>Приказ от 4.08.2020 № 421/пр п.179</t>
        </is>
      </c>
      <c r="D19" s="182" t="n">
        <v>0.03</v>
      </c>
    </row>
    <row r="20" ht="18.75" customHeight="1" s="348">
      <c r="B20" s="250" t="n"/>
    </row>
    <row r="21" ht="18.75" customHeight="1" s="348">
      <c r="B21" s="250" t="n"/>
    </row>
    <row r="22" ht="18.75" customHeight="1" s="348">
      <c r="B22" s="250" t="n"/>
    </row>
    <row r="23" ht="18.75" customHeight="1" s="348">
      <c r="B23" s="250" t="n"/>
    </row>
    <row r="26">
      <c r="B26" s="347" t="inlineStr">
        <is>
          <t>Составил ______________________    А.Р. Маркова</t>
        </is>
      </c>
      <c r="C26" s="345" t="n"/>
    </row>
    <row r="27">
      <c r="B27" s="344" t="inlineStr">
        <is>
          <t xml:space="preserve">                         (подпись, инициалы, фамилия)</t>
        </is>
      </c>
      <c r="C27" s="345" t="n"/>
    </row>
    <row r="28">
      <c r="B28" s="347" t="n"/>
      <c r="C28" s="345" t="n"/>
    </row>
    <row r="29">
      <c r="B29" s="347" t="inlineStr">
        <is>
          <t>Проверил ______________________        А.В. Костянецкая</t>
        </is>
      </c>
      <c r="C29" s="345" t="n"/>
    </row>
    <row r="30">
      <c r="B30" s="344" t="inlineStr">
        <is>
          <t xml:space="preserve">                        (подпись, инициалы, фамилия)</t>
        </is>
      </c>
      <c r="C30" s="345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348" min="2" max="2"/>
    <col width="13" customWidth="1" style="348" min="3" max="3"/>
    <col width="22.85546875" customWidth="1" style="348" min="4" max="4"/>
    <col width="21.5703125" customWidth="1" style="348" min="5" max="5"/>
    <col width="53.7109375" bestFit="1" customWidth="1" style="348" min="6" max="6"/>
  </cols>
  <sheetData>
    <row r="1" s="348"/>
    <row r="2" ht="17.25" customHeight="1" s="348">
      <c r="A2" s="383" t="inlineStr">
        <is>
          <t>Расчет размера средств на оплату труда рабочих-строителей в текущем уровне цен (ФОТр.тек.)</t>
        </is>
      </c>
    </row>
    <row r="3" s="348"/>
    <row r="4" ht="18" customHeight="1" s="348">
      <c r="A4" s="349" t="inlineStr">
        <is>
          <t>Составлен в уровне цен на 01.01.2023 г.</t>
        </is>
      </c>
      <c r="B4" s="350" t="n"/>
      <c r="C4" s="350" t="n"/>
      <c r="D4" s="350" t="n"/>
      <c r="E4" s="350" t="n"/>
      <c r="F4" s="350" t="n"/>
      <c r="G4" s="350" t="n"/>
    </row>
    <row r="5" ht="15.75" customHeight="1" s="348">
      <c r="A5" s="351" t="inlineStr">
        <is>
          <t>№ пп.</t>
        </is>
      </c>
      <c r="B5" s="351" t="inlineStr">
        <is>
          <t>Наименование элемента</t>
        </is>
      </c>
      <c r="C5" s="351" t="inlineStr">
        <is>
          <t>Обозначение</t>
        </is>
      </c>
      <c r="D5" s="351" t="inlineStr">
        <is>
          <t>Формула</t>
        </is>
      </c>
      <c r="E5" s="351" t="inlineStr">
        <is>
          <t>Величина элемента</t>
        </is>
      </c>
      <c r="F5" s="351" t="inlineStr">
        <is>
          <t>Наименования обосновывающих документов</t>
        </is>
      </c>
      <c r="G5" s="350" t="n"/>
    </row>
    <row r="6" ht="15.75" customHeight="1" s="348">
      <c r="A6" s="351" t="n">
        <v>1</v>
      </c>
      <c r="B6" s="351" t="n">
        <v>2</v>
      </c>
      <c r="C6" s="351" t="n">
        <v>3</v>
      </c>
      <c r="D6" s="351" t="n">
        <v>4</v>
      </c>
      <c r="E6" s="351" t="n">
        <v>5</v>
      </c>
      <c r="F6" s="351" t="n">
        <v>6</v>
      </c>
      <c r="G6" s="350" t="n"/>
    </row>
    <row r="7" ht="110.25" customHeight="1" s="348">
      <c r="A7" s="352" t="inlineStr">
        <is>
          <t>1.1</t>
        </is>
      </c>
      <c r="B7" s="35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78" t="inlineStr">
        <is>
          <t>С1ср</t>
        </is>
      </c>
      <c r="D7" s="378" t="inlineStr">
        <is>
          <t>-</t>
        </is>
      </c>
      <c r="E7" s="355" t="n">
        <v>47872.94</v>
      </c>
      <c r="F7" s="35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50" t="n"/>
    </row>
    <row r="8" ht="31.5" customHeight="1" s="348">
      <c r="A8" s="352" t="inlineStr">
        <is>
          <t>1.2</t>
        </is>
      </c>
      <c r="B8" s="357" t="inlineStr">
        <is>
          <t>Среднегодовое нормативное число часов работы одного рабочего в месяц, часы (ч.)</t>
        </is>
      </c>
      <c r="C8" s="378" t="inlineStr">
        <is>
          <t>tср</t>
        </is>
      </c>
      <c r="D8" s="378" t="inlineStr">
        <is>
          <t>1973ч/12мес.</t>
        </is>
      </c>
      <c r="E8" s="356">
        <f>1973/12</f>
        <v/>
      </c>
      <c r="F8" s="357" t="inlineStr">
        <is>
          <t>Производственный календарь 2023 год
(40-часов.неделя)</t>
        </is>
      </c>
      <c r="G8" s="359" t="n"/>
    </row>
    <row r="9" ht="15.75" customHeight="1" s="348">
      <c r="A9" s="352" t="inlineStr">
        <is>
          <t>1.3</t>
        </is>
      </c>
      <c r="B9" s="357" t="inlineStr">
        <is>
          <t>Коэффициент увеличения</t>
        </is>
      </c>
      <c r="C9" s="378" t="inlineStr">
        <is>
          <t>Кув</t>
        </is>
      </c>
      <c r="D9" s="378" t="inlineStr">
        <is>
          <t>-</t>
        </is>
      </c>
      <c r="E9" s="356" t="n">
        <v>1</v>
      </c>
      <c r="F9" s="357" t="n"/>
      <c r="G9" s="359" t="n"/>
    </row>
    <row r="10" ht="15.75" customHeight="1" s="348">
      <c r="A10" s="352" t="inlineStr">
        <is>
          <t>1.4</t>
        </is>
      </c>
      <c r="B10" s="357" t="inlineStr">
        <is>
          <t>Средний разряд работ</t>
        </is>
      </c>
      <c r="C10" s="378" t="n"/>
      <c r="D10" s="378" t="n"/>
      <c r="E10" s="489" t="n">
        <v>5</v>
      </c>
      <c r="F10" s="357" t="inlineStr">
        <is>
          <t>РТМ</t>
        </is>
      </c>
      <c r="G10" s="359" t="n"/>
    </row>
    <row r="11" ht="78.75" customHeight="1" s="348">
      <c r="A11" s="352" t="inlineStr">
        <is>
          <t>1.5</t>
        </is>
      </c>
      <c r="B11" s="357" t="inlineStr">
        <is>
          <t>Тарифный коэффициент среднего разряда работ</t>
        </is>
      </c>
      <c r="C11" s="378" t="inlineStr">
        <is>
          <t>КТ</t>
        </is>
      </c>
      <c r="D11" s="378" t="inlineStr">
        <is>
          <t>-</t>
        </is>
      </c>
      <c r="E11" s="490" t="n">
        <v>1.54</v>
      </c>
      <c r="F11" s="35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50" t="n"/>
    </row>
    <row r="12" ht="78.75" customHeight="1" s="348">
      <c r="A12" s="362" t="inlineStr">
        <is>
          <t>1.6</t>
        </is>
      </c>
      <c r="B12" s="460" t="inlineStr">
        <is>
          <t>Коэффициент инфляции, определяемый поквартально</t>
        </is>
      </c>
      <c r="C12" s="363" t="inlineStr">
        <is>
          <t>Кинф</t>
        </is>
      </c>
      <c r="D12" s="363" t="inlineStr">
        <is>
          <t>-</t>
        </is>
      </c>
      <c r="E12" s="491" t="n">
        <v>1.139</v>
      </c>
      <c r="F12" s="46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59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348">
      <c r="A13" s="463" t="inlineStr">
        <is>
          <t>1.7</t>
        </is>
      </c>
      <c r="B13" s="464" t="inlineStr">
        <is>
          <t>Размер средств на оплату труда рабочих-строителей в текущем уровне цен (ФОТр.тек.), руб/чел.-ч</t>
        </is>
      </c>
      <c r="C13" s="465" t="inlineStr">
        <is>
          <t>ФОТр.тек.</t>
        </is>
      </c>
      <c r="D13" s="465" t="inlineStr">
        <is>
          <t>(С1ср/tср*КТ*Т*Кув)*Кинф</t>
        </is>
      </c>
      <c r="E13" s="466">
        <f>((E7*E9/E8)*E11)*E12</f>
        <v/>
      </c>
      <c r="F13" s="46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50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2025-01-24T12:11:34Z</dcterms:modified>
  <cp:lastModifiedBy>Николай Трофименко</cp:lastModifiedBy>
  <cp:lastPrinted>2023-11-29T09:11:43Z</cp:lastPrinted>
</cp:coreProperties>
</file>