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78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'Прил.10'!$A$1:$D$31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3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14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2" fontId="2" fillId="0" borderId="1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10" applyAlignment="1" pivotButton="0" quotePrefix="0" xfId="0">
      <alignment horizontal="center" vertical="center" wrapText="1"/>
    </xf>
    <xf numFmtId="49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left" vertical="center" wrapText="1"/>
    </xf>
    <xf numFmtId="169" fontId="1" fillId="0" borderId="10" applyAlignment="1" pivotButton="0" quotePrefix="0" xfId="0">
      <alignment horizontal="center" vertical="center" wrapText="1"/>
    </xf>
    <xf numFmtId="4" fontId="1" fillId="0" borderId="10" applyAlignment="1" pivotButton="0" quotePrefix="0" xfId="0">
      <alignment horizontal="right" vertical="center" wrapText="1"/>
    </xf>
    <xf numFmtId="10" fontId="1" fillId="0" borderId="10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center" wrapText="1"/>
    </xf>
    <xf numFmtId="165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16" sqref="C16"/>
    </sheetView>
  </sheetViews>
  <sheetFormatPr baseColWidth="8" defaultColWidth="9.109375" defaultRowHeight="15.6"/>
  <cols>
    <col width="9.109375" customWidth="1" style="113" min="1" max="2"/>
    <col width="51.6640625" customWidth="1" style="113" min="3" max="3"/>
    <col width="47" customWidth="1" style="113" min="4" max="4"/>
    <col width="37.44140625" customWidth="1" style="113" min="5" max="5"/>
    <col width="9.109375" customWidth="1" style="11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72" t="n"/>
      <c r="C6" s="172" t="n"/>
      <c r="D6" s="172" t="n"/>
    </row>
    <row r="7" ht="34.5" customHeight="1">
      <c r="B7" s="225" t="inlineStr">
        <is>
          <t>Наименование разрабатываемого показателя УНЦ — КТП 6-20 кВ мачтового (шкафного, столбового) и киоскового типа</t>
        </is>
      </c>
    </row>
    <row r="8">
      <c r="B8" s="225" t="inlineStr">
        <is>
          <t>Сопоставимый уровень цен: 4 квартал 2013 года</t>
        </is>
      </c>
    </row>
    <row r="9" ht="15.75" customHeight="1">
      <c r="B9" s="225" t="inlineStr">
        <is>
          <t>Единица измерения  — 1 единица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31.5" customHeight="1">
      <c r="B12" s="229" t="n">
        <v>1</v>
      </c>
      <c r="C12" s="233" t="inlineStr">
        <is>
          <t>Наименование объекта-представителя</t>
        </is>
      </c>
      <c r="D12" s="229" t="inlineStr">
        <is>
          <t>ПС 500 кВ Енисей с заходами ВЛ 500 кВ и ВЛ 220 кВ</t>
        </is>
      </c>
    </row>
    <row r="13">
      <c r="B13" s="229" t="n">
        <v>2</v>
      </c>
      <c r="C13" s="233" t="inlineStr">
        <is>
          <t>Наименование субъекта Российской Федерации</t>
        </is>
      </c>
      <c r="D13" s="229" t="inlineStr">
        <is>
          <t>Красноярский край</t>
        </is>
      </c>
    </row>
    <row r="14">
      <c r="B14" s="229" t="n">
        <v>3</v>
      </c>
      <c r="C14" s="233" t="inlineStr">
        <is>
          <t>Климатический район и подрайон</t>
        </is>
      </c>
      <c r="D14" s="229" t="inlineStr">
        <is>
          <t>IБ</t>
        </is>
      </c>
    </row>
    <row r="15">
      <c r="B15" s="229" t="n">
        <v>4</v>
      </c>
      <c r="C15" s="233" t="inlineStr">
        <is>
          <t>Мощность объекта</t>
        </is>
      </c>
      <c r="D15" s="229" t="n">
        <v>1</v>
      </c>
    </row>
    <row r="16" ht="63" customHeight="1">
      <c r="B16" s="22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2КТП-К(Н)-П(Кк)-ENRG-25-10/0.4-У1 (с силовыми трансформаторами ТМГ-21-25/10/0,4)</t>
        </is>
      </c>
    </row>
    <row r="17" ht="69.59999999999999" customHeight="1">
      <c r="B17" s="22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71" t="n"/>
    </row>
    <row r="18">
      <c r="B18" s="156" t="inlineStr">
        <is>
          <t>6.1</t>
        </is>
      </c>
      <c r="C18" s="233" t="inlineStr">
        <is>
          <t>строительно-монтажные работы</t>
        </is>
      </c>
      <c r="D18" s="187" t="n">
        <v>94.55</v>
      </c>
    </row>
    <row r="19" ht="15.75" customHeight="1">
      <c r="B19" s="156" t="inlineStr">
        <is>
          <t>6.2</t>
        </is>
      </c>
      <c r="C19" s="233" t="inlineStr">
        <is>
          <t>оборудование и инвентарь</t>
        </is>
      </c>
      <c r="D19" s="187" t="n">
        <v>1487.26</v>
      </c>
    </row>
    <row r="20" ht="16.5" customHeight="1">
      <c r="B20" s="156" t="inlineStr">
        <is>
          <t>6.3</t>
        </is>
      </c>
      <c r="C20" s="233" t="inlineStr">
        <is>
          <t>пусконаладочные работы</t>
        </is>
      </c>
      <c r="D20" s="187" t="n"/>
    </row>
    <row r="21">
      <c r="B21" s="156" t="inlineStr">
        <is>
          <t>6.4</t>
        </is>
      </c>
      <c r="C21" s="155" t="inlineStr">
        <is>
          <t>прочие и лимитированные затраты</t>
        </is>
      </c>
      <c r="D21" s="187" t="n">
        <v>336.43</v>
      </c>
    </row>
    <row r="22">
      <c r="B22" s="229" t="n">
        <v>7</v>
      </c>
      <c r="C22" s="155" t="inlineStr">
        <is>
          <t>Сопоставимый уровень цен</t>
        </is>
      </c>
      <c r="D22" s="198" t="inlineStr">
        <is>
          <t>4 квартал 2013 года</t>
        </is>
      </c>
      <c r="E22" s="153" t="n"/>
    </row>
    <row r="23" ht="78.75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71" t="n"/>
    </row>
    <row r="24" ht="31.5" customHeight="1">
      <c r="B24" s="22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53" t="n"/>
    </row>
    <row r="25">
      <c r="B25" s="229" t="n">
        <v>10</v>
      </c>
      <c r="C25" s="233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18.6" customHeight="1">
      <c r="B27" s="150" t="n"/>
    </row>
    <row r="28">
      <c r="B28" s="113" t="inlineStr">
        <is>
          <t>Составил ______________________    Е. М. Добровольская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2" sqref="E12"/>
    </sheetView>
  </sheetViews>
  <sheetFormatPr baseColWidth="8" defaultColWidth="9.109375" defaultRowHeight="15.6"/>
  <cols>
    <col width="5.5546875" customWidth="1" style="113" min="1" max="1"/>
    <col width="9.109375" customWidth="1" style="113" min="2" max="2"/>
    <col width="35.33203125" customWidth="1" style="113" min="3" max="3"/>
    <col width="13.88671875" customWidth="1" style="113" min="4" max="4"/>
    <col width="24.88671875" customWidth="1" style="113" min="5" max="5"/>
    <col width="15.5546875" customWidth="1" style="113" min="6" max="6"/>
    <col width="14.88671875" customWidth="1" style="113" min="7" max="7"/>
    <col width="16.6640625" customWidth="1" style="113" min="8" max="8"/>
    <col width="13" customWidth="1" style="113" min="9" max="10"/>
    <col width="18" customWidth="1" style="113" min="11" max="11"/>
    <col width="9.109375" customWidth="1" style="113" min="12" max="12"/>
  </cols>
  <sheetData>
    <row r="3">
      <c r="B3" s="223" t="inlineStr">
        <is>
          <t>Приложение № 2</t>
        </is>
      </c>
      <c r="K3" s="150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>
      <c r="B6" s="225" t="inlineStr">
        <is>
          <t>Наименование разрабатываемого показателя УНЦ — КТП 6-20 кВ мачтового (шкафного, столбового) и киоскового типа</t>
        </is>
      </c>
    </row>
    <row r="7">
      <c r="B7" s="225" t="inlineStr">
        <is>
          <t>Единица измерения  — 1 единица</t>
        </is>
      </c>
    </row>
    <row r="8" ht="18.75" customHeight="1">
      <c r="B8" s="12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4 кв. 2013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94.5" customHeight="1">
      <c r="B12" s="229" t="n">
        <v>1</v>
      </c>
      <c r="C12" s="229" t="inlineStr">
        <is>
          <t>2КТП-К(Н)-П(Кк)-ENRG-25-10/0.4-У1 (с силовыми трансформаторами ТМГ-21-25/10/0,4)</t>
        </is>
      </c>
      <c r="D12" s="229" t="inlineStr">
        <is>
          <t xml:space="preserve">04.02-05-01
04.02-05-04 </t>
        </is>
      </c>
      <c r="E12" s="229" t="inlineStr">
        <is>
          <t>ТОР №2. Строительные решения здания; 
РУ 10 кВ. Электротехнические решения</t>
        </is>
      </c>
      <c r="F12" s="187">
        <f>17740*5.33/1000</f>
        <v/>
      </c>
      <c r="G12" s="187" t="n"/>
      <c r="H12" s="187">
        <f>377477*3.94/1000</f>
        <v/>
      </c>
      <c r="I12" s="187">
        <f>43467*7.74/1000</f>
        <v/>
      </c>
      <c r="J12" s="187">
        <f>SUM(F12:I12)</f>
        <v/>
      </c>
    </row>
    <row r="13" ht="15" customHeight="1">
      <c r="B13" s="227" t="inlineStr">
        <is>
          <t>Всего по объекту:</t>
        </is>
      </c>
      <c r="C13" s="314" t="n"/>
      <c r="D13" s="314" t="n"/>
      <c r="E13" s="315" t="n"/>
      <c r="F13" s="188">
        <f>SUM(F12)</f>
        <v/>
      </c>
      <c r="G13" s="188" t="n"/>
      <c r="H13" s="188">
        <f>SUM(H12)</f>
        <v/>
      </c>
      <c r="I13" s="188">
        <f>SUM(I12)</f>
        <v/>
      </c>
      <c r="J13" s="188">
        <f>SUM(J12)</f>
        <v/>
      </c>
    </row>
    <row r="14" ht="15.75" customHeight="1">
      <c r="B14" s="228" t="inlineStr">
        <is>
          <t>Всего по объекту в сопоставимом уровне цен 4 кв. 2013 г:</t>
        </is>
      </c>
      <c r="C14" s="310" t="n"/>
      <c r="D14" s="310" t="n"/>
      <c r="E14" s="311" t="n"/>
      <c r="F14" s="189">
        <f>F13</f>
        <v/>
      </c>
      <c r="G14" s="189" t="n"/>
      <c r="H14" s="189">
        <f>H13</f>
        <v/>
      </c>
      <c r="I14" s="189">
        <f>I13</f>
        <v/>
      </c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56"/>
  <sheetViews>
    <sheetView view="pageBreakPreview" zoomScale="55" zoomScaleSheetLayoutView="55" workbookViewId="0">
      <selection activeCell="R28" sqref="R28"/>
    </sheetView>
  </sheetViews>
  <sheetFormatPr baseColWidth="8" defaultColWidth="9.109375" defaultRowHeight="15.6"/>
  <cols>
    <col width="9.109375" customWidth="1" style="113" min="1" max="1"/>
    <col width="12.5546875" customWidth="1" style="113" min="2" max="2"/>
    <col width="22.44140625" customWidth="1" style="113" min="3" max="3"/>
    <col width="49.6640625" customWidth="1" style="113" min="4" max="4"/>
    <col width="10.109375" customWidth="1" style="113" min="5" max="5"/>
    <col width="20.6640625" customWidth="1" style="113" min="6" max="6"/>
    <col width="20" customWidth="1" style="113" min="7" max="7"/>
    <col width="16.6640625" customWidth="1" style="113" min="8" max="8"/>
    <col width="11.5546875" customWidth="1" style="113" min="9" max="9"/>
    <col width="9.109375" customWidth="1" style="113" min="10" max="10"/>
    <col width="15" customWidth="1" style="113" min="11" max="11"/>
    <col width="9.109375" customWidth="1" style="113" min="12" max="12"/>
  </cols>
  <sheetData>
    <row r="3">
      <c r="A3" s="223" t="inlineStr">
        <is>
          <t xml:space="preserve">Приложение № 3 </t>
        </is>
      </c>
    </row>
    <row r="4">
      <c r="A4" s="224" t="inlineStr">
        <is>
          <t>Объектная ресурсная ведомость</t>
        </is>
      </c>
    </row>
    <row r="5" ht="18.75" customHeight="1">
      <c r="A5" s="175" t="n"/>
      <c r="B5" s="175" t="n"/>
      <c r="C5" s="235" t="n"/>
    </row>
    <row r="6">
      <c r="A6" s="225" t="n"/>
    </row>
    <row r="7">
      <c r="A7" s="234" t="inlineStr">
        <is>
          <t>Наименование разрабатываемого показателя УНЦ — КТП 6-20 кВ мачтового (шкафного, столбового) и киоскового типа</t>
        </is>
      </c>
    </row>
    <row r="8">
      <c r="A8" s="159" t="n"/>
      <c r="B8" s="159" t="n"/>
      <c r="C8" s="159" t="n"/>
      <c r="D8" s="159" t="n"/>
      <c r="E8" s="159" t="n"/>
      <c r="F8" s="159" t="n"/>
      <c r="G8" s="159" t="n"/>
      <c r="H8" s="159" t="n"/>
    </row>
    <row r="9" ht="38.25" customHeight="1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11" t="n"/>
    </row>
    <row r="10" ht="40.5" customHeight="1">
      <c r="A10" s="313" t="n"/>
      <c r="B10" s="313" t="n"/>
      <c r="C10" s="313" t="n"/>
      <c r="D10" s="313" t="n"/>
      <c r="E10" s="313" t="n"/>
      <c r="F10" s="313" t="n"/>
      <c r="G10" s="229" t="inlineStr">
        <is>
          <t>на ед.изм.</t>
        </is>
      </c>
      <c r="H10" s="229" t="inlineStr">
        <is>
          <t>общая</t>
        </is>
      </c>
    </row>
    <row r="11">
      <c r="A11" s="161" t="n">
        <v>1</v>
      </c>
      <c r="B11" s="161" t="n"/>
      <c r="C11" s="161" t="n">
        <v>2</v>
      </c>
      <c r="D11" s="161" t="inlineStr">
        <is>
          <t>З</t>
        </is>
      </c>
      <c r="E11" s="161" t="n">
        <v>4</v>
      </c>
      <c r="F11" s="161" t="n">
        <v>5</v>
      </c>
      <c r="G11" s="161" t="n">
        <v>6</v>
      </c>
      <c r="H11" s="161" t="n">
        <v>7</v>
      </c>
    </row>
    <row r="12" customFormat="1" s="160">
      <c r="A12" s="231" t="inlineStr">
        <is>
          <t>Затраты труда рабочих</t>
        </is>
      </c>
      <c r="B12" s="310" t="n"/>
      <c r="C12" s="310" t="n"/>
      <c r="D12" s="310" t="n"/>
      <c r="E12" s="311" t="n"/>
      <c r="F12" s="316">
        <f>SUM(F13:F21)</f>
        <v/>
      </c>
      <c r="G12" s="10" t="n"/>
      <c r="H12" s="316">
        <f>SUM(H13:H21)</f>
        <v/>
      </c>
    </row>
    <row r="13">
      <c r="A13" s="143" t="n">
        <v>1</v>
      </c>
      <c r="B13" s="190" t="n"/>
      <c r="C13" s="143" t="inlineStr">
        <is>
          <t>1-4-1</t>
        </is>
      </c>
      <c r="D13" s="249" t="inlineStr">
        <is>
          <t>Затраты труда рабочих (средний разряд работы 4,1)</t>
        </is>
      </c>
      <c r="E13" s="241" t="inlineStr">
        <is>
          <t>чел.-ч</t>
        </is>
      </c>
      <c r="F13" s="191" t="n">
        <v>36.2</v>
      </c>
      <c r="G13" s="26" t="n">
        <v>9.76</v>
      </c>
      <c r="H13" s="26">
        <f>ROUND(F13*G13,2)</f>
        <v/>
      </c>
    </row>
    <row r="14">
      <c r="A14" s="192" t="n">
        <v>2</v>
      </c>
      <c r="B14" s="190" t="n"/>
      <c r="C14" s="143" t="inlineStr">
        <is>
          <t>1-2-0</t>
        </is>
      </c>
      <c r="D14" s="249" t="inlineStr">
        <is>
          <t>Затраты труда рабочих (средний разряд работы 2)</t>
        </is>
      </c>
      <c r="E14" s="241" t="inlineStr">
        <is>
          <t>чел.-ч</t>
        </is>
      </c>
      <c r="F14" s="191" t="n">
        <v>29.76</v>
      </c>
      <c r="G14" s="26" t="n">
        <v>7.8</v>
      </c>
      <c r="H14" s="26">
        <f>ROUND(F14*G14,2)</f>
        <v/>
      </c>
    </row>
    <row r="15">
      <c r="A15" s="241" t="n">
        <v>3</v>
      </c>
      <c r="B15" s="190" t="n"/>
      <c r="C15" s="143" t="inlineStr">
        <is>
          <t>1-3-4</t>
        </is>
      </c>
      <c r="D15" s="249" t="inlineStr">
        <is>
          <t>Затраты труда рабочих (средний разряд работы 3,4)</t>
        </is>
      </c>
      <c r="E15" s="241" t="inlineStr">
        <is>
          <t>чел.-ч</t>
        </is>
      </c>
      <c r="F15" s="191" t="n">
        <v>17.12</v>
      </c>
      <c r="G15" s="26" t="n">
        <v>8.970000000000001</v>
      </c>
      <c r="H15" s="26">
        <f>ROUND(F15*G15,2)</f>
        <v/>
      </c>
    </row>
    <row r="16">
      <c r="A16" s="192" t="n">
        <v>4</v>
      </c>
      <c r="B16" s="190" t="n"/>
      <c r="C16" s="143" t="inlineStr">
        <is>
          <t>1-3-8</t>
        </is>
      </c>
      <c r="D16" s="249" t="inlineStr">
        <is>
          <t>Затраты труда рабочих (средний разряд работы 3,8)</t>
        </is>
      </c>
      <c r="E16" s="241" t="inlineStr">
        <is>
          <t>чел.-ч</t>
        </is>
      </c>
      <c r="F16" s="191" t="n">
        <v>12.94</v>
      </c>
      <c r="G16" s="26" t="n">
        <v>9.4</v>
      </c>
      <c r="H16" s="26">
        <f>ROUND(F16*G16,2)</f>
        <v/>
      </c>
    </row>
    <row r="17">
      <c r="A17" s="241" t="n">
        <v>5</v>
      </c>
      <c r="B17" s="190" t="n"/>
      <c r="C17" s="143" t="inlineStr">
        <is>
          <t>1-3-9</t>
        </is>
      </c>
      <c r="D17" s="249" t="inlineStr">
        <is>
          <t>Затраты труда рабочих (средний разряд работы 3,9)</t>
        </is>
      </c>
      <c r="E17" s="241" t="inlineStr">
        <is>
          <t>чел.-ч</t>
        </is>
      </c>
      <c r="F17" s="191" t="n">
        <v>10.18</v>
      </c>
      <c r="G17" s="26" t="n">
        <v>9.51</v>
      </c>
      <c r="H17" s="26">
        <f>ROUND(F17*G17,2)</f>
        <v/>
      </c>
    </row>
    <row r="18">
      <c r="A18" s="192" t="n">
        <v>6</v>
      </c>
      <c r="B18" s="190" t="n"/>
      <c r="C18" s="143" t="inlineStr">
        <is>
          <t>1-2-5</t>
        </is>
      </c>
      <c r="D18" s="249" t="inlineStr">
        <is>
          <t>Затраты труда рабочих (средний разряд работы 2,5)</t>
        </is>
      </c>
      <c r="E18" s="241" t="inlineStr">
        <is>
          <t>чел.-ч</t>
        </is>
      </c>
      <c r="F18" s="191" t="n">
        <v>6.9</v>
      </c>
      <c r="G18" s="26" t="n">
        <v>8.17</v>
      </c>
      <c r="H18" s="26">
        <f>ROUND(F18*G18,2)</f>
        <v/>
      </c>
    </row>
    <row r="19">
      <c r="A19" s="143" t="inlineStr">
        <is>
          <t>7</t>
        </is>
      </c>
      <c r="B19" s="190" t="n"/>
      <c r="C19" s="143" t="inlineStr">
        <is>
          <t>1-2-9</t>
        </is>
      </c>
      <c r="D19" s="249" t="inlineStr">
        <is>
          <t>Затраты труда рабочих (средний разряд работы 2,9)</t>
        </is>
      </c>
      <c r="E19" s="241" t="inlineStr">
        <is>
          <t>чел.-ч</t>
        </is>
      </c>
      <c r="F19" s="191" t="n">
        <v>5.32</v>
      </c>
      <c r="G19" s="26" t="n">
        <v>8.460000000000001</v>
      </c>
      <c r="H19" s="26">
        <f>ROUND(F19*G19,2)</f>
        <v/>
      </c>
    </row>
    <row r="20">
      <c r="A20" s="192" t="n">
        <v>8</v>
      </c>
      <c r="B20" s="190" t="n"/>
      <c r="C20" s="143" t="inlineStr">
        <is>
          <t>1-3-0</t>
        </is>
      </c>
      <c r="D20" s="249" t="inlineStr">
        <is>
          <t>Затраты труда рабочих (средний разряд работы 3)</t>
        </is>
      </c>
      <c r="E20" s="241" t="inlineStr">
        <is>
          <t>чел.-ч</t>
        </is>
      </c>
      <c r="F20" s="191" t="n">
        <v>4.43</v>
      </c>
      <c r="G20" s="26" t="n">
        <v>8.529999999999999</v>
      </c>
      <c r="H20" s="26">
        <f>ROUND(F20*G20,2)</f>
        <v/>
      </c>
    </row>
    <row r="21">
      <c r="A21" s="241" t="n">
        <v>9</v>
      </c>
      <c r="B21" s="190" t="n"/>
      <c r="C21" s="143" t="inlineStr">
        <is>
          <t>1-1-5</t>
        </is>
      </c>
      <c r="D21" s="249" t="inlineStr">
        <is>
          <t>Затраты труда рабочих (средний разряд работы 1,5)</t>
        </is>
      </c>
      <c r="E21" s="241" t="inlineStr">
        <is>
          <t>чел.-ч</t>
        </is>
      </c>
      <c r="F21" s="191" t="n">
        <v>3.54</v>
      </c>
      <c r="G21" s="26" t="n">
        <v>7.5</v>
      </c>
      <c r="H21" s="26">
        <f>ROUND(F21*G21,2)</f>
        <v/>
      </c>
    </row>
    <row r="22">
      <c r="A22" s="230" t="inlineStr">
        <is>
          <t>Затраты труда машинистов</t>
        </is>
      </c>
      <c r="B22" s="310" t="n"/>
      <c r="C22" s="310" t="n"/>
      <c r="D22" s="310" t="n"/>
      <c r="E22" s="311" t="n"/>
      <c r="F22" s="231" t="n"/>
      <c r="G22" s="194" t="n"/>
      <c r="H22" s="316">
        <f>H23</f>
        <v/>
      </c>
    </row>
    <row r="23">
      <c r="A23" s="241" t="n">
        <v>10</v>
      </c>
      <c r="B23" s="232" t="n"/>
      <c r="C23" s="143" t="n">
        <v>2</v>
      </c>
      <c r="D23" s="249" t="inlineStr">
        <is>
          <t>Затраты труда машинистов</t>
        </is>
      </c>
      <c r="E23" s="241" t="inlineStr">
        <is>
          <t>чел.-ч</t>
        </is>
      </c>
      <c r="F23" s="196" t="n">
        <v>17.21</v>
      </c>
      <c r="G23" s="26" t="n">
        <v>0</v>
      </c>
      <c r="H23" s="317" t="n">
        <v>229.16</v>
      </c>
    </row>
    <row r="24" customFormat="1" s="160">
      <c r="A24" s="231" t="inlineStr">
        <is>
          <t>Машины и механизмы</t>
        </is>
      </c>
      <c r="B24" s="310" t="n"/>
      <c r="C24" s="310" t="n"/>
      <c r="D24" s="310" t="n"/>
      <c r="E24" s="311" t="n"/>
      <c r="F24" s="231" t="n"/>
      <c r="G24" s="194" t="n"/>
      <c r="H24" s="316">
        <f>SUM(H25:H31)</f>
        <v/>
      </c>
    </row>
    <row r="25" ht="25.5" customHeight="1">
      <c r="A25" s="241" t="n">
        <v>11</v>
      </c>
      <c r="B25" s="232" t="n"/>
      <c r="C25" s="143" t="inlineStr">
        <is>
          <t>91.05.05-014</t>
        </is>
      </c>
      <c r="D25" s="249" t="inlineStr">
        <is>
          <t>Краны на автомобильном ходу, грузоподъемность 10 т</t>
        </is>
      </c>
      <c r="E25" s="241" t="inlineStr">
        <is>
          <t>маш.час</t>
        </is>
      </c>
      <c r="F25" s="241" t="n">
        <v>16.05</v>
      </c>
      <c r="G25" s="262" t="n">
        <v>111.99</v>
      </c>
      <c r="H25" s="26">
        <f>ROUND(F25*G25,2)</f>
        <v/>
      </c>
      <c r="I25" s="162" t="n"/>
      <c r="J25" s="176" t="n"/>
      <c r="L25" s="162" t="n"/>
    </row>
    <row r="26" ht="38.25" customFormat="1" customHeight="1" s="160">
      <c r="A26" s="241" t="n">
        <v>12</v>
      </c>
      <c r="B26" s="232" t="n"/>
      <c r="C26" s="143" t="inlineStr">
        <is>
          <t>91.18.01-007</t>
        </is>
      </c>
      <c r="D26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41" t="inlineStr">
        <is>
          <t>маш.час</t>
        </is>
      </c>
      <c r="F26" s="241" t="n">
        <v>0.63</v>
      </c>
      <c r="G26" s="262" t="n">
        <v>90</v>
      </c>
      <c r="H26" s="26">
        <f>ROUND(F26*G26,2)</f>
        <v/>
      </c>
      <c r="I26" s="162" t="n"/>
      <c r="L26" s="162" t="n"/>
    </row>
    <row r="27">
      <c r="A27" s="241" t="n">
        <v>13</v>
      </c>
      <c r="B27" s="232" t="n"/>
      <c r="C27" s="143" t="inlineStr">
        <is>
          <t>91.08.04-021</t>
        </is>
      </c>
      <c r="D27" s="249" t="inlineStr">
        <is>
          <t>Котлы битумные: передвижные 400 л</t>
        </is>
      </c>
      <c r="E27" s="241" t="inlineStr">
        <is>
          <t>маш.час</t>
        </is>
      </c>
      <c r="F27" s="241" t="n">
        <v>0.9399999999999999</v>
      </c>
      <c r="G27" s="262" t="n">
        <v>30</v>
      </c>
      <c r="H27" s="26">
        <f>ROUND(F27*G27,2)</f>
        <v/>
      </c>
      <c r="I27" s="162" t="n"/>
      <c r="L27" s="162" t="n"/>
    </row>
    <row r="28" ht="25.5" customHeight="1">
      <c r="A28" s="241" t="n">
        <v>14</v>
      </c>
      <c r="B28" s="232" t="n"/>
      <c r="C28" s="143" t="inlineStr">
        <is>
          <t>91.17.04-233</t>
        </is>
      </c>
      <c r="D28" s="249" t="inlineStr">
        <is>
          <t>Установки для сварки: ручной дуговой (постоянного тока)</t>
        </is>
      </c>
      <c r="E28" s="241" t="inlineStr">
        <is>
          <t>маш.час</t>
        </is>
      </c>
      <c r="F28" s="241" t="n">
        <v>3.22</v>
      </c>
      <c r="G28" s="262" t="n">
        <v>8.1</v>
      </c>
      <c r="H28" s="26">
        <f>ROUND(F28*G28,2)</f>
        <v/>
      </c>
      <c r="I28" s="162" t="n"/>
      <c r="L28" s="162" t="n"/>
    </row>
    <row r="29" ht="25.5" customHeight="1">
      <c r="A29" s="241" t="n">
        <v>15</v>
      </c>
      <c r="B29" s="232" t="n"/>
      <c r="C29" s="143" t="inlineStr">
        <is>
          <t>91.06.05-057</t>
        </is>
      </c>
      <c r="D29" s="249" t="inlineStr">
        <is>
          <t>Погрузчики одноковшовые универсальные фронтальные пневмоколесные, грузоподъемность 3 т</t>
        </is>
      </c>
      <c r="E29" s="241" t="inlineStr">
        <is>
          <t>маш.час</t>
        </is>
      </c>
      <c r="F29" s="241" t="n">
        <v>0.24</v>
      </c>
      <c r="G29" s="262" t="n">
        <v>90.40000000000001</v>
      </c>
      <c r="H29" s="26">
        <f>ROUND(F29*G29,2)</f>
        <v/>
      </c>
      <c r="I29" s="162" t="n"/>
      <c r="L29" s="162" t="n"/>
    </row>
    <row r="30">
      <c r="A30" s="241" t="n">
        <v>16</v>
      </c>
      <c r="B30" s="232" t="n"/>
      <c r="C30" s="143" t="inlineStr">
        <is>
          <t>91.14.02-001</t>
        </is>
      </c>
      <c r="D30" s="249" t="inlineStr">
        <is>
          <t>Автомобили бортовые, грузоподъемность: до 5 т</t>
        </is>
      </c>
      <c r="E30" s="241" t="inlineStr">
        <is>
          <t>маш.час</t>
        </is>
      </c>
      <c r="F30" s="241" t="n">
        <v>0.29</v>
      </c>
      <c r="G30" s="262" t="n">
        <v>65.70999999999999</v>
      </c>
      <c r="H30" s="26">
        <f>ROUND(F30*G30,2)</f>
        <v/>
      </c>
      <c r="I30" s="162" t="n"/>
      <c r="L30" s="162" t="n"/>
    </row>
    <row r="31" ht="25.5" customHeight="1">
      <c r="A31" s="241" t="n">
        <v>17</v>
      </c>
      <c r="B31" s="232" t="n"/>
      <c r="C31" s="143" t="inlineStr">
        <is>
          <t>91.08.09-023</t>
        </is>
      </c>
      <c r="D31" s="249" t="inlineStr">
        <is>
          <t>Трамбовки пневматические при работе от: передвижных компрессорных станций</t>
        </is>
      </c>
      <c r="E31" s="241" t="inlineStr">
        <is>
          <t>маш.час</t>
        </is>
      </c>
      <c r="F31" s="241" t="n">
        <v>1.26</v>
      </c>
      <c r="G31" s="262" t="n">
        <v>0.55</v>
      </c>
      <c r="H31" s="26">
        <f>ROUND(F31*G31,2)</f>
        <v/>
      </c>
      <c r="I31" s="162" t="n"/>
    </row>
    <row r="32" ht="15" customHeight="1">
      <c r="A32" s="230" t="inlineStr">
        <is>
          <t>Оборудование</t>
        </is>
      </c>
      <c r="B32" s="310" t="n"/>
      <c r="C32" s="310" t="n"/>
      <c r="D32" s="310" t="n"/>
      <c r="E32" s="311" t="n"/>
      <c r="F32" s="10" t="n"/>
      <c r="G32" s="10" t="n"/>
      <c r="H32" s="316">
        <f>SUM(H33:H33)</f>
        <v/>
      </c>
    </row>
    <row r="33" ht="25.5" customHeight="1">
      <c r="A33" s="192" t="n">
        <v>18</v>
      </c>
      <c r="B33" s="248" t="n"/>
      <c r="C33" s="143" t="inlineStr">
        <is>
          <t>Прайс из СД ОП</t>
        </is>
      </c>
      <c r="D33" s="249" t="inlineStr">
        <is>
          <t>2КТП-К(Н)-П(Кк)-ENRG-25-10/0.4-У1 (с силовыми трансформаторами ТМГ-21-25/10/0,4)</t>
        </is>
      </c>
      <c r="E33" s="241" t="inlineStr">
        <is>
          <t>шт</t>
        </is>
      </c>
      <c r="F33" s="241" t="n">
        <v>1</v>
      </c>
      <c r="G33" s="26" t="n">
        <v>316826.41</v>
      </c>
      <c r="H33" s="26">
        <f>G33*F33</f>
        <v/>
      </c>
      <c r="I33" s="177" t="n"/>
    </row>
    <row r="34">
      <c r="A34" s="231" t="inlineStr">
        <is>
          <t>Материалы</t>
        </is>
      </c>
      <c r="B34" s="310" t="n"/>
      <c r="C34" s="310" t="n"/>
      <c r="D34" s="310" t="n"/>
      <c r="E34" s="311" t="n"/>
      <c r="F34" s="231" t="n"/>
      <c r="G34" s="194" t="n"/>
      <c r="H34" s="316">
        <f>SUM(H35:H49)</f>
        <v/>
      </c>
    </row>
    <row r="35" ht="25.5" customHeight="1">
      <c r="A35" s="192" t="n">
        <v>19</v>
      </c>
      <c r="B35" s="232" t="n"/>
      <c r="C35" s="143" t="inlineStr">
        <is>
          <t>24.3.03.13-0169</t>
        </is>
      </c>
      <c r="D35" s="249" t="inlineStr">
        <is>
          <t>Труба ПЭ 80 SDR 13,6, наружный диаметр 160 мм (ГОСТ 18599-2001)</t>
        </is>
      </c>
      <c r="E35" s="241" t="inlineStr">
        <is>
          <t>м</t>
        </is>
      </c>
      <c r="F35" s="241" t="n">
        <v>40</v>
      </c>
      <c r="G35" s="26" t="n">
        <v>106.25</v>
      </c>
      <c r="H35" s="26">
        <f>ROUND(F35*G35,2)</f>
        <v/>
      </c>
      <c r="I35" s="177" t="n"/>
      <c r="K35" s="162" t="n"/>
    </row>
    <row r="36" ht="38.25" customHeight="1">
      <c r="A36" s="192" t="n">
        <v>20</v>
      </c>
      <c r="B36" s="232" t="n"/>
      <c r="C36" s="143" t="inlineStr">
        <is>
          <t>05.2.02.01-0055</t>
        </is>
      </c>
      <c r="D36" s="249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241" t="inlineStr">
        <is>
          <t>шт</t>
        </is>
      </c>
      <c r="F36" s="241" t="n">
        <v>6</v>
      </c>
      <c r="G36" s="26" t="n">
        <v>393.82</v>
      </c>
      <c r="H36" s="26">
        <f>ROUND(F36*G36,2)</f>
        <v/>
      </c>
      <c r="I36" s="177" t="n"/>
      <c r="K36" s="162" t="n"/>
    </row>
    <row r="37" ht="38.25" customHeight="1">
      <c r="A37" s="192" t="n">
        <v>21</v>
      </c>
      <c r="B37" s="232" t="n"/>
      <c r="C37" s="143" t="inlineStr">
        <is>
          <t>05.2.02.01-0045</t>
        </is>
      </c>
      <c r="D37" s="249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241" t="inlineStr">
        <is>
          <t>шт</t>
        </is>
      </c>
      <c r="F37" s="241" t="n">
        <v>6</v>
      </c>
      <c r="G37" s="26" t="n">
        <v>354.56</v>
      </c>
      <c r="H37" s="26">
        <f>ROUND(F37*G37,2)</f>
        <v/>
      </c>
      <c r="I37" s="177" t="n"/>
      <c r="K37" s="162" t="n"/>
    </row>
    <row r="38" ht="38.25" customHeight="1">
      <c r="A38" s="192" t="n">
        <v>22</v>
      </c>
      <c r="B38" s="232" t="n"/>
      <c r="C38" s="143" t="inlineStr">
        <is>
          <t>05.2.02.01-0060</t>
        </is>
      </c>
      <c r="D38" s="249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241" t="inlineStr">
        <is>
          <t>шт</t>
        </is>
      </c>
      <c r="F38" s="241" t="n">
        <v>6</v>
      </c>
      <c r="G38" s="26" t="n">
        <v>264.02</v>
      </c>
      <c r="H38" s="26">
        <f>ROUND(F38*G38,2)</f>
        <v/>
      </c>
      <c r="I38" s="177" t="n"/>
    </row>
    <row r="39">
      <c r="A39" s="192" t="n">
        <v>23</v>
      </c>
      <c r="B39" s="232" t="n"/>
      <c r="C39" s="143" t="inlineStr">
        <is>
          <t>14.4.02.09-0301</t>
        </is>
      </c>
      <c r="D39" s="249" t="inlineStr">
        <is>
          <t>Краска "Цинол"</t>
        </is>
      </c>
      <c r="E39" s="241" t="inlineStr">
        <is>
          <t>кг</t>
        </is>
      </c>
      <c r="F39" s="241" t="n">
        <v>3.006</v>
      </c>
      <c r="G39" s="26" t="n">
        <v>238.48</v>
      </c>
      <c r="H39" s="26">
        <f>ROUND(F39*G39,2)</f>
        <v/>
      </c>
      <c r="I39" s="177" t="n"/>
    </row>
    <row r="40">
      <c r="A40" s="192" t="n">
        <v>24</v>
      </c>
      <c r="B40" s="232" t="n"/>
      <c r="C40" s="143" t="inlineStr">
        <is>
          <t>01.2.03.03-0013</t>
        </is>
      </c>
      <c r="D40" s="249" t="inlineStr">
        <is>
          <t>Мастика битумная кровельная горячая</t>
        </is>
      </c>
      <c r="E40" s="241" t="inlineStr">
        <is>
          <t>т</t>
        </is>
      </c>
      <c r="F40" s="241" t="n">
        <v>0.1152</v>
      </c>
      <c r="G40" s="26" t="n">
        <v>3390</v>
      </c>
      <c r="H40" s="26">
        <f>ROUND(F40*G40,2)</f>
        <v/>
      </c>
      <c r="I40" s="177" t="n"/>
    </row>
    <row r="41" ht="25.5" customHeight="1">
      <c r="A41" s="192" t="n">
        <v>25</v>
      </c>
      <c r="B41" s="232" t="n"/>
      <c r="C41" s="143" t="inlineStr">
        <is>
          <t>08.3.04.02-0095</t>
        </is>
      </c>
      <c r="D41" s="249" t="inlineStr">
        <is>
          <t>Сталь круглая углеродистая обыкновенного качества марки ВСт3пс5-1 диаметром 16 мм</t>
        </is>
      </c>
      <c r="E41" s="241" t="inlineStr">
        <is>
          <t>т</t>
        </is>
      </c>
      <c r="F41" s="241" t="n">
        <v>0.065</v>
      </c>
      <c r="G41" s="26" t="n">
        <v>5230.01</v>
      </c>
      <c r="H41" s="26">
        <f>ROUND(F41*G41,2)</f>
        <v/>
      </c>
      <c r="I41" s="177" t="n"/>
    </row>
    <row r="42">
      <c r="A42" s="192" t="n">
        <v>26</v>
      </c>
      <c r="B42" s="232" t="n"/>
      <c r="C42" s="143" t="inlineStr">
        <is>
          <t>08.3.07.01-0041</t>
        </is>
      </c>
      <c r="D42" s="249" t="inlineStr">
        <is>
          <t>Сталь полосовая 40х4 мм</t>
        </is>
      </c>
      <c r="E42" s="241" t="inlineStr">
        <is>
          <t>т</t>
        </is>
      </c>
      <c r="F42" s="241" t="n">
        <v>0.049</v>
      </c>
      <c r="G42" s="26" t="n">
        <v>6100</v>
      </c>
      <c r="H42" s="26">
        <f>ROUND(F42*G42,2)</f>
        <v/>
      </c>
      <c r="I42" s="177" t="n"/>
    </row>
    <row r="43">
      <c r="A43" s="192" t="n">
        <v>27</v>
      </c>
      <c r="B43" s="232" t="n"/>
      <c r="C43" s="143" t="inlineStr">
        <is>
          <t>01.3.01.03-0002</t>
        </is>
      </c>
      <c r="D43" s="249" t="inlineStr">
        <is>
          <t>Керосин для технических целей марок КТ-1, КТ-2</t>
        </is>
      </c>
      <c r="E43" s="241" t="inlineStr">
        <is>
          <t>т</t>
        </is>
      </c>
      <c r="F43" s="241" t="n">
        <v>0.0115</v>
      </c>
      <c r="G43" s="26" t="n">
        <v>2606.9</v>
      </c>
      <c r="H43" s="26">
        <f>ROUND(F43*G43,2)</f>
        <v/>
      </c>
      <c r="I43" s="177" t="n"/>
    </row>
    <row r="44">
      <c r="A44" s="192" t="n">
        <v>28</v>
      </c>
      <c r="B44" s="232" t="n"/>
      <c r="C44" s="143" t="inlineStr">
        <is>
          <t>01.2.01.02-0054</t>
        </is>
      </c>
      <c r="D44" s="249" t="inlineStr">
        <is>
          <t>Битумы нефтяные строительные марки: БН-90/10</t>
        </is>
      </c>
      <c r="E44" s="241" t="inlineStr">
        <is>
          <t>т</t>
        </is>
      </c>
      <c r="F44" s="241" t="n">
        <v>0.0077</v>
      </c>
      <c r="G44" s="26" t="n">
        <v>1383.1</v>
      </c>
      <c r="H44" s="26">
        <f>ROUND(F44*G44,2)</f>
        <v/>
      </c>
      <c r="I44" s="177" t="n"/>
    </row>
    <row r="45">
      <c r="A45" s="192" t="n">
        <v>29</v>
      </c>
      <c r="B45" s="232" t="n"/>
      <c r="C45" s="143" t="inlineStr">
        <is>
          <t>01.7.11.07-0034</t>
        </is>
      </c>
      <c r="D45" s="249" t="inlineStr">
        <is>
          <t>Электроды диаметром: 4 мм Э42А</t>
        </is>
      </c>
      <c r="E45" s="241" t="inlineStr">
        <is>
          <t>кг</t>
        </is>
      </c>
      <c r="F45" s="241" t="n">
        <v>0.966</v>
      </c>
      <c r="G45" s="26" t="n">
        <v>10.57</v>
      </c>
      <c r="H45" s="26">
        <f>ROUND(F45*G45,2)</f>
        <v/>
      </c>
      <c r="I45" s="177" t="n"/>
    </row>
    <row r="46" ht="25.5" customHeight="1">
      <c r="A46" s="192" t="n">
        <v>30</v>
      </c>
      <c r="B46" s="232" t="n"/>
      <c r="C46" s="143" t="inlineStr">
        <is>
          <t>11.1.03.03-0003</t>
        </is>
      </c>
      <c r="D46" s="249" t="inlineStr">
        <is>
          <t>Брусья необрезные хвойных пород длиной: 2-3,75 м, все ширины, толщиной 100-125 мм, III сорта</t>
        </is>
      </c>
      <c r="E46" s="241" t="inlineStr">
        <is>
          <t>м3</t>
        </is>
      </c>
      <c r="F46" s="241" t="n">
        <v>0.0032</v>
      </c>
      <c r="G46" s="26" t="n">
        <v>802.46</v>
      </c>
      <c r="H46" s="26">
        <f>ROUND(F46*G46,2)</f>
        <v/>
      </c>
      <c r="I46" s="177" t="n"/>
    </row>
    <row r="47" ht="25.5" customHeight="1">
      <c r="A47" s="192" t="n">
        <v>31</v>
      </c>
      <c r="B47" s="232" t="n"/>
      <c r="C47" s="143" t="inlineStr">
        <is>
          <t>999-9950</t>
        </is>
      </c>
      <c r="D47" s="249" t="inlineStr">
        <is>
          <t>Вспомогательные ненормируемые ресурсы (2% от Оплаты труда рабочих)</t>
        </is>
      </c>
      <c r="E47" s="241" t="inlineStr">
        <is>
          <t>руб.</t>
        </is>
      </c>
      <c r="F47" s="241" t="n">
        <v>2.434</v>
      </c>
      <c r="G47" s="26" t="n">
        <v>1</v>
      </c>
      <c r="H47" s="26">
        <f>ROUND(F47*G47,2)</f>
        <v/>
      </c>
      <c r="I47" s="177" t="n"/>
    </row>
    <row r="48" customFormat="1" s="160">
      <c r="A48" s="192" t="n">
        <v>32</v>
      </c>
      <c r="B48" s="232" t="n"/>
      <c r="C48" s="143" t="inlineStr">
        <is>
          <t>01.7.03.01-0001</t>
        </is>
      </c>
      <c r="D48" s="249" t="inlineStr">
        <is>
          <t>Вода</t>
        </is>
      </c>
      <c r="E48" s="241" t="inlineStr">
        <is>
          <t>м3</t>
        </is>
      </c>
      <c r="F48" s="241" t="n">
        <v>0.45</v>
      </c>
      <c r="G48" s="26" t="n">
        <v>2.44</v>
      </c>
      <c r="H48" s="26">
        <f>ROUND(F48*G48,2)</f>
        <v/>
      </c>
      <c r="I48" s="177" t="n"/>
    </row>
    <row r="49">
      <c r="A49" s="192" t="n">
        <v>33</v>
      </c>
      <c r="B49" s="232" t="n"/>
      <c r="C49" s="143" t="inlineStr">
        <is>
          <t>01.7.20.08-0051</t>
        </is>
      </c>
      <c r="D49" s="249" t="inlineStr">
        <is>
          <t>Ветошь</t>
        </is>
      </c>
      <c r="E49" s="241" t="inlineStr">
        <is>
          <t>кг</t>
        </is>
      </c>
      <c r="F49" s="241" t="n">
        <v>0.048</v>
      </c>
      <c r="G49" s="26" t="n">
        <v>1.82</v>
      </c>
      <c r="H49" s="26">
        <f>ROUND(F49*G49,2)</f>
        <v/>
      </c>
      <c r="I49" s="177" t="n"/>
    </row>
    <row r="52">
      <c r="B52" s="113" t="inlineStr">
        <is>
          <t>Составил ______________________     Е. М. Добровольская</t>
        </is>
      </c>
    </row>
    <row r="53">
      <c r="B53" s="150" t="inlineStr">
        <is>
          <t xml:space="preserve">                         (подпись, инициалы, фамилия)</t>
        </is>
      </c>
    </row>
    <row r="55">
      <c r="B55" s="113" t="inlineStr">
        <is>
          <t>Проверил ______________________        А.В. Костянецкая</t>
        </is>
      </c>
    </row>
    <row r="56">
      <c r="B56" s="150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74" fitToHeight="2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H19" sqref="H19"/>
    </sheetView>
  </sheetViews>
  <sheetFormatPr baseColWidth="8" defaultRowHeight="14.4"/>
  <cols>
    <col width="4.109375" customWidth="1" min="1" max="1"/>
    <col width="36.33203125" customWidth="1" min="2" max="2"/>
    <col width="18.88671875" customWidth="1" min="3" max="3"/>
    <col width="18.33203125" customWidth="1" min="4" max="4"/>
    <col width="18.88671875" customWidth="1" min="5" max="5"/>
    <col width="9.109375" customWidth="1" min="6" max="6"/>
    <col width="13.44140625" customWidth="1" min="7" max="7"/>
    <col width="9.109375" customWidth="1" min="8" max="11"/>
    <col width="13.5546875" customWidth="1" min="12" max="12"/>
    <col width="9.10937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70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6-20 кВ мачтового (шкафного, столбового) и киоскового типа</t>
        </is>
      </c>
    </row>
    <row r="8">
      <c r="B8" s="237" t="inlineStr">
        <is>
          <t>Единица измерения  — 1 единица</t>
        </is>
      </c>
    </row>
    <row r="9">
      <c r="B9" s="170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13" t="inlineStr">
        <is>
          <t>Оплата труда рабочих</t>
        </is>
      </c>
      <c r="C11" s="164">
        <f>'Прил.5 Расчет СМР и ОБ'!J15</f>
        <v/>
      </c>
      <c r="D11" s="215">
        <f>C11/$C$24</f>
        <v/>
      </c>
      <c r="E11" s="215">
        <f>C11/$C$40</f>
        <v/>
      </c>
    </row>
    <row r="12">
      <c r="B12" s="213" t="inlineStr">
        <is>
          <t>Эксплуатация машин основных</t>
        </is>
      </c>
      <c r="C12" s="164">
        <f>'Прил.5 Расчет СМР и ОБ'!J23</f>
        <v/>
      </c>
      <c r="D12" s="215">
        <f>C12/$C$24</f>
        <v/>
      </c>
      <c r="E12" s="215">
        <f>C12/$C$40</f>
        <v/>
      </c>
    </row>
    <row r="13">
      <c r="B13" s="213" t="inlineStr">
        <is>
          <t>Эксплуатация машин прочих</t>
        </is>
      </c>
      <c r="C13" s="164">
        <f>'Прил.5 Расчет СМР и ОБ'!J31</f>
        <v/>
      </c>
      <c r="D13" s="215">
        <f>C13/$C$24</f>
        <v/>
      </c>
      <c r="E13" s="215">
        <f>C13/$C$40</f>
        <v/>
      </c>
    </row>
    <row r="14">
      <c r="B14" s="213" t="inlineStr">
        <is>
          <t>ЭКСПЛУАТАЦИЯ МАШИН, ВСЕГО:</t>
        </is>
      </c>
      <c r="C14" s="164">
        <f>C13+C12</f>
        <v/>
      </c>
      <c r="D14" s="215">
        <f>C14/$C$24</f>
        <v/>
      </c>
      <c r="E14" s="215">
        <f>C14/$C$40</f>
        <v/>
      </c>
    </row>
    <row r="15">
      <c r="B15" s="213" t="inlineStr">
        <is>
          <t>в том числе зарплата машинистов</t>
        </is>
      </c>
      <c r="C15" s="164">
        <f>'Прил.5 Расчет СМР и ОБ'!J18</f>
        <v/>
      </c>
      <c r="D15" s="215">
        <f>C15/$C$24</f>
        <v/>
      </c>
      <c r="E15" s="215">
        <f>C15/$C$40</f>
        <v/>
      </c>
    </row>
    <row r="16">
      <c r="B16" s="213" t="inlineStr">
        <is>
          <t>Материалы основные</t>
        </is>
      </c>
      <c r="C16" s="164">
        <f>'Прил.5 Расчет СМР и ОБ'!J42</f>
        <v/>
      </c>
      <c r="D16" s="215">
        <f>C16/$C$24</f>
        <v/>
      </c>
      <c r="E16" s="215">
        <f>C16/$C$40</f>
        <v/>
      </c>
    </row>
    <row r="17">
      <c r="B17" s="213" t="inlineStr">
        <is>
          <t>Материалы прочие</t>
        </is>
      </c>
      <c r="C17" s="164">
        <f>'Прил.5 Расчет СМР и ОБ'!J43</f>
        <v/>
      </c>
      <c r="D17" s="215">
        <f>C17/$C$24</f>
        <v/>
      </c>
      <c r="E17" s="215">
        <f>C17/$C$40</f>
        <v/>
      </c>
      <c r="G17" s="318" t="n"/>
    </row>
    <row r="18">
      <c r="B18" s="213" t="inlineStr">
        <is>
          <t>МАТЕРИАЛЫ, ВСЕГО:</t>
        </is>
      </c>
      <c r="C18" s="164">
        <f>C17+C16</f>
        <v/>
      </c>
      <c r="D18" s="215">
        <f>C18/$C$24</f>
        <v/>
      </c>
      <c r="E18" s="215">
        <f>C18/$C$40</f>
        <v/>
      </c>
    </row>
    <row r="19">
      <c r="B19" s="213" t="inlineStr">
        <is>
          <t>ИТОГО</t>
        </is>
      </c>
      <c r="C19" s="164">
        <f>C18+C14+C11</f>
        <v/>
      </c>
      <c r="D19" s="215" t="n"/>
      <c r="E19" s="213" t="n"/>
    </row>
    <row r="20">
      <c r="B20" s="213" t="inlineStr">
        <is>
          <t>Сметная прибыль, руб.</t>
        </is>
      </c>
      <c r="C20" s="164">
        <f>'Прил.5 Расчет СМР и ОБ'!J50</f>
        <v/>
      </c>
      <c r="D20" s="215">
        <f>C20/$C$24</f>
        <v/>
      </c>
      <c r="E20" s="215">
        <f>C20/$C$40</f>
        <v/>
      </c>
    </row>
    <row r="21">
      <c r="B21" s="213" t="inlineStr">
        <is>
          <t>Сметная прибыль, %</t>
        </is>
      </c>
      <c r="C21" s="168">
        <f>'Прил.5 Расчет СМР и ОБ'!D49</f>
        <v/>
      </c>
      <c r="D21" s="215" t="n"/>
      <c r="E21" s="213" t="n"/>
    </row>
    <row r="22">
      <c r="B22" s="213" t="inlineStr">
        <is>
          <t>Накладные расходы, руб.</t>
        </is>
      </c>
      <c r="C22" s="164">
        <f>'Прил.5 Расчет СМР и ОБ'!J48</f>
        <v/>
      </c>
      <c r="D22" s="215">
        <f>C22/$C$24</f>
        <v/>
      </c>
      <c r="E22" s="215">
        <f>C22/$C$40</f>
        <v/>
      </c>
    </row>
    <row r="23">
      <c r="B23" s="213" t="inlineStr">
        <is>
          <t>Накладные расходы, %</t>
        </is>
      </c>
      <c r="C23" s="168">
        <f>'Прил.5 Расчет СМР и ОБ'!D47</f>
        <v/>
      </c>
      <c r="D23" s="215" t="n"/>
      <c r="E23" s="213" t="n"/>
    </row>
    <row r="24">
      <c r="B24" s="213" t="inlineStr">
        <is>
          <t>ВСЕГО СМР с НР и СП</t>
        </is>
      </c>
      <c r="C24" s="164">
        <f>C19+C20+C22</f>
        <v/>
      </c>
      <c r="D24" s="215">
        <f>C24/$C$24</f>
        <v/>
      </c>
      <c r="E24" s="215">
        <f>C24/$C$40</f>
        <v/>
      </c>
    </row>
    <row r="25" ht="25.5" customHeight="1">
      <c r="B25" s="213" t="inlineStr">
        <is>
          <t>ВСЕГО стоимость оборудования, в том числе</t>
        </is>
      </c>
      <c r="C25" s="164">
        <f>'Прил.5 Расчет СМР и ОБ'!J38</f>
        <v/>
      </c>
      <c r="D25" s="215" t="n"/>
      <c r="E25" s="215">
        <f>C25/$C$40</f>
        <v/>
      </c>
    </row>
    <row r="26" ht="25.5" customHeight="1">
      <c r="B26" s="213" t="inlineStr">
        <is>
          <t>стоимость оборудования технологического</t>
        </is>
      </c>
      <c r="C26" s="164">
        <f>'Прил.5 Расчет СМР и ОБ'!J39</f>
        <v/>
      </c>
      <c r="D26" s="215" t="n"/>
      <c r="E26" s="215">
        <f>C26/$C$40</f>
        <v/>
      </c>
    </row>
    <row r="27">
      <c r="B27" s="213" t="inlineStr">
        <is>
          <t>ИТОГО (СМР + ОБОРУДОВАНИЕ)</t>
        </is>
      </c>
      <c r="C27" s="214">
        <f>C24+C25</f>
        <v/>
      </c>
      <c r="D27" s="215" t="n"/>
      <c r="E27" s="215">
        <f>C27/$C$40</f>
        <v/>
      </c>
      <c r="G27" s="166" t="n"/>
    </row>
    <row r="28" ht="33" customHeight="1">
      <c r="B28" s="213" t="inlineStr">
        <is>
          <t>ПРОЧ. ЗАТР., УЧТЕННЫЕ ПОКАЗАТЕЛЕМ,  в том числе</t>
        </is>
      </c>
      <c r="C28" s="213" t="n"/>
      <c r="D28" s="213" t="n"/>
      <c r="E28" s="213" t="n"/>
    </row>
    <row r="29" ht="25.5" customHeight="1">
      <c r="B29" s="213" t="inlineStr">
        <is>
          <t>Временные здания и сооружения - 2,5%</t>
        </is>
      </c>
      <c r="C29" s="214">
        <f>ROUND(C24*2.5%,2)</f>
        <v/>
      </c>
      <c r="D29" s="213" t="n"/>
      <c r="E29" s="215" t="n">
        <v>0.025</v>
      </c>
    </row>
    <row r="30" ht="38.25" customHeight="1">
      <c r="B30" s="213" t="inlineStr">
        <is>
          <t>Дополнительные затраты при производстве строительно-монтажных работ в зимнее время - 2,1%</t>
        </is>
      </c>
      <c r="C30" s="214">
        <f>ROUND((C24+C29)*2.1%,2)</f>
        <v/>
      </c>
      <c r="D30" s="213" t="n"/>
      <c r="E30" s="215" t="n">
        <v>0.021</v>
      </c>
    </row>
    <row r="31">
      <c r="B31" s="213" t="inlineStr">
        <is>
          <t>Пусконаладочные работы</t>
        </is>
      </c>
      <c r="C31" s="214" t="n">
        <v>0</v>
      </c>
      <c r="D31" s="213" t="n"/>
      <c r="E31" s="215">
        <f>C31/$C$40</f>
        <v/>
      </c>
    </row>
    <row r="32" ht="25.5" customHeight="1">
      <c r="B32" s="213" t="inlineStr">
        <is>
          <t>Затраты по перевозке работников к месту работы и обратно</t>
        </is>
      </c>
      <c r="C32" s="214" t="n">
        <v>0</v>
      </c>
      <c r="D32" s="213" t="n"/>
      <c r="E32" s="215">
        <f>C32/$C$40</f>
        <v/>
      </c>
    </row>
    <row r="33" ht="25.5" customHeight="1">
      <c r="B33" s="213" t="inlineStr">
        <is>
          <t>Затраты, связанные с осуществлением работ вахтовым методом</t>
        </is>
      </c>
      <c r="C33" s="214">
        <f>ROUND(C27*0%,2)</f>
        <v/>
      </c>
      <c r="D33" s="213" t="n"/>
      <c r="E33" s="215">
        <f>C33/$C$40</f>
        <v/>
      </c>
    </row>
    <row r="34" ht="51" customHeight="1">
      <c r="B34" s="21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4" t="n">
        <v>0</v>
      </c>
      <c r="D34" s="213" t="n"/>
      <c r="E34" s="215">
        <f>C34/$C$40</f>
        <v/>
      </c>
    </row>
    <row r="35" ht="76.5" customHeight="1">
      <c r="B35" s="21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4">
        <f>ROUND(C27*0%,2)</f>
        <v/>
      </c>
      <c r="D35" s="213" t="n"/>
      <c r="E35" s="215">
        <f>C35/$C$40</f>
        <v/>
      </c>
    </row>
    <row r="36" ht="25.5" customHeight="1">
      <c r="B36" s="213" t="inlineStr">
        <is>
          <t>Строительный контроль и содержание службы заказчика - 2,14%</t>
        </is>
      </c>
      <c r="C36" s="214">
        <f>ROUND((C27+C32+C33+C34+C35+C29+C31+C30)*2.14%,2)</f>
        <v/>
      </c>
      <c r="D36" s="213" t="n"/>
      <c r="E36" s="215">
        <f>C36/$C$40</f>
        <v/>
      </c>
      <c r="L36" s="166" t="n"/>
    </row>
    <row r="37">
      <c r="B37" s="213" t="inlineStr">
        <is>
          <t>Авторский надзор - 0,2%</t>
        </is>
      </c>
      <c r="C37" s="214">
        <f>ROUND((C27+C32+C33+C34+C35+C29+C31+C30)*0.2%,2)</f>
        <v/>
      </c>
      <c r="D37" s="213" t="n"/>
      <c r="E37" s="215">
        <f>C37/$C$40</f>
        <v/>
      </c>
      <c r="L37" s="166" t="n"/>
    </row>
    <row r="38" ht="38.25" customHeight="1">
      <c r="B38" s="213" t="inlineStr">
        <is>
          <t>ИТОГО (СМР+ОБОРУДОВАНИЕ+ПРОЧ. ЗАТР., УЧТЕННЫЕ ПОКАЗАТЕЛЕМ)</t>
        </is>
      </c>
      <c r="C38" s="164">
        <f>C27+C32+C33+C34+C35+C29+C31+C30+C36+C37</f>
        <v/>
      </c>
      <c r="D38" s="213" t="n"/>
      <c r="E38" s="215">
        <f>C38/$C$40</f>
        <v/>
      </c>
    </row>
    <row r="39" ht="13.5" customHeight="1">
      <c r="B39" s="213" t="inlineStr">
        <is>
          <t>Непредвиденные расходы</t>
        </is>
      </c>
      <c r="C39" s="164">
        <f>ROUND(C38*3%,2)</f>
        <v/>
      </c>
      <c r="D39" s="213" t="n"/>
      <c r="E39" s="215">
        <f>C39/$C$38</f>
        <v/>
      </c>
    </row>
    <row r="40">
      <c r="B40" s="213" t="inlineStr">
        <is>
          <t>ВСЕГО:</t>
        </is>
      </c>
      <c r="C40" s="164">
        <f>C39+C38</f>
        <v/>
      </c>
      <c r="D40" s="213" t="n"/>
      <c r="E40" s="215">
        <f>C40/$C$40</f>
        <v/>
      </c>
    </row>
    <row r="41">
      <c r="B41" s="213" t="inlineStr">
        <is>
          <t>ИТОГО ПОКАЗАТЕЛЬ НА ЕД. ИЗМ.</t>
        </is>
      </c>
      <c r="C41" s="164">
        <f>C40/'Прил.5 Расчет СМР и ОБ'!E53</f>
        <v/>
      </c>
      <c r="D41" s="213" t="n"/>
      <c r="E41" s="213" t="n"/>
    </row>
    <row r="42">
      <c r="B42" s="163" t="n"/>
      <c r="C42" s="4" t="n"/>
      <c r="D42" s="4" t="n"/>
      <c r="E42" s="4" t="n"/>
    </row>
    <row r="43">
      <c r="B43" s="163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6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3" t="n"/>
      <c r="C45" s="4" t="n"/>
      <c r="D45" s="4" t="n"/>
      <c r="E45" s="4" t="n"/>
    </row>
    <row r="46">
      <c r="B46" s="16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31" zoomScale="85" zoomScaleSheetLayoutView="85" workbookViewId="0">
      <selection activeCell="J26" sqref="J26"/>
    </sheetView>
  </sheetViews>
  <sheetFormatPr baseColWidth="8" defaultColWidth="9.109375" defaultRowHeight="14.4" outlineLevelRow="1"/>
  <cols>
    <col width="5.6640625" customWidth="1" style="12" min="1" max="1"/>
    <col width="22.5546875" customWidth="1" style="12" min="2" max="2"/>
    <col width="39.109375" customWidth="1" style="12" min="3" max="3"/>
    <col width="10.6640625" customWidth="1" style="12" min="4" max="4"/>
    <col width="12.6640625" customWidth="1" style="12" min="5" max="5"/>
    <col width="14.5546875" customWidth="1" style="12" min="6" max="6"/>
    <col width="13.44140625" customWidth="1" style="12" min="7" max="7"/>
    <col width="12.6640625" customWidth="1" style="12" min="8" max="8"/>
    <col width="13.88671875" customWidth="1" style="12" min="9" max="9"/>
    <col width="17.5546875" customWidth="1" style="12" min="10" max="10"/>
    <col width="10.88671875" customWidth="1" style="12" min="11" max="11"/>
    <col width="13.8867187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45" t="inlineStr">
        <is>
          <t>Наименование разрабатываемого показателя УНЦ</t>
        </is>
      </c>
      <c r="B6" s="144" t="n"/>
      <c r="C6" s="144" t="n"/>
      <c r="D6" s="219" t="inlineStr">
        <is>
          <t>КТП 6-20 кВ мачтового (шкафного, столбового) и киоскового типа</t>
        </is>
      </c>
    </row>
    <row r="7" ht="12.75" customFormat="1" customHeight="1" s="4">
      <c r="A7" s="219" t="inlineStr">
        <is>
          <t>Единица измерения  — 1 единица</t>
        </is>
      </c>
      <c r="I7" s="236" t="n"/>
      <c r="J7" s="236" t="n"/>
    </row>
    <row r="8" ht="13.5" customFormat="1" customHeight="1" s="4">
      <c r="A8" s="219" t="n"/>
    </row>
    <row r="9" ht="27" customHeight="1">
      <c r="A9" s="241" t="inlineStr">
        <is>
          <t>№ пп.</t>
        </is>
      </c>
      <c r="B9" s="241" t="inlineStr">
        <is>
          <t>Код ресурса</t>
        </is>
      </c>
      <c r="C9" s="241" t="inlineStr">
        <is>
          <t>Наименование</t>
        </is>
      </c>
      <c r="D9" s="241" t="inlineStr">
        <is>
          <t>Ед. изм.</t>
        </is>
      </c>
      <c r="E9" s="241" t="inlineStr">
        <is>
          <t>Кол-во единиц по проектным данным</t>
        </is>
      </c>
      <c r="F9" s="241" t="inlineStr">
        <is>
          <t>Сметная стоимость в ценах на 01.01.2000 (руб.)</t>
        </is>
      </c>
      <c r="G9" s="311" t="n"/>
      <c r="H9" s="241" t="inlineStr">
        <is>
          <t>Удельный вес, %</t>
        </is>
      </c>
      <c r="I9" s="241" t="inlineStr">
        <is>
          <t>Сметная стоимость в ценах на 01.01.2023 (руб.)</t>
        </is>
      </c>
      <c r="J9" s="311" t="n"/>
      <c r="M9" s="12" t="n"/>
      <c r="N9" s="12" t="n"/>
    </row>
    <row r="10" ht="28.5" customHeight="1">
      <c r="A10" s="313" t="n"/>
      <c r="B10" s="313" t="n"/>
      <c r="C10" s="313" t="n"/>
      <c r="D10" s="313" t="n"/>
      <c r="E10" s="313" t="n"/>
      <c r="F10" s="241" t="inlineStr">
        <is>
          <t>на ед. изм.</t>
        </is>
      </c>
      <c r="G10" s="241" t="inlineStr">
        <is>
          <t>общая</t>
        </is>
      </c>
      <c r="H10" s="313" t="n"/>
      <c r="I10" s="241" t="inlineStr">
        <is>
          <t>на ед. изм.</t>
        </is>
      </c>
      <c r="J10" s="241" t="inlineStr">
        <is>
          <t>общая</t>
        </is>
      </c>
      <c r="M10" s="12" t="n"/>
      <c r="N10" s="12" t="n"/>
    </row>
    <row r="11">
      <c r="A11" s="241" t="n">
        <v>1</v>
      </c>
      <c r="B11" s="241" t="n">
        <v>2</v>
      </c>
      <c r="C11" s="241" t="n">
        <v>3</v>
      </c>
      <c r="D11" s="241" t="n">
        <v>4</v>
      </c>
      <c r="E11" s="241" t="n">
        <v>5</v>
      </c>
      <c r="F11" s="241" t="n">
        <v>6</v>
      </c>
      <c r="G11" s="241" t="n">
        <v>7</v>
      </c>
      <c r="H11" s="241" t="n">
        <v>8</v>
      </c>
      <c r="I11" s="242" t="n">
        <v>9</v>
      </c>
      <c r="J11" s="242" t="n">
        <v>10</v>
      </c>
      <c r="M11" s="12" t="n"/>
      <c r="N11" s="12" t="n"/>
    </row>
    <row r="12">
      <c r="A12" s="241" t="n"/>
      <c r="B12" s="248" t="inlineStr">
        <is>
          <t>Затраты труда рабочих-строителей</t>
        </is>
      </c>
      <c r="C12" s="310" t="n"/>
      <c r="D12" s="310" t="n"/>
      <c r="E12" s="310" t="n"/>
      <c r="F12" s="310" t="n"/>
      <c r="G12" s="310" t="n"/>
      <c r="H12" s="311" t="n"/>
      <c r="I12" s="134" t="n"/>
      <c r="J12" s="134" t="n"/>
    </row>
    <row r="13" ht="25.5" customHeight="1">
      <c r="A13" s="241" t="n">
        <v>1</v>
      </c>
      <c r="B13" s="143" t="inlineStr">
        <is>
          <t>1-3-2</t>
        </is>
      </c>
      <c r="C13" s="249" t="inlineStr">
        <is>
          <t>Затраты труда рабочих-строителей среднего разряда (3,2)</t>
        </is>
      </c>
      <c r="D13" s="241" t="inlineStr">
        <is>
          <t>чел.-ч.</t>
        </is>
      </c>
      <c r="E13" s="135">
        <f>G13/F13</f>
        <v/>
      </c>
      <c r="F13" s="26" t="n">
        <v>8.74</v>
      </c>
      <c r="G13" s="26">
        <f>Прил.3!H12</f>
        <v/>
      </c>
      <c r="H13" s="13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41" t="n"/>
      <c r="B14" s="241" t="n"/>
      <c r="C14" s="248" t="inlineStr">
        <is>
          <t>Итого по разделу "Затраты труда рабочих-строителей"</t>
        </is>
      </c>
      <c r="D14" s="241" t="inlineStr">
        <is>
          <t>чел.-ч.</t>
        </is>
      </c>
      <c r="E14" s="135">
        <f>SUM(E13:E13)</f>
        <v/>
      </c>
      <c r="F14" s="26" t="n"/>
      <c r="G14" s="26">
        <f>SUM(G13:G13)</f>
        <v/>
      </c>
      <c r="H14" s="252" t="n">
        <v>1</v>
      </c>
      <c r="I14" s="134" t="n"/>
      <c r="J14" s="26">
        <f>SUM(J13:J13)</f>
        <v/>
      </c>
    </row>
    <row r="15" ht="38.25" customFormat="1" customHeight="1" s="12">
      <c r="A15" s="241" t="n"/>
      <c r="B15" s="241" t="n"/>
      <c r="C15" s="248" t="inlineStr">
        <is>
          <t>Итого по разделу "Затраты труда рабочих-строителей" 
(с коэффициентом на демонтаж 0,7)</t>
        </is>
      </c>
      <c r="D15" s="241" t="inlineStr">
        <is>
          <t>чел.-ч.</t>
        </is>
      </c>
      <c r="E15" s="250" t="n"/>
      <c r="F15" s="251" t="n"/>
      <c r="G15" s="26">
        <f>SUM(G14)*0.7</f>
        <v/>
      </c>
      <c r="H15" s="252" t="n">
        <v>1</v>
      </c>
      <c r="I15" s="134" t="n"/>
      <c r="J15" s="26">
        <f>SUM(J13)*0.7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34" t="n"/>
      <c r="J16" s="134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135">
        <f>Прил.3!F23</f>
        <v/>
      </c>
      <c r="F17" s="26">
        <f>G17/E17</f>
        <v/>
      </c>
      <c r="G17" s="26">
        <f>Прил.3!H22</f>
        <v/>
      </c>
      <c r="H17" s="252" t="n">
        <v>1</v>
      </c>
      <c r="I17" s="26">
        <f>ROUND(F17*Прил.10!D11,2)</f>
        <v/>
      </c>
      <c r="J17" s="26">
        <f>ROUND(I17*E17,2)</f>
        <v/>
      </c>
    </row>
    <row r="18" ht="25.5" customFormat="1" customHeight="1" s="12">
      <c r="A18" s="241" t="n"/>
      <c r="B18" s="241" t="n"/>
      <c r="C18" s="199" t="inlineStr">
        <is>
          <t>Затраты труда машинистов 
(с коэффициентом на демонтаж 0,7)</t>
        </is>
      </c>
      <c r="D18" s="200" t="n"/>
      <c r="E18" s="200" t="n"/>
      <c r="F18" s="200" t="n"/>
      <c r="G18" s="214">
        <f>G17*0.7</f>
        <v/>
      </c>
      <c r="H18" s="168">
        <f>H17</f>
        <v/>
      </c>
      <c r="I18" s="201" t="n"/>
      <c r="J18" s="214">
        <f>J17*0.7</f>
        <v/>
      </c>
    </row>
    <row r="19" ht="14.25" customFormat="1" customHeight="1" s="12">
      <c r="A19" s="241" t="n"/>
      <c r="B19" s="248" t="inlineStr">
        <is>
          <t>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34" t="n"/>
      <c r="J19" s="134" t="n"/>
    </row>
    <row r="20" ht="14.25" customFormat="1" customHeight="1" s="12">
      <c r="A20" s="241" t="n"/>
      <c r="B20" s="249" t="inlineStr">
        <is>
          <t>Основные машины и механизмы</t>
        </is>
      </c>
      <c r="C20" s="310" t="n"/>
      <c r="D20" s="310" t="n"/>
      <c r="E20" s="310" t="n"/>
      <c r="F20" s="310" t="n"/>
      <c r="G20" s="310" t="n"/>
      <c r="H20" s="311" t="n"/>
      <c r="I20" s="134" t="n"/>
      <c r="J20" s="134" t="n"/>
    </row>
    <row r="21" ht="25.5" customFormat="1" customHeight="1" s="12">
      <c r="A21" s="241" t="n">
        <v>3</v>
      </c>
      <c r="B21" s="143" t="inlineStr">
        <is>
          <t>91.05.05-014</t>
        </is>
      </c>
      <c r="C21" s="174" t="inlineStr">
        <is>
          <t>Краны на автомобильном ходу, грузоподъемность 10 т</t>
        </is>
      </c>
      <c r="D21" s="241" t="inlineStr">
        <is>
          <t>маш.час</t>
        </is>
      </c>
      <c r="E21" s="135" t="n">
        <v>16.05</v>
      </c>
      <c r="F21" s="262" t="n">
        <v>111.99</v>
      </c>
      <c r="G21" s="26">
        <f>ROUND(E21*F21,2)</f>
        <v/>
      </c>
      <c r="H21" s="137">
        <f>G21/$G$32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135" t="n"/>
      <c r="F22" s="26" t="n"/>
      <c r="G22" s="26">
        <f>SUM(G21:G21)</f>
        <v/>
      </c>
      <c r="H22" s="252">
        <f>G22/G32</f>
        <v/>
      </c>
      <c r="I22" s="136" t="n"/>
      <c r="J22" s="26">
        <f>SUM(J21:J21)</f>
        <v/>
      </c>
    </row>
    <row r="23" ht="25.5" customFormat="1" customHeight="1" s="12">
      <c r="A23" s="241" t="n">
        <v>12</v>
      </c>
      <c r="B23" s="241" t="n"/>
      <c r="C23" s="199" t="inlineStr">
        <is>
          <t>Итого основные машины и механизмы 
(с коэффициентом на демонтаж 0,7)</t>
        </is>
      </c>
      <c r="D23" s="241" t="n"/>
      <c r="E23" s="178" t="n"/>
      <c r="F23" s="250" t="n"/>
      <c r="G23" s="26">
        <f>G22*0.7</f>
        <v/>
      </c>
      <c r="H23" s="137">
        <f>H22</f>
        <v/>
      </c>
      <c r="I23" s="26" t="n"/>
      <c r="J23" s="26">
        <f>J22*0.7</f>
        <v/>
      </c>
    </row>
    <row r="24" outlineLevel="1" ht="51" customFormat="1" customHeight="1" s="12">
      <c r="A24" s="241" t="n">
        <v>4</v>
      </c>
      <c r="B24" s="143" t="inlineStr">
        <is>
          <t>91.18.01-007</t>
        </is>
      </c>
      <c r="C24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4" s="241" t="inlineStr">
        <is>
          <t>маш.час</t>
        </is>
      </c>
      <c r="E24" s="135" t="n">
        <v>0.63</v>
      </c>
      <c r="F24" s="251" t="n">
        <v>90</v>
      </c>
      <c r="G24" s="26">
        <f>ROUND(E24*F24,2)</f>
        <v/>
      </c>
      <c r="H24" s="137">
        <f>G24/$G$32</f>
        <v/>
      </c>
      <c r="I24" s="26">
        <f>ROUND(F24*Прил.10!$D$12,2)</f>
        <v/>
      </c>
      <c r="J24" s="26">
        <f>ROUND(I24*E24,2)</f>
        <v/>
      </c>
    </row>
    <row r="25" outlineLevel="1" ht="14.25" customFormat="1" customHeight="1" s="12">
      <c r="A25" s="241" t="n">
        <v>5</v>
      </c>
      <c r="B25" s="143" t="inlineStr">
        <is>
          <t>91.08.04-021</t>
        </is>
      </c>
      <c r="C25" s="249" t="inlineStr">
        <is>
          <t>Котлы битумные: передвижные 400 л</t>
        </is>
      </c>
      <c r="D25" s="241" t="inlineStr">
        <is>
          <t>маш.час</t>
        </is>
      </c>
      <c r="E25" s="135" t="n">
        <v>0.9399999999999999</v>
      </c>
      <c r="F25" s="251" t="n">
        <v>30</v>
      </c>
      <c r="G25" s="26">
        <f>ROUND(E25*F25,2)</f>
        <v/>
      </c>
      <c r="H25" s="137">
        <f>G25/$G$32</f>
        <v/>
      </c>
      <c r="I25" s="26">
        <f>ROUND(F25*Прил.10!$D$12,2)</f>
        <v/>
      </c>
      <c r="J25" s="26">
        <f>ROUND(I25*E25,2)</f>
        <v/>
      </c>
    </row>
    <row r="26" outlineLevel="1" ht="25.5" customFormat="1" customHeight="1" s="12">
      <c r="A26" s="241" t="n">
        <v>6</v>
      </c>
      <c r="B26" s="143" t="inlineStr">
        <is>
          <t>91.17.04-233</t>
        </is>
      </c>
      <c r="C26" s="249" t="inlineStr">
        <is>
          <t>Установки для сварки: ручной дуговой (постоянного тока)</t>
        </is>
      </c>
      <c r="D26" s="241" t="inlineStr">
        <is>
          <t>маш.час</t>
        </is>
      </c>
      <c r="E26" s="135" t="n">
        <v>3.22</v>
      </c>
      <c r="F26" s="251" t="n">
        <v>8.1</v>
      </c>
      <c r="G26" s="26">
        <f>ROUND(E26*F26,2)</f>
        <v/>
      </c>
      <c r="H26" s="137">
        <f>G26/$G$32</f>
        <v/>
      </c>
      <c r="I26" s="26">
        <f>ROUND(F26*Прил.10!$D$12,2)</f>
        <v/>
      </c>
      <c r="J26" s="26">
        <f>ROUND(I26*E26,2)</f>
        <v/>
      </c>
    </row>
    <row r="27" outlineLevel="1" ht="38.25" customFormat="1" customHeight="1" s="12">
      <c r="A27" s="241" t="n">
        <v>7</v>
      </c>
      <c r="B27" s="143" t="inlineStr">
        <is>
          <t>91.06.05-057</t>
        </is>
      </c>
      <c r="C27" s="249" t="inlineStr">
        <is>
          <t>Погрузчики одноковшовые универсальные фронтальные пневмоколесные, грузоподъемность 3 т</t>
        </is>
      </c>
      <c r="D27" s="241" t="inlineStr">
        <is>
          <t>маш.час</t>
        </is>
      </c>
      <c r="E27" s="135" t="n">
        <v>0.24</v>
      </c>
      <c r="F27" s="251" t="n">
        <v>90.40000000000001</v>
      </c>
      <c r="G27" s="26">
        <f>ROUND(E27*F27,2)</f>
        <v/>
      </c>
      <c r="H27" s="137">
        <f>G27/$G$32</f>
        <v/>
      </c>
      <c r="I27" s="26">
        <f>ROUND(F27*Прил.10!$D$12,2)</f>
        <v/>
      </c>
      <c r="J27" s="26">
        <f>ROUND(I27*E27,2)</f>
        <v/>
      </c>
    </row>
    <row r="28" outlineLevel="1" ht="25.5" customFormat="1" customHeight="1" s="12">
      <c r="A28" s="241" t="n">
        <v>8</v>
      </c>
      <c r="B28" s="143" t="inlineStr">
        <is>
          <t>91.14.02-001</t>
        </is>
      </c>
      <c r="C28" s="249" t="inlineStr">
        <is>
          <t>Автомобили бортовые, грузоподъемность: до 5 т</t>
        </is>
      </c>
      <c r="D28" s="241" t="inlineStr">
        <is>
          <t>маш.час</t>
        </is>
      </c>
      <c r="E28" s="135" t="n">
        <v>0.29</v>
      </c>
      <c r="F28" s="262" t="n">
        <v>65.70999999999999</v>
      </c>
      <c r="G28" s="26">
        <f>ROUND(E28*F28,2)</f>
        <v/>
      </c>
      <c r="H28" s="137">
        <f>G28/$G$32</f>
        <v/>
      </c>
      <c r="I28" s="26">
        <f>ROUND(F28*Прил.10!$D$12,2)</f>
        <v/>
      </c>
      <c r="J28" s="26">
        <f>ROUND(I28*E28,2)</f>
        <v/>
      </c>
    </row>
    <row r="29" outlineLevel="1" ht="25.5" customFormat="1" customHeight="1" s="12">
      <c r="A29" s="241" t="n">
        <v>9</v>
      </c>
      <c r="B29" s="143" t="inlineStr">
        <is>
          <t>91.08.09-023</t>
        </is>
      </c>
      <c r="C29" s="249" t="inlineStr">
        <is>
          <t>Трамбовки пневматические при работе от: передвижных компрессорных станций</t>
        </is>
      </c>
      <c r="D29" s="241" t="inlineStr">
        <is>
          <t>маш.час</t>
        </is>
      </c>
      <c r="E29" s="135" t="n">
        <v>1.26</v>
      </c>
      <c r="F29" s="262" t="n">
        <v>0.55</v>
      </c>
      <c r="G29" s="26">
        <f>ROUND(E29*F29,2)</f>
        <v/>
      </c>
      <c r="H29" s="137">
        <f>G29/$G$32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12">
      <c r="A30" s="241" t="n"/>
      <c r="B30" s="241" t="n"/>
      <c r="C30" s="249" t="inlineStr">
        <is>
          <t>Итого прочие машины и механизмы</t>
        </is>
      </c>
      <c r="D30" s="241" t="n"/>
      <c r="E30" s="250" t="n"/>
      <c r="F30" s="26" t="n"/>
      <c r="G30" s="136">
        <f>SUM(G24:G29)</f>
        <v/>
      </c>
      <c r="H30" s="137">
        <f>G30/G32</f>
        <v/>
      </c>
      <c r="I30" s="26" t="n"/>
      <c r="J30" s="136">
        <f>SUM(J24:J29)</f>
        <v/>
      </c>
    </row>
    <row r="31" ht="25.5" customFormat="1" customHeight="1" s="12">
      <c r="A31" s="241" t="n"/>
      <c r="B31" s="241" t="n"/>
      <c r="C31" s="199" t="inlineStr">
        <is>
          <t>Итого прочие машины и механизмы 
(с коэффициентом на демонтаж 0,7)</t>
        </is>
      </c>
      <c r="D31" s="241" t="n"/>
      <c r="E31" s="250" t="n"/>
      <c r="F31" s="26" t="n"/>
      <c r="G31" s="26">
        <f>G30*0.7</f>
        <v/>
      </c>
      <c r="H31" s="137">
        <f>H30</f>
        <v/>
      </c>
      <c r="I31" s="26" t="n"/>
      <c r="J31" s="26">
        <f>J30*0.7</f>
        <v/>
      </c>
    </row>
    <row r="32" ht="15.6" customFormat="1" customHeight="1" s="12">
      <c r="A32" s="241" t="n"/>
      <c r="B32" s="241" t="n"/>
      <c r="C32" s="248" t="inlineStr">
        <is>
          <t>Итого по разделу «Машины и механизмы»</t>
        </is>
      </c>
      <c r="D32" s="241" t="n"/>
      <c r="E32" s="250" t="n"/>
      <c r="F32" s="26" t="n"/>
      <c r="G32" s="26">
        <f>G30+G22</f>
        <v/>
      </c>
      <c r="H32" s="138" t="n">
        <v>1</v>
      </c>
      <c r="I32" s="139" t="n"/>
      <c r="J32" s="140">
        <f>J30+J22</f>
        <v/>
      </c>
    </row>
    <row r="33" ht="28.8" customFormat="1" customHeight="1" s="12">
      <c r="A33" s="241" t="n"/>
      <c r="B33" s="241" t="n"/>
      <c r="C33" s="202" t="inlineStr">
        <is>
          <t>Итого по разделу «Машины и механизмы»  
(с коэффициентом на демонтаж 0,7)</t>
        </is>
      </c>
      <c r="D33" s="243" t="n"/>
      <c r="E33" s="203" t="n"/>
      <c r="F33" s="140" t="n"/>
      <c r="G33" s="140">
        <f>G31+G23</f>
        <v/>
      </c>
      <c r="H33" s="138" t="n">
        <v>1</v>
      </c>
      <c r="I33" s="139" t="n"/>
      <c r="J33" s="140">
        <f>J31+J23</f>
        <v/>
      </c>
    </row>
    <row r="34" ht="14.25" customFormat="1" customHeight="1" s="12">
      <c r="A34" s="241" t="n"/>
      <c r="B34" s="248" t="inlineStr">
        <is>
          <t>Оборудование</t>
        </is>
      </c>
      <c r="C34" s="310" t="n"/>
      <c r="D34" s="310" t="n"/>
      <c r="E34" s="310" t="n"/>
      <c r="F34" s="310" t="n"/>
      <c r="G34" s="310" t="n"/>
      <c r="H34" s="311" t="n"/>
      <c r="I34" s="134" t="n"/>
      <c r="J34" s="134" t="n"/>
    </row>
    <row r="35">
      <c r="A35" s="241" t="n"/>
      <c r="B35" s="249" t="inlineStr">
        <is>
          <t>Основное оборудование</t>
        </is>
      </c>
      <c r="C35" s="310" t="n"/>
      <c r="D35" s="310" t="n"/>
      <c r="E35" s="310" t="n"/>
      <c r="F35" s="310" t="n"/>
      <c r="G35" s="310" t="n"/>
      <c r="H35" s="311" t="n"/>
      <c r="I35" s="134" t="n"/>
      <c r="J35" s="134" t="n"/>
    </row>
    <row r="36">
      <c r="A36" s="241" t="n"/>
      <c r="B36" s="180" t="n"/>
      <c r="C36" s="179" t="inlineStr">
        <is>
          <t>Итого основное оборудование</t>
        </is>
      </c>
      <c r="D36" s="180" t="n"/>
      <c r="E36" s="182" t="n"/>
      <c r="F36" s="183" t="n"/>
      <c r="G36" s="181" t="n">
        <v>0</v>
      </c>
      <c r="H36" s="184" t="n">
        <v>0</v>
      </c>
      <c r="I36" s="185" t="n"/>
      <c r="J36" s="181" t="n">
        <v>0</v>
      </c>
    </row>
    <row r="37">
      <c r="A37" s="241" t="n"/>
      <c r="B37" s="241" t="n"/>
      <c r="C37" s="249" t="inlineStr">
        <is>
          <t>Итого прочее оборудование</t>
        </is>
      </c>
      <c r="D37" s="241" t="n"/>
      <c r="E37" s="135" t="n"/>
      <c r="F37" s="251" t="n"/>
      <c r="G37" s="26" t="n">
        <v>0</v>
      </c>
      <c r="H37" s="252" t="n">
        <v>0</v>
      </c>
      <c r="I37" s="136" t="n"/>
      <c r="J37" s="26" t="n">
        <v>0</v>
      </c>
    </row>
    <row r="38">
      <c r="A38" s="241" t="n"/>
      <c r="B38" s="241" t="n"/>
      <c r="C38" s="248" t="inlineStr">
        <is>
          <t>Итого по разделу «Оборудование»</t>
        </is>
      </c>
      <c r="D38" s="241" t="n"/>
      <c r="E38" s="250" t="n"/>
      <c r="F38" s="251" t="n"/>
      <c r="G38" s="26">
        <f>G37+G36</f>
        <v/>
      </c>
      <c r="H38" s="252">
        <f>H37+H36</f>
        <v/>
      </c>
      <c r="I38" s="136" t="n"/>
      <c r="J38" s="26">
        <f>J37+J36</f>
        <v/>
      </c>
    </row>
    <row r="39" ht="13.2" customHeight="1">
      <c r="A39" s="241" t="n"/>
      <c r="B39" s="241" t="n"/>
      <c r="C39" s="249" t="inlineStr">
        <is>
          <t>в том числе технологическое оборудование</t>
        </is>
      </c>
      <c r="D39" s="241" t="n"/>
      <c r="E39" s="178" t="n"/>
      <c r="F39" s="251" t="n"/>
      <c r="G39" s="26">
        <f>G38</f>
        <v/>
      </c>
      <c r="H39" s="252" t="n"/>
      <c r="I39" s="136" t="n"/>
      <c r="J39" s="26">
        <f>J38</f>
        <v/>
      </c>
    </row>
    <row r="40" ht="14.25" customFormat="1" customHeight="1" s="12">
      <c r="A40" s="241" t="n"/>
      <c r="B40" s="248" t="inlineStr">
        <is>
          <t>Материалы</t>
        </is>
      </c>
      <c r="C40" s="310" t="n"/>
      <c r="D40" s="310" t="n"/>
      <c r="E40" s="310" t="n"/>
      <c r="F40" s="310" t="n"/>
      <c r="G40" s="310" t="n"/>
      <c r="H40" s="311" t="n"/>
      <c r="I40" s="134" t="n"/>
      <c r="J40" s="134" t="n"/>
    </row>
    <row r="41" ht="14.25" customFormat="1" customHeight="1" s="12">
      <c r="A41" s="242" t="n"/>
      <c r="B41" s="244" t="inlineStr">
        <is>
          <t>Основные материалы</t>
        </is>
      </c>
      <c r="C41" s="319" t="n"/>
      <c r="D41" s="319" t="n"/>
      <c r="E41" s="319" t="n"/>
      <c r="F41" s="319" t="n"/>
      <c r="G41" s="319" t="n"/>
      <c r="H41" s="320" t="n"/>
      <c r="I41" s="146" t="n"/>
      <c r="J41" s="146" t="n"/>
    </row>
    <row r="42" ht="14.25" customFormat="1" customHeight="1" s="12">
      <c r="A42" s="206" t="n"/>
      <c r="B42" s="207" t="n"/>
      <c r="C42" s="208" t="inlineStr">
        <is>
          <t>Итого основные материалы</t>
        </is>
      </c>
      <c r="D42" s="206" t="n"/>
      <c r="E42" s="209" t="n"/>
      <c r="F42" s="210" t="n"/>
      <c r="G42" s="210" t="n">
        <v>0</v>
      </c>
      <c r="H42" s="211" t="n">
        <v>0</v>
      </c>
      <c r="I42" s="210" t="n"/>
      <c r="J42" s="210" t="n">
        <v>0</v>
      </c>
    </row>
    <row r="43" ht="14.25" customFormat="1" customHeight="1" s="12">
      <c r="A43" s="243" t="n"/>
      <c r="B43" s="243" t="n"/>
      <c r="C43" s="148" t="inlineStr">
        <is>
          <t>Итого прочие материалы</t>
        </is>
      </c>
      <c r="D43" s="243" t="n"/>
      <c r="E43" s="203" t="n"/>
      <c r="F43" s="204" t="n"/>
      <c r="G43" s="140" t="n">
        <v>0</v>
      </c>
      <c r="H43" s="205" t="n">
        <v>0</v>
      </c>
      <c r="I43" s="140" t="n"/>
      <c r="J43" s="140" t="n">
        <v>0</v>
      </c>
    </row>
    <row r="44" ht="14.25" customFormat="1" customHeight="1" s="12">
      <c r="A44" s="241" t="n"/>
      <c r="B44" s="241" t="n"/>
      <c r="C44" s="248" t="inlineStr">
        <is>
          <t>Итого по разделу «Материалы»</t>
        </is>
      </c>
      <c r="D44" s="241" t="n"/>
      <c r="E44" s="250" t="n"/>
      <c r="F44" s="251" t="n"/>
      <c r="G44" s="26">
        <f>G42+G43</f>
        <v/>
      </c>
      <c r="H44" s="137" t="n">
        <v>0</v>
      </c>
      <c r="I44" s="26" t="n"/>
      <c r="J44" s="26">
        <f>J42+J43</f>
        <v/>
      </c>
    </row>
    <row r="45" ht="14.25" customFormat="1" customHeight="1" s="12">
      <c r="A45" s="241" t="n"/>
      <c r="B45" s="241" t="n"/>
      <c r="C45" s="249" t="inlineStr">
        <is>
          <t>ИТОГО ПО РМ</t>
        </is>
      </c>
      <c r="D45" s="241" t="n"/>
      <c r="E45" s="250" t="n"/>
      <c r="F45" s="251" t="n"/>
      <c r="G45" s="26">
        <f>G14+G32+G44</f>
        <v/>
      </c>
      <c r="H45" s="252" t="n"/>
      <c r="I45" s="26" t="n"/>
      <c r="J45" s="26">
        <f>J14+J32+J44</f>
        <v/>
      </c>
    </row>
    <row r="46" ht="25.5" customFormat="1" customHeight="1" s="12">
      <c r="A46" s="241" t="n"/>
      <c r="B46" s="241" t="n"/>
      <c r="C46" s="249" t="inlineStr">
        <is>
          <t>ИТОГО ПО РМ
(с коэффициентом на демонтаж 0,7)</t>
        </is>
      </c>
      <c r="D46" s="241" t="n"/>
      <c r="E46" s="250" t="n"/>
      <c r="F46" s="251" t="n"/>
      <c r="G46" s="26">
        <f>G15+G33</f>
        <v/>
      </c>
      <c r="H46" s="137" t="n"/>
      <c r="I46" s="26" t="n"/>
      <c r="J46" s="26">
        <f>J15+J33</f>
        <v/>
      </c>
    </row>
    <row r="47" ht="14.25" customFormat="1" customHeight="1" s="12">
      <c r="A47" s="241" t="n"/>
      <c r="B47" s="241" t="n"/>
      <c r="C47" s="249" t="inlineStr">
        <is>
          <t>Накладные расходы</t>
        </is>
      </c>
      <c r="D47" s="141">
        <f>ROUND(G47/(G$17+$G$14),2)</f>
        <v/>
      </c>
      <c r="E47" s="250" t="n"/>
      <c r="F47" s="251" t="n"/>
      <c r="G47" s="26" t="n">
        <v>1470.7</v>
      </c>
      <c r="H47" s="252" t="n"/>
      <c r="I47" s="26" t="n"/>
      <c r="J47" s="26">
        <f>ROUND(D47*(J14+J17),2)</f>
        <v/>
      </c>
    </row>
    <row r="48" ht="25.5" customFormat="1" customHeight="1" s="12">
      <c r="A48" s="241" t="n"/>
      <c r="B48" s="241" t="n"/>
      <c r="C48" s="249" t="inlineStr">
        <is>
          <t>Накладные расходы 
(с коэффициентом на демонтаж 0,7)</t>
        </is>
      </c>
      <c r="D48" s="212" t="n">
        <v>1</v>
      </c>
      <c r="E48" s="250" t="n"/>
      <c r="F48" s="251" t="n"/>
      <c r="G48" s="26">
        <f>G47*0.7</f>
        <v/>
      </c>
      <c r="H48" s="252" t="n"/>
      <c r="I48" s="26" t="n"/>
      <c r="J48" s="26">
        <f>J47*0.7</f>
        <v/>
      </c>
    </row>
    <row r="49" ht="14.25" customFormat="1" customHeight="1" s="12">
      <c r="A49" s="241" t="n"/>
      <c r="B49" s="241" t="n"/>
      <c r="C49" s="249" t="inlineStr">
        <is>
          <t>Сметная прибыль</t>
        </is>
      </c>
      <c r="D49" s="141">
        <f>ROUND(G49/(G$14+G$17),2)</f>
        <v/>
      </c>
      <c r="E49" s="250" t="n"/>
      <c r="F49" s="251" t="n"/>
      <c r="G49" s="26" t="n">
        <v>874.9299999999999</v>
      </c>
      <c r="H49" s="252" t="n"/>
      <c r="I49" s="26" t="n"/>
      <c r="J49" s="26">
        <f>ROUND(D49*(J14+J17),2)</f>
        <v/>
      </c>
    </row>
    <row r="50" ht="25.5" customFormat="1" customHeight="1" s="12">
      <c r="A50" s="241" t="n"/>
      <c r="B50" s="241" t="n"/>
      <c r="C50" s="249" t="inlineStr">
        <is>
          <t>Сметная прибыль 
(с коэффициентом на демонтаж 0,7)</t>
        </is>
      </c>
      <c r="D50" s="212" t="n">
        <v>0.65</v>
      </c>
      <c r="E50" s="250" t="n"/>
      <c r="F50" s="251" t="n"/>
      <c r="G50" s="26">
        <f>G49*0.7</f>
        <v/>
      </c>
      <c r="H50" s="252" t="n"/>
      <c r="I50" s="26" t="n"/>
      <c r="J50" s="26">
        <f>J49*0.7</f>
        <v/>
      </c>
    </row>
    <row r="51" ht="30.75" customFormat="1" customHeight="1" s="12">
      <c r="A51" s="241" t="n"/>
      <c r="B51" s="241" t="n"/>
      <c r="C51" s="249" t="inlineStr">
        <is>
          <t>Итого СМР (с НР и СП) 
(с коэффициентом на демонтаж 0,7)</t>
        </is>
      </c>
      <c r="D51" s="241" t="n"/>
      <c r="E51" s="250" t="n"/>
      <c r="F51" s="251" t="n"/>
      <c r="G51" s="26">
        <f>G46+G48+G50</f>
        <v/>
      </c>
      <c r="H51" s="252" t="n"/>
      <c r="I51" s="26" t="n"/>
      <c r="J51" s="26">
        <f>ROUND((J46+J48+J50),2)</f>
        <v/>
      </c>
    </row>
    <row r="52" ht="32.25" customFormat="1" customHeight="1" s="12">
      <c r="A52" s="241" t="n"/>
      <c r="B52" s="241" t="n"/>
      <c r="C52" s="249" t="inlineStr">
        <is>
          <t>ВСЕГО СМР + ОБОРУДОВАНИЕ 
(с коэффициентом на демонтаж 0,7)</t>
        </is>
      </c>
      <c r="D52" s="241" t="n"/>
      <c r="E52" s="250" t="n"/>
      <c r="F52" s="251" t="n"/>
      <c r="G52" s="26">
        <f>G51</f>
        <v/>
      </c>
      <c r="H52" s="252" t="n"/>
      <c r="I52" s="26" t="n"/>
      <c r="J52" s="26">
        <f>J51</f>
        <v/>
      </c>
    </row>
    <row r="53" ht="16.2" customFormat="1" customHeight="1" s="12">
      <c r="A53" s="241" t="n"/>
      <c r="B53" s="241" t="n"/>
      <c r="C53" s="249" t="inlineStr">
        <is>
          <t>ИТОГО ПОКАЗАТЕЛЬ НА ЕД. ИЗМ.</t>
        </is>
      </c>
      <c r="D53" s="241" t="inlineStr">
        <is>
          <t>ед.</t>
        </is>
      </c>
      <c r="E53" s="250" t="n">
        <v>1</v>
      </c>
      <c r="F53" s="251" t="n"/>
      <c r="G53" s="26">
        <f>G52/E53</f>
        <v/>
      </c>
      <c r="H53" s="252" t="n"/>
      <c r="I53" s="26" t="n"/>
      <c r="J53" s="140">
        <f>J52/E53</f>
        <v/>
      </c>
    </row>
    <row r="55" ht="14.25" customFormat="1" customHeight="1" s="12">
      <c r="A55" s="4" t="inlineStr">
        <is>
          <t>Составил ______________________     Е. М. Добровольская</t>
        </is>
      </c>
    </row>
    <row r="56" ht="14.25" customFormat="1" customHeight="1" s="12">
      <c r="A56" s="27" t="inlineStr">
        <is>
          <t xml:space="preserve">                         (подпись, инициалы, фамилия)</t>
        </is>
      </c>
    </row>
    <row r="57" ht="14.25" customFormat="1" customHeight="1" s="12">
      <c r="A57" s="4" t="n"/>
    </row>
    <row r="58" ht="14.25" customFormat="1" customHeight="1" s="12">
      <c r="A58" s="4" t="inlineStr">
        <is>
          <t>Проверил ______________________        А.В. Костянецкая</t>
        </is>
      </c>
    </row>
    <row r="59" ht="14.25" customFormat="1" customHeight="1" s="12">
      <c r="A59" s="27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19:H19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5" fitToHeight="2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13" sqref="G13"/>
    </sheetView>
  </sheetViews>
  <sheetFormatPr baseColWidth="8" defaultRowHeight="14.4"/>
  <cols>
    <col width="5.6640625" customWidth="1" min="1" max="1"/>
    <col width="17.5546875" customWidth="1" min="2" max="2"/>
    <col width="39.109375" customWidth="1" min="3" max="3"/>
    <col width="10.6640625" customWidth="1" min="4" max="4"/>
    <col width="13.88671875" customWidth="1" min="5" max="5"/>
    <col width="13.33203125" customWidth="1" min="6" max="6"/>
    <col width="17.44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6" t="inlineStr">
        <is>
          <t>Расчет стоимости оборудования</t>
        </is>
      </c>
    </row>
    <row r="4">
      <c r="A4" s="258" t="inlineStr">
        <is>
          <t>Наименование разрабатываемого показателя УНЦ — КТП 6-20 кВ мачтового (шкафного, столбового) и киоскового типа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1" t="inlineStr">
        <is>
          <t>№ пп.</t>
        </is>
      </c>
      <c r="B6" s="241" t="inlineStr">
        <is>
          <t>Код ресурса</t>
        </is>
      </c>
      <c r="C6" s="241" t="inlineStr">
        <is>
          <t>Наименование</t>
        </is>
      </c>
      <c r="D6" s="241" t="inlineStr">
        <is>
          <t>Ед. изм.</t>
        </is>
      </c>
      <c r="E6" s="241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13" t="n"/>
      <c r="B9" s="249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1" t="n"/>
      <c r="B10" s="248" t="n"/>
      <c r="C10" s="249" t="inlineStr">
        <is>
          <t>ИТОГО ИНЖЕНЕРНОЕ ОБОРУДОВАНИЕ</t>
        </is>
      </c>
      <c r="D10" s="248" t="n"/>
      <c r="E10" s="100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2" t="n"/>
      <c r="F12" s="26" t="n"/>
      <c r="G12" s="26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2" t="n"/>
      <c r="F13" s="26" t="n"/>
      <c r="G13" s="26">
        <f>G10+G12</f>
        <v/>
      </c>
    </row>
    <row r="14">
      <c r="A14" s="24" t="n"/>
      <c r="B14" s="101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Е. М. Добровольская</t>
        </is>
      </c>
      <c r="B15" s="12" t="n"/>
      <c r="C15" s="12" t="n"/>
      <c r="D15" s="24" t="n"/>
      <c r="E15" s="24" t="n"/>
      <c r="F15" s="24" t="n"/>
      <c r="G15" s="24" t="n"/>
    </row>
    <row r="16">
      <c r="A16" s="27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27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5" sqref="D5"/>
    </sheetView>
  </sheetViews>
  <sheetFormatPr baseColWidth="8" defaultRowHeight="14.4"/>
  <cols>
    <col width="12.6640625" customWidth="1" min="1" max="1"/>
    <col width="21.6640625" customWidth="1" min="2" max="2"/>
    <col width="37.109375" customWidth="1" min="3" max="3"/>
    <col width="49" customWidth="1" min="4" max="4"/>
    <col width="9.10937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60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31.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13" t="inlineStr">
        <is>
          <t>Единица измерения  — 1 ед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58.2" customHeight="1">
      <c r="A11" s="187" t="inlineStr">
        <is>
          <t>М6-05-10</t>
        </is>
      </c>
      <c r="B11" s="187" t="inlineStr">
        <is>
          <t>УНЦ на демонтажные работы ПС</t>
        </is>
      </c>
      <c r="C11" s="187">
        <f>D5</f>
        <v/>
      </c>
      <c r="D11" s="118">
        <f>'Прил.4 РМ'!C41/1000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H22" sqref="H22"/>
    </sheetView>
  </sheetViews>
  <sheetFormatPr baseColWidth="8" defaultRowHeight="14.4"/>
  <cols>
    <col width="9.109375" customWidth="1" min="1" max="1"/>
    <col width="40.6640625" customWidth="1" min="2" max="2"/>
    <col width="38.5546875" customWidth="1" min="3" max="3"/>
    <col width="32" customWidth="1" min="4" max="4"/>
    <col width="9.109375" customWidth="1" min="5" max="5"/>
  </cols>
  <sheetData>
    <row r="4" ht="15.75" customHeight="1">
      <c r="B4" s="223" t="inlineStr">
        <is>
          <t>Приложение № 10</t>
        </is>
      </c>
    </row>
    <row r="5" ht="18.75" customHeight="1">
      <c r="B5" s="12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29" t="n">
        <v>6.26</v>
      </c>
    </row>
    <row r="15" ht="89.2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9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9" t="n">
        <v>0.021</v>
      </c>
    </row>
    <row r="17" ht="15.75" customHeight="1">
      <c r="B17" s="229" t="inlineStr">
        <is>
          <t>Пусконаладочные работы*</t>
        </is>
      </c>
      <c r="C17" s="229" t="n"/>
      <c r="D17" s="229" t="inlineStr">
        <is>
          <t>Расчет</t>
        </is>
      </c>
    </row>
    <row r="18" ht="31.5" customHeight="1">
      <c r="B18" s="229" t="inlineStr">
        <is>
          <t>Строительный контроль</t>
        </is>
      </c>
      <c r="C18" s="22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229" t="inlineStr">
        <is>
          <t>Авторский надзор - 0,2%</t>
        </is>
      </c>
      <c r="C19" s="229" t="inlineStr">
        <is>
          <t>Приказ от 4.08.2020 № 421/пр п.173</t>
        </is>
      </c>
      <c r="D19" s="129" t="n">
        <v>0.002</v>
      </c>
    </row>
    <row r="20" ht="24" customHeight="1">
      <c r="B20" s="229" t="inlineStr">
        <is>
          <t>Непредвиденные расходы</t>
        </is>
      </c>
      <c r="C20" s="22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 Е.А. Князева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2" workbookViewId="0">
      <selection activeCell="F19" sqref="F19"/>
    </sheetView>
  </sheetViews>
  <sheetFormatPr baseColWidth="8" defaultRowHeight="14.4"/>
  <cols>
    <col width="9.109375" customWidth="1" min="1" max="1"/>
    <col width="44.88671875" customWidth="1" min="2" max="2"/>
    <col width="13" customWidth="1" min="3" max="3"/>
    <col width="22.88671875" customWidth="1" min="4" max="4"/>
    <col width="21.5546875" customWidth="1" min="5" max="5"/>
    <col width="43.88671875" customWidth="1" min="6" max="6"/>
    <col width="9.109375" customWidth="1" min="7" max="7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18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229" t="n"/>
      <c r="D10" s="229" t="n"/>
      <c r="E10" s="120" t="n">
        <v>3.2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121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123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n"/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2025-01-24T12:11:42Z</dcterms:modified>
  <cp:lastModifiedBy>user1</cp:lastModifiedBy>
  <cp:lastPrinted>2023-11-30T11:32:49Z</cp:lastPrinted>
</cp:coreProperties>
</file>