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040" windowHeight="7248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b val="1"/>
      <color rgb="FF000000"/>
      <sz val="10"/>
      <u val="single"/>
    </font>
    <font>
      <name val="Arial"/>
      <charset val="204"/>
      <family val="2"/>
      <color rgb="FF000000"/>
      <sz val="11"/>
    </font>
    <font>
      <name val="Times New Roman"/>
      <charset val="204"/>
      <family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8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30" fillId="0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horizontal="left" vertical="center" wrapText="1"/>
    </xf>
    <xf numFmtId="2" fontId="30" fillId="0" borderId="1" applyAlignment="1" pivotButton="0" quotePrefix="0" xfId="0">
      <alignment horizontal="center" vertical="center" wrapText="1"/>
    </xf>
    <xf numFmtId="2" fontId="30" fillId="0" borderId="1" applyAlignment="1" pivotButton="0" quotePrefix="0" xfId="0">
      <alignment horizontal="right" vertical="center" wrapText="1"/>
    </xf>
    <xf numFmtId="4" fontId="30" fillId="0" borderId="1" applyAlignment="1" pivotButton="0" quotePrefix="0" xfId="0">
      <alignment horizontal="right" vertical="center" wrapText="1"/>
    </xf>
    <xf numFmtId="10" fontId="30" fillId="0" borderId="2" applyAlignment="1" pivotButton="0" quotePrefix="0" xfId="0">
      <alignment horizontal="right" vertical="center" wrapText="1"/>
    </xf>
    <xf numFmtId="0" fontId="34" fillId="0" borderId="1" pivotButton="0" quotePrefix="0" xfId="0"/>
    <xf numFmtId="0" fontId="34" fillId="0" borderId="0" pivotButton="0" quotePrefix="0" xfId="0"/>
    <xf numFmtId="2" fontId="30" fillId="0" borderId="1" applyAlignment="1" pivotButton="0" quotePrefix="0" xfId="0">
      <alignment horizontal="left" vertical="center" wrapText="1"/>
    </xf>
    <xf numFmtId="0" fontId="34" fillId="0" borderId="1" applyAlignment="1" pivotButton="0" quotePrefix="0" xfId="0">
      <alignment horizontal="left" vertical="center"/>
    </xf>
    <xf numFmtId="4" fontId="30" fillId="0" borderId="1" applyAlignment="1" pivotButton="0" quotePrefix="0" xfId="0">
      <alignment horizontal="right" vertical="center"/>
    </xf>
    <xf numFmtId="10" fontId="30" fillId="0" borderId="1" applyAlignment="1" pivotButton="0" quotePrefix="0" xfId="0">
      <alignment horizontal="right" vertical="center"/>
    </xf>
    <xf numFmtId="0" fontId="30" fillId="0" borderId="1" applyAlignment="1" pivotButton="0" quotePrefix="0" xfId="0">
      <alignment horizontal="right" vertical="center"/>
    </xf>
    <xf numFmtId="167" fontId="30" fillId="0" borderId="1" applyAlignment="1" pivotButton="0" quotePrefix="0" xfId="0">
      <alignment horizontal="center" vertical="center" wrapText="1"/>
    </xf>
    <xf numFmtId="10" fontId="30" fillId="0" borderId="1" applyAlignment="1" pivotButton="0" quotePrefix="0" xfId="0">
      <alignment horizontal="right" vertical="center" wrapText="1"/>
    </xf>
    <xf numFmtId="2" fontId="32" fillId="0" borderId="1" applyAlignment="1" pivotButton="0" quotePrefix="0" xfId="0">
      <alignment horizontal="left" vertical="center" wrapText="1"/>
    </xf>
    <xf numFmtId="0" fontId="30" fillId="0" borderId="4" applyAlignment="1" pivotButton="0" quotePrefix="0" xfId="0">
      <alignment horizontal="center" vertical="center" wrapText="1"/>
    </xf>
    <xf numFmtId="2" fontId="30" fillId="0" borderId="4" applyAlignment="1" pivotButton="0" quotePrefix="0" xfId="0">
      <alignment horizontal="center" vertical="center" wrapText="1"/>
    </xf>
    <xf numFmtId="4" fontId="30" fillId="0" borderId="4" applyAlignment="1" pivotButton="0" quotePrefix="0" xfId="0">
      <alignment horizontal="right" vertical="center" wrapText="1"/>
    </xf>
    <xf numFmtId="10" fontId="30" fillId="0" borderId="3" applyAlignment="1" pivotButton="0" quotePrefix="0" xfId="0">
      <alignment horizontal="right" vertical="center" wrapText="1"/>
    </xf>
    <xf numFmtId="4" fontId="30" fillId="0" borderId="3" applyAlignment="1" pivotButton="0" quotePrefix="0" xfId="0">
      <alignment horizontal="right" vertical="center" wrapText="1"/>
    </xf>
    <xf numFmtId="0" fontId="30" fillId="0" borderId="1" applyAlignment="1" pivotButton="0" quotePrefix="0" xfId="0">
      <alignment horizontal="left" vertical="center" wrapText="1"/>
    </xf>
    <xf numFmtId="10" fontId="35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85" zoomScaleNormal="55" zoomScaleSheetLayoutView="85" workbookViewId="0">
      <selection activeCell="D16" sqref="D16"/>
    </sheetView>
  </sheetViews>
  <sheetFormatPr baseColWidth="8" defaultColWidth="9.109375" defaultRowHeight="15.6"/>
  <cols>
    <col width="9.109375" customWidth="1" style="116" min="1" max="2"/>
    <col width="51.6640625" customWidth="1" style="116" min="3" max="3"/>
    <col width="47" customWidth="1" style="116" min="4" max="4"/>
    <col width="37.44140625" customWidth="1" style="116" min="5" max="5"/>
    <col width="9.109375" customWidth="1" style="116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.15000000000001" customHeight="1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5" customHeight="1">
      <c r="B6" s="172" t="n"/>
      <c r="C6" s="172" t="n"/>
      <c r="D6" s="172" t="n"/>
    </row>
    <row r="7" ht="64.5" customHeight="1">
      <c r="B7" s="245" t="inlineStr">
        <is>
          <t>Наименование разрабатываемого показателя УНЦ - КТП, РП, РТП 6-20 кВ блочного типа (бетонные, сэндвич-панели)</t>
        </is>
      </c>
    </row>
    <row r="8" ht="31.65" customHeight="1">
      <c r="B8" s="245" t="inlineStr">
        <is>
          <t>Сопоставимый уровень цен: 3 кв. 2017</t>
        </is>
      </c>
    </row>
    <row r="9" ht="15.75" customHeight="1">
      <c r="B9" s="245" t="inlineStr">
        <is>
          <t>Единица измерения  — 1 ед.</t>
        </is>
      </c>
    </row>
    <row r="10">
      <c r="B10" s="245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56" t="n"/>
    </row>
    <row r="12" ht="96.75" customHeight="1">
      <c r="B12" s="248" t="n">
        <v>1</v>
      </c>
      <c r="C12" s="124" t="inlineStr">
        <is>
          <t>Наименование объекта-представителя</t>
        </is>
      </c>
      <c r="D12" s="248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48" t="n">
        <v>2</v>
      </c>
      <c r="C13" s="124" t="inlineStr">
        <is>
          <t>Наименование субъекта Российской Федерации</t>
        </is>
      </c>
      <c r="D13" s="248" t="inlineStr">
        <is>
          <t>Московская область</t>
        </is>
      </c>
    </row>
    <row r="14">
      <c r="B14" s="248" t="n">
        <v>3</v>
      </c>
      <c r="C14" s="124" t="inlineStr">
        <is>
          <t>Климатический район и подрайон</t>
        </is>
      </c>
      <c r="D14" s="248" t="inlineStr">
        <is>
          <t>IIВ</t>
        </is>
      </c>
    </row>
    <row r="15">
      <c r="B15" s="248" t="n">
        <v>4</v>
      </c>
      <c r="C15" s="124" t="inlineStr">
        <is>
          <t>Мощность объекта</t>
        </is>
      </c>
      <c r="D15" s="248" t="n">
        <v>1</v>
      </c>
    </row>
    <row r="16" ht="75" customHeight="1">
      <c r="B16" s="24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>КТП  блочного типа (бетонные, сэндвич-панели) 6-20 кВ, мощность 3150 кВА, кол-во трансформаторов 2 шт.</t>
        </is>
      </c>
    </row>
    <row r="17" ht="65.40000000000001" customHeight="1">
      <c r="B17" s="24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SUM(D18:D21)</f>
        <v/>
      </c>
      <c r="E17" s="171" t="n"/>
    </row>
    <row r="18">
      <c r="B18" s="155" t="inlineStr">
        <is>
          <t>6.1</t>
        </is>
      </c>
      <c r="C18" s="124" t="inlineStr">
        <is>
          <t>строительно-монтажные работы</t>
        </is>
      </c>
      <c r="D18" s="194">
        <f>32.94418+38.62804</f>
        <v/>
      </c>
    </row>
    <row r="19" ht="15.75" customHeight="1">
      <c r="B19" s="155" t="inlineStr">
        <is>
          <t>6.2</t>
        </is>
      </c>
      <c r="C19" s="124" t="inlineStr">
        <is>
          <t>оборудование и инвентарь</t>
        </is>
      </c>
      <c r="D19" s="194" t="n">
        <v>1058.25231</v>
      </c>
    </row>
    <row r="20" ht="16.5" customHeight="1">
      <c r="B20" s="155" t="inlineStr">
        <is>
          <t>6.3</t>
        </is>
      </c>
      <c r="C20" s="124" t="inlineStr">
        <is>
          <t>пусконаладочные работы</t>
        </is>
      </c>
      <c r="D20" s="194" t="n"/>
    </row>
    <row r="21" ht="24.6" customHeight="1">
      <c r="B21" s="155" t="inlineStr">
        <is>
          <t>6.4</t>
        </is>
      </c>
      <c r="C21" s="154" t="inlineStr">
        <is>
          <t>прочие и лимитированные затраты</t>
        </is>
      </c>
      <c r="D21" s="194">
        <f>D18*2.5%+(D18+D18*2.5%)*1.9%*0.9</f>
        <v/>
      </c>
    </row>
    <row r="22">
      <c r="B22" s="248" t="n">
        <v>7</v>
      </c>
      <c r="C22" s="154" t="inlineStr">
        <is>
          <t>Сопоставимый уровень цен</t>
        </is>
      </c>
      <c r="D22" s="195" t="inlineStr">
        <is>
          <t>3 кв. 2017</t>
        </is>
      </c>
      <c r="E22" s="152" t="n"/>
    </row>
    <row r="23" ht="67.8" customHeight="1">
      <c r="B23" s="248" t="n">
        <v>8</v>
      </c>
      <c r="C23" s="1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71" t="n"/>
    </row>
    <row r="24" ht="34.2" customHeight="1">
      <c r="B24" s="24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E24" s="152" t="n"/>
    </row>
    <row r="25" ht="21" customHeight="1">
      <c r="B25" s="248" t="n">
        <v>10</v>
      </c>
      <c r="C25" s="124" t="inlineStr">
        <is>
          <t>Примечание</t>
        </is>
      </c>
      <c r="D25" s="248" t="n"/>
    </row>
    <row r="26">
      <c r="B26" s="151" t="n"/>
      <c r="C26" s="150" t="n"/>
      <c r="D26" s="150" t="n"/>
    </row>
    <row r="27" ht="17.4" customHeight="1">
      <c r="B27" s="149" t="n"/>
    </row>
    <row r="28">
      <c r="B28" s="116" t="inlineStr">
        <is>
          <t>Составил ______________________    Д.Ю. Нефедова</t>
        </is>
      </c>
    </row>
    <row r="29">
      <c r="B29" s="149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zoomScaleNormal="70" zoomScaleSheetLayoutView="100" workbookViewId="0">
      <selection activeCell="M16" sqref="M16"/>
    </sheetView>
  </sheetViews>
  <sheetFormatPr baseColWidth="8" defaultColWidth="9.109375" defaultRowHeight="15.6"/>
  <cols>
    <col width="5.5546875" customWidth="1" style="116" min="1" max="1"/>
    <col width="9.109375" customWidth="1" style="116" min="2" max="2"/>
    <col width="35.33203125" customWidth="1" style="116" min="3" max="3"/>
    <col width="13.88671875" customWidth="1" style="116" min="4" max="4"/>
    <col width="24.88671875" customWidth="1" style="116" min="5" max="5"/>
    <col width="15.5546875" customWidth="1" style="116" min="6" max="6"/>
    <col width="14.88671875" customWidth="1" style="116" min="7" max="7"/>
    <col width="16.6640625" customWidth="1" style="116" min="8" max="8"/>
    <col width="13" customWidth="1" style="116" min="9" max="10"/>
    <col width="9.109375" customWidth="1" style="116" min="11" max="11"/>
  </cols>
  <sheetData>
    <row r="3">
      <c r="B3" s="243" t="inlineStr">
        <is>
          <t>Приложение № 2</t>
        </is>
      </c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57" t="n"/>
      <c r="C5" s="157" t="n"/>
      <c r="D5" s="157" t="n"/>
      <c r="E5" s="157" t="n"/>
      <c r="F5" s="157" t="n"/>
      <c r="G5" s="157" t="n"/>
      <c r="H5" s="157" t="n"/>
      <c r="I5" s="157" t="n"/>
      <c r="J5" s="157" t="n"/>
    </row>
    <row r="6" ht="29.25" customHeight="1">
      <c r="B6" s="245">
        <f>'Прил.1 Сравнит табл'!B7:D7</f>
        <v/>
      </c>
    </row>
    <row r="7">
      <c r="B7" s="245">
        <f>'Прил.1 Сравнит табл'!B9:D9</f>
        <v/>
      </c>
    </row>
    <row r="8" ht="18.45" customHeight="1">
      <c r="B8" s="126" t="n"/>
    </row>
    <row r="9" ht="15.75" customFormat="1" customHeight="1" s="116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Format="1" customHeight="1" s="116">
      <c r="B10" s="328" t="n"/>
      <c r="C10" s="328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3 кв. 2017 г., тыс. руб.</t>
        </is>
      </c>
      <c r="G10" s="326" t="n"/>
      <c r="H10" s="326" t="n"/>
      <c r="I10" s="326" t="n"/>
      <c r="J10" s="327" t="n"/>
    </row>
    <row r="11" ht="31.5" customFormat="1" customHeight="1" s="116">
      <c r="B11" s="329" t="n"/>
      <c r="C11" s="329" t="n"/>
      <c r="D11" s="329" t="n"/>
      <c r="E11" s="329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63" customFormat="1" customHeight="1" s="116">
      <c r="B12" s="248" t="n">
        <v>1</v>
      </c>
      <c r="C12" s="248" t="inlineStr">
        <is>
          <t>КТП  блочного типа (бетонные, сэндвич-панели) 6-20 кВ, мощность 25 кВА, кол-во трансформаторов 1 шт.</t>
        </is>
      </c>
      <c r="D12" s="155" t="inlineStr">
        <is>
          <t>2-4</t>
        </is>
      </c>
      <c r="E12" s="124" t="inlineStr">
        <is>
          <t>КТП-250-10-0,4 кВ (КТП №5)</t>
        </is>
      </c>
      <c r="F12" s="330">
        <f>4747/1000*6.94</f>
        <v/>
      </c>
      <c r="G12" s="330">
        <f>5566/1000*6.94</f>
        <v/>
      </c>
      <c r="H12" s="330">
        <f>242163/1000*4.37</f>
        <v/>
      </c>
      <c r="I12" s="330" t="n"/>
      <c r="J12" s="330">
        <f>SUM(F12:I12)</f>
        <v/>
      </c>
      <c r="K12" s="331" t="n"/>
      <c r="L12" s="331" t="n"/>
    </row>
    <row r="13" ht="15.6" customFormat="1" customHeight="1" s="116">
      <c r="B13" s="247" t="inlineStr">
        <is>
          <t>Всего по объекту:</t>
        </is>
      </c>
      <c r="C13" s="326" t="n"/>
      <c r="D13" s="326" t="n"/>
      <c r="E13" s="327" t="n"/>
      <c r="F13" s="332">
        <f>SUM(F12:F12)</f>
        <v/>
      </c>
      <c r="G13" s="332">
        <f>SUM(G12:G12)</f>
        <v/>
      </c>
      <c r="H13" s="332">
        <f>SUM(H12:H12)</f>
        <v/>
      </c>
      <c r="I13" s="332">
        <f>SUM(I12:I12)</f>
        <v/>
      </c>
      <c r="J13" s="332">
        <f>SUM(F13:I13)</f>
        <v/>
      </c>
    </row>
    <row r="14" ht="28.5" customFormat="1" customHeight="1" s="116">
      <c r="B14" s="247" t="inlineStr">
        <is>
          <t>Всего по объекту в сопоставимом уровне цен 3 кв. 2017 г:</t>
        </is>
      </c>
      <c r="C14" s="326" t="n"/>
      <c r="D14" s="326" t="n"/>
      <c r="E14" s="327" t="n"/>
      <c r="F14" s="333">
        <f>F13</f>
        <v/>
      </c>
      <c r="G14" s="333">
        <f>G13</f>
        <v/>
      </c>
      <c r="H14" s="333">
        <f>H13</f>
        <v/>
      </c>
      <c r="I14" s="333">
        <f>I13</f>
        <v/>
      </c>
      <c r="J14" s="333">
        <f>SUM(F14:I14)</f>
        <v/>
      </c>
    </row>
    <row r="15" ht="15.6" customFormat="1" customHeight="1" s="116">
      <c r="B15" s="245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49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49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5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zoomScale="85" zoomScaleSheetLayoutView="85" workbookViewId="0">
      <selection activeCell="O17" sqref="O17"/>
    </sheetView>
  </sheetViews>
  <sheetFormatPr baseColWidth="8" defaultColWidth="9.109375" defaultRowHeight="15.6"/>
  <cols>
    <col width="9.109375" customWidth="1" style="116" min="1" max="1"/>
    <col width="12.5546875" customWidth="1" style="116" min="2" max="2"/>
    <col width="22.44140625" customWidth="1" style="116" min="3" max="3"/>
    <col width="49.6640625" customWidth="1" style="116" min="4" max="4"/>
    <col width="10.109375" customWidth="1" style="116" min="5" max="5"/>
    <col width="20.6640625" customWidth="1" style="116" min="6" max="6"/>
    <col width="20" customWidth="1" style="184" min="7" max="7"/>
    <col width="16.6640625" customWidth="1" style="116" min="8" max="8"/>
    <col width="9.109375" customWidth="1" style="116" min="9" max="9"/>
    <col width="15" customWidth="1" min="11" max="11"/>
    <col width="9.109375" customWidth="1" style="116" min="14" max="14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45" customHeight="1">
      <c r="A4" s="179" t="n"/>
      <c r="B4" s="179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49" t="inlineStr">
        <is>
          <t>Наименование разрабатываемого показателя УНЦ -  КТП, РП, РТП 6-20 кВ блочного типа (бетонные, сэндвич-панели)</t>
        </is>
      </c>
    </row>
    <row r="7">
      <c r="A7" s="249" t="n"/>
      <c r="B7" s="249" t="n"/>
      <c r="C7" s="249" t="n"/>
      <c r="D7" s="249" t="n"/>
      <c r="E7" s="249" t="n"/>
      <c r="F7" s="249" t="n"/>
      <c r="G7" s="185" t="n"/>
      <c r="H7" s="249" t="n"/>
    </row>
    <row r="8" ht="38.25" customHeight="1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7" t="n"/>
    </row>
    <row r="9" ht="40.65" customHeight="1">
      <c r="A9" s="329" t="n"/>
      <c r="B9" s="329" t="n"/>
      <c r="C9" s="329" t="n"/>
      <c r="D9" s="329" t="n"/>
      <c r="E9" s="329" t="n"/>
      <c r="F9" s="329" t="n"/>
      <c r="G9" s="186" t="inlineStr">
        <is>
          <t>на ед.изм.</t>
        </is>
      </c>
      <c r="H9" s="248" t="inlineStr">
        <is>
          <t>общая</t>
        </is>
      </c>
    </row>
    <row r="10">
      <c r="A10" s="164" t="n">
        <v>1</v>
      </c>
      <c r="B10" s="164" t="n"/>
      <c r="C10" s="164" t="n">
        <v>2</v>
      </c>
      <c r="D10" s="164" t="inlineStr">
        <is>
          <t>З</t>
        </is>
      </c>
      <c r="E10" s="164" t="n">
        <v>4</v>
      </c>
      <c r="F10" s="164" t="n">
        <v>5</v>
      </c>
      <c r="G10" s="187" t="n">
        <v>6</v>
      </c>
      <c r="H10" s="164" t="n">
        <v>7</v>
      </c>
    </row>
    <row r="11" customFormat="1" s="160">
      <c r="A11" s="252" t="inlineStr">
        <is>
          <t>Затраты труда рабочих</t>
        </is>
      </c>
      <c r="B11" s="326" t="n"/>
      <c r="C11" s="326" t="n"/>
      <c r="D11" s="326" t="n"/>
      <c r="E11" s="327" t="n"/>
      <c r="F11" s="334">
        <f>SUM(F12:F25)</f>
        <v/>
      </c>
      <c r="G11" s="188" t="n"/>
      <c r="H11" s="334">
        <f>SUM(H12:H25)</f>
        <v/>
      </c>
    </row>
    <row r="12">
      <c r="A12" s="277" t="n">
        <v>1</v>
      </c>
      <c r="B12" s="163" t="n"/>
      <c r="C12" s="142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277" t="inlineStr">
        <is>
          <t>чел.-ч</t>
        </is>
      </c>
      <c r="F12" s="142" t="n">
        <v>511.15</v>
      </c>
      <c r="G12" s="181" t="n">
        <v>9.4</v>
      </c>
      <c r="H12" s="173">
        <f>ROUND(F12*G12,2)</f>
        <v/>
      </c>
    </row>
    <row r="13">
      <c r="A13" s="277" t="n">
        <v>2</v>
      </c>
      <c r="B13" s="163" t="n"/>
      <c r="C13" s="142" t="inlineStr">
        <is>
          <t>1-3-3</t>
        </is>
      </c>
      <c r="D13" s="257" t="inlineStr">
        <is>
          <t>Затраты труда рабочих (средний разряд работы 3,3)</t>
        </is>
      </c>
      <c r="E13" s="277" t="inlineStr">
        <is>
          <t>чел.-ч</t>
        </is>
      </c>
      <c r="F13" s="142" t="n">
        <v>150.91</v>
      </c>
      <c r="G13" s="181" t="n">
        <v>8.859999999999999</v>
      </c>
      <c r="H13" s="173">
        <f>ROUND(F13*G13,2)</f>
        <v/>
      </c>
    </row>
    <row r="14">
      <c r="A14" s="277" t="n">
        <v>3</v>
      </c>
      <c r="B14" s="163" t="n"/>
      <c r="C14" s="142" t="inlineStr">
        <is>
          <t>1-3-2</t>
        </is>
      </c>
      <c r="D14" s="257" t="inlineStr">
        <is>
          <t>Затраты труда рабочих (средний разряд работы 3,2)</t>
        </is>
      </c>
      <c r="E14" s="277" t="inlineStr">
        <is>
          <t>чел.-ч</t>
        </is>
      </c>
      <c r="F14" s="142" t="n">
        <v>126.22</v>
      </c>
      <c r="G14" s="181" t="n">
        <v>8.74</v>
      </c>
      <c r="H14" s="173">
        <f>ROUND(F14*G14,2)</f>
        <v/>
      </c>
    </row>
    <row r="15">
      <c r="A15" s="277" t="n">
        <v>4</v>
      </c>
      <c r="B15" s="163" t="n"/>
      <c r="C15" s="142" t="inlineStr">
        <is>
          <t>1-3-5</t>
        </is>
      </c>
      <c r="D15" s="257" t="inlineStr">
        <is>
          <t>Затраты труда рабочих (средний разряд работы 3,5)</t>
        </is>
      </c>
      <c r="E15" s="277" t="inlineStr">
        <is>
          <t>чел.-ч</t>
        </is>
      </c>
      <c r="F15" s="142" t="n">
        <v>89.06</v>
      </c>
      <c r="G15" s="181" t="n">
        <v>9.07</v>
      </c>
      <c r="H15" s="173">
        <f>ROUND(F15*G15,2)</f>
        <v/>
      </c>
    </row>
    <row r="16">
      <c r="A16" s="277" t="n">
        <v>5</v>
      </c>
      <c r="B16" s="163" t="n"/>
      <c r="C16" s="142" t="inlineStr">
        <is>
          <t>1-2-0</t>
        </is>
      </c>
      <c r="D16" s="257" t="inlineStr">
        <is>
          <t>Затраты труда рабочих (средний разряд работы 2,0)</t>
        </is>
      </c>
      <c r="E16" s="277" t="inlineStr">
        <is>
          <t>чел.-ч</t>
        </is>
      </c>
      <c r="F16" s="142" t="n">
        <v>93.2</v>
      </c>
      <c r="G16" s="181" t="n">
        <v>7.8</v>
      </c>
      <c r="H16" s="173">
        <f>ROUND(F16*G16,2)</f>
        <v/>
      </c>
    </row>
    <row r="17">
      <c r="A17" s="277" t="n">
        <v>6</v>
      </c>
      <c r="B17" s="163" t="n"/>
      <c r="C17" s="142" t="inlineStr">
        <is>
          <t>1-2-5</t>
        </is>
      </c>
      <c r="D17" s="257" t="inlineStr">
        <is>
          <t>Затраты труда рабочих (средний разряд работы 2,5)</t>
        </is>
      </c>
      <c r="E17" s="277" t="inlineStr">
        <is>
          <t>чел.-ч</t>
        </is>
      </c>
      <c r="F17" s="142" t="n">
        <v>56.79</v>
      </c>
      <c r="G17" s="181" t="n">
        <v>8.17</v>
      </c>
      <c r="H17" s="173">
        <f>ROUND(F17*G17,2)</f>
        <v/>
      </c>
    </row>
    <row r="18">
      <c r="A18" s="277" t="n">
        <v>7</v>
      </c>
      <c r="B18" s="163" t="n"/>
      <c r="C18" s="142" t="inlineStr">
        <is>
          <t>1-4-0</t>
        </is>
      </c>
      <c r="D18" s="257" t="inlineStr">
        <is>
          <t>Затраты труда рабочих (средний разряд работы 4,0)</t>
        </is>
      </c>
      <c r="E18" s="277" t="inlineStr">
        <is>
          <t>чел.-ч</t>
        </is>
      </c>
      <c r="F18" s="142" t="n">
        <v>43.5</v>
      </c>
      <c r="G18" s="181" t="n">
        <v>9.619999999999999</v>
      </c>
      <c r="H18" s="173">
        <f>ROUND(F18*G18,2)</f>
        <v/>
      </c>
    </row>
    <row r="19">
      <c r="A19" s="277" t="n">
        <v>8</v>
      </c>
      <c r="B19" s="163" t="n"/>
      <c r="C19" s="142" t="inlineStr">
        <is>
          <t>1-1-5</t>
        </is>
      </c>
      <c r="D19" s="257" t="inlineStr">
        <is>
          <t>Затраты труда рабочих (средний разряд работы 1,5)</t>
        </is>
      </c>
      <c r="E19" s="277" t="inlineStr">
        <is>
          <t>чел.-ч</t>
        </is>
      </c>
      <c r="F19" s="142" t="n">
        <v>54.77</v>
      </c>
      <c r="G19" s="181" t="n">
        <v>7.5</v>
      </c>
      <c r="H19" s="173">
        <f>ROUND(F19*G19,2)</f>
        <v/>
      </c>
    </row>
    <row r="20">
      <c r="A20" s="277" t="n">
        <v>9</v>
      </c>
      <c r="B20" s="163" t="n"/>
      <c r="C20" s="142" t="inlineStr">
        <is>
          <t>1-3-6</t>
        </is>
      </c>
      <c r="D20" s="257" t="inlineStr">
        <is>
          <t>Затраты труда рабочих (средний разряд работы 3,6)</t>
        </is>
      </c>
      <c r="E20" s="277" t="inlineStr">
        <is>
          <t>чел.-ч</t>
        </is>
      </c>
      <c r="F20" s="142" t="n">
        <v>38.97</v>
      </c>
      <c r="G20" s="181" t="n">
        <v>9.18</v>
      </c>
      <c r="H20" s="173">
        <f>ROUND(F20*G20,2)</f>
        <v/>
      </c>
    </row>
    <row r="21">
      <c r="A21" s="277" t="n">
        <v>10</v>
      </c>
      <c r="B21" s="163" t="n"/>
      <c r="C21" s="142" t="inlineStr">
        <is>
          <t>1-4-2</t>
        </is>
      </c>
      <c r="D21" s="257" t="inlineStr">
        <is>
          <t>Затраты труда рабочих (средний разряд работы 4,2)</t>
        </is>
      </c>
      <c r="E21" s="277" t="inlineStr">
        <is>
          <t>чел.-ч</t>
        </is>
      </c>
      <c r="F21" s="142" t="n">
        <v>24.98</v>
      </c>
      <c r="G21" s="181" t="n">
        <v>9.92</v>
      </c>
      <c r="H21" s="173">
        <f>ROUND(F21*G21,2)</f>
        <v/>
      </c>
    </row>
    <row r="22">
      <c r="A22" s="277" t="n">
        <v>11</v>
      </c>
      <c r="B22" s="163" t="n"/>
      <c r="C22" s="142" t="inlineStr">
        <is>
          <t>1-3-0</t>
        </is>
      </c>
      <c r="D22" s="257" t="inlineStr">
        <is>
          <t>Затраты труда рабочих (средний разряд работы 3,0)</t>
        </is>
      </c>
      <c r="E22" s="277" t="inlineStr">
        <is>
          <t>чел.-ч</t>
        </is>
      </c>
      <c r="F22" s="142" t="n">
        <v>27.26</v>
      </c>
      <c r="G22" s="181" t="n">
        <v>8.529999999999999</v>
      </c>
      <c r="H22" s="173">
        <f>ROUND(F22*G22,2)</f>
        <v/>
      </c>
    </row>
    <row r="23">
      <c r="A23" s="277" t="n">
        <v>12</v>
      </c>
      <c r="B23" s="163" t="n"/>
      <c r="C23" s="142" t="inlineStr">
        <is>
          <t>1-4-7</t>
        </is>
      </c>
      <c r="D23" s="257" t="inlineStr">
        <is>
          <t>Затраты труда рабочих (средний разряд работы 4,7)</t>
        </is>
      </c>
      <c r="E23" s="277" t="inlineStr">
        <is>
          <t>чел.-ч</t>
        </is>
      </c>
      <c r="F23" s="142" t="n">
        <v>10.2</v>
      </c>
      <c r="G23" s="181" t="n">
        <v>10.65</v>
      </c>
      <c r="H23" s="173">
        <f>ROUND(F23*G23,2)</f>
        <v/>
      </c>
    </row>
    <row r="24">
      <c r="A24" s="277" t="n">
        <v>13</v>
      </c>
      <c r="B24" s="163" t="n"/>
      <c r="C24" s="142" t="inlineStr">
        <is>
          <t>1-4-4</t>
        </is>
      </c>
      <c r="D24" s="257" t="inlineStr">
        <is>
          <t>Затраты труда рабочих (средний разряд работы 4,4)</t>
        </is>
      </c>
      <c r="E24" s="277" t="inlineStr">
        <is>
          <t>чел.-ч</t>
        </is>
      </c>
      <c r="F24" s="142" t="n">
        <v>5.11</v>
      </c>
      <c r="G24" s="181" t="n">
        <v>10.21</v>
      </c>
      <c r="H24" s="173">
        <f>ROUND(F24*G24,2)</f>
        <v/>
      </c>
    </row>
    <row r="25">
      <c r="A25" s="277" t="n">
        <v>14</v>
      </c>
      <c r="B25" s="163" t="n"/>
      <c r="C25" s="142" t="inlineStr">
        <is>
          <t>1-3-7</t>
        </is>
      </c>
      <c r="D25" s="257" t="inlineStr">
        <is>
          <t>Затраты труда рабочих (средний разряд работы 3,7)</t>
        </is>
      </c>
      <c r="E25" s="277" t="inlineStr">
        <is>
          <t>чел.-ч</t>
        </is>
      </c>
      <c r="F25" s="142" t="n">
        <v>4.11</v>
      </c>
      <c r="G25" s="181" t="n">
        <v>9.289999999999999</v>
      </c>
      <c r="H25" s="173">
        <f>ROUND(F25*G25,2)</f>
        <v/>
      </c>
    </row>
    <row r="26">
      <c r="A26" s="251" t="inlineStr">
        <is>
          <t>Затраты труда машинистов</t>
        </is>
      </c>
      <c r="B26" s="326" t="n"/>
      <c r="C26" s="326" t="n"/>
      <c r="D26" s="326" t="n"/>
      <c r="E26" s="327" t="n"/>
      <c r="F26" s="252" t="n"/>
      <c r="G26" s="161" t="n"/>
      <c r="H26" s="334">
        <f>H27</f>
        <v/>
      </c>
    </row>
    <row r="27">
      <c r="A27" s="277" t="n">
        <v>15</v>
      </c>
      <c r="B27" s="253" t="n"/>
      <c r="C27" s="182" t="n">
        <v>2</v>
      </c>
      <c r="D27" s="175" t="inlineStr">
        <is>
          <t>Затраты труда машинистов(справочно)</t>
        </is>
      </c>
      <c r="E27" s="277" t="inlineStr">
        <is>
          <t>чел.-ч</t>
        </is>
      </c>
      <c r="F27" s="277" t="n">
        <v>82.47</v>
      </c>
      <c r="G27" s="173" t="n"/>
      <c r="H27" s="183" t="n">
        <v>1205.27</v>
      </c>
    </row>
    <row r="28" customFormat="1" s="160">
      <c r="A28" s="252" t="inlineStr">
        <is>
          <t>Машины и механизмы</t>
        </is>
      </c>
      <c r="B28" s="326" t="n"/>
      <c r="C28" s="326" t="n"/>
      <c r="D28" s="326" t="n"/>
      <c r="E28" s="327" t="n"/>
      <c r="F28" s="252" t="n"/>
      <c r="G28" s="161" t="n"/>
      <c r="H28" s="334">
        <f>SUM(H29:H59)</f>
        <v/>
      </c>
    </row>
    <row r="29" ht="25.95" customHeight="1">
      <c r="A29" s="277" t="n">
        <v>16</v>
      </c>
      <c r="B29" s="253" t="n"/>
      <c r="C29" s="142" t="inlineStr">
        <is>
          <t>91.05.08-009</t>
        </is>
      </c>
      <c r="D29" s="257" t="inlineStr">
        <is>
          <t>Краны на пневмоколесном ходу, грузоподъемность 63 т</t>
        </is>
      </c>
      <c r="E29" s="258" t="inlineStr">
        <is>
          <t>маш.-ч</t>
        </is>
      </c>
      <c r="F29" s="142" t="n">
        <v>31.98</v>
      </c>
      <c r="G29" s="183" t="n">
        <v>271.77</v>
      </c>
      <c r="H29" s="173">
        <f>ROUND(F29*G29,2)</f>
        <v/>
      </c>
      <c r="I29" s="178" t="n"/>
    </row>
    <row r="30" customFormat="1" s="160">
      <c r="A30" s="277" t="n">
        <v>17</v>
      </c>
      <c r="B30" s="253" t="n"/>
      <c r="C30" s="142" t="inlineStr">
        <is>
          <t>91.05.06-009</t>
        </is>
      </c>
      <c r="D30" s="257" t="inlineStr">
        <is>
          <t>Краны на гусеничном ходу, грузоподъемность 50-63 т</t>
        </is>
      </c>
      <c r="E30" s="258" t="inlineStr">
        <is>
          <t>маш.-ч</t>
        </is>
      </c>
      <c r="F30" s="142" t="n">
        <v>8.960000000000001</v>
      </c>
      <c r="G30" s="183" t="n">
        <v>290.01</v>
      </c>
      <c r="H30" s="173">
        <f>ROUND(F30*G30,2)</f>
        <v/>
      </c>
      <c r="I30" s="178" t="n"/>
    </row>
    <row r="31">
      <c r="A31" s="277" t="n">
        <v>18</v>
      </c>
      <c r="B31" s="253" t="n"/>
      <c r="C31" s="142" t="inlineStr">
        <is>
          <t>91.05.01-017</t>
        </is>
      </c>
      <c r="D31" s="257" t="inlineStr">
        <is>
          <t>Краны башенные, грузоподъемность 8 т</t>
        </is>
      </c>
      <c r="E31" s="258" t="inlineStr">
        <is>
          <t>маш.-ч</t>
        </is>
      </c>
      <c r="F31" s="142" t="n">
        <v>9.539999999999999</v>
      </c>
      <c r="G31" s="183" t="n">
        <v>86.40000000000001</v>
      </c>
      <c r="H31" s="173">
        <f>ROUND(F31*G31,2)</f>
        <v/>
      </c>
      <c r="I31" s="178" t="n"/>
    </row>
    <row r="32" ht="38.85" customHeight="1">
      <c r="A32" s="277" t="n">
        <v>19</v>
      </c>
      <c r="B32" s="253" t="n"/>
      <c r="C32" s="142" t="inlineStr">
        <is>
          <t>91.18.01-007</t>
        </is>
      </c>
      <c r="D32" s="25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58" t="inlineStr">
        <is>
          <t>маш.-ч</t>
        </is>
      </c>
      <c r="F32" s="142" t="n">
        <v>7.85</v>
      </c>
      <c r="G32" s="183" t="n">
        <v>90</v>
      </c>
      <c r="H32" s="173">
        <f>ROUND(F32*G32,2)</f>
        <v/>
      </c>
      <c r="I32" s="178" t="n"/>
    </row>
    <row r="33" ht="25.95" customHeight="1">
      <c r="A33" s="277" t="n">
        <v>20</v>
      </c>
      <c r="B33" s="253" t="n"/>
      <c r="C33" s="142" t="inlineStr">
        <is>
          <t>91.15.02-024</t>
        </is>
      </c>
      <c r="D33" s="257" t="inlineStr">
        <is>
          <t>Тракторы на гусеничном ходу, мощность 79 кВт (108 л.с.)</t>
        </is>
      </c>
      <c r="E33" s="258" t="inlineStr">
        <is>
          <t>маш.-ч</t>
        </is>
      </c>
      <c r="F33" s="142" t="n">
        <v>6.82</v>
      </c>
      <c r="G33" s="183" t="n">
        <v>83.09999999999999</v>
      </c>
      <c r="H33" s="173">
        <f>ROUND(F33*G33,2)</f>
        <v/>
      </c>
      <c r="I33" s="178" t="n"/>
    </row>
    <row r="34">
      <c r="A34" s="277" t="n">
        <v>21</v>
      </c>
      <c r="B34" s="253" t="n"/>
      <c r="C34" s="142" t="inlineStr">
        <is>
          <t>91.14.02-001</t>
        </is>
      </c>
      <c r="D34" s="257" t="inlineStr">
        <is>
          <t>Автомобили бортовые, грузоподъемность: до 5 т</t>
        </is>
      </c>
      <c r="E34" s="258" t="inlineStr">
        <is>
          <t>маш.час</t>
        </is>
      </c>
      <c r="F34" s="142" t="n">
        <v>8.02</v>
      </c>
      <c r="G34" s="183" t="n">
        <v>65.70999999999999</v>
      </c>
      <c r="H34" s="173">
        <f>ROUND(F34*G34,2)</f>
        <v/>
      </c>
      <c r="I34" s="178" t="n"/>
    </row>
    <row r="35" ht="25.95" customHeight="1">
      <c r="A35" s="277" t="n">
        <v>22</v>
      </c>
      <c r="B35" s="253" t="n"/>
      <c r="C35" s="142" t="inlineStr">
        <is>
          <t>91.17.04-233</t>
        </is>
      </c>
      <c r="D35" s="257" t="inlineStr">
        <is>
          <t>Установки для сварки: ручной дуговой (постоянного тока)</t>
        </is>
      </c>
      <c r="E35" s="258" t="inlineStr">
        <is>
          <t>маш.час</t>
        </is>
      </c>
      <c r="F35" s="142" t="n">
        <v>48.3</v>
      </c>
      <c r="G35" s="183" t="n">
        <v>8.1</v>
      </c>
      <c r="H35" s="173">
        <f>ROUND(F35*G35,2)</f>
        <v/>
      </c>
      <c r="I35" s="178" t="n"/>
    </row>
    <row r="36" ht="26.4" customHeight="1">
      <c r="A36" s="277" t="n">
        <v>23</v>
      </c>
      <c r="B36" s="253" t="n"/>
      <c r="C36" s="142" t="inlineStr">
        <is>
          <t>91.05.05-014</t>
        </is>
      </c>
      <c r="D36" s="257" t="inlineStr">
        <is>
          <t>Краны на автомобильном ходу, грузоподъемность 10 т</t>
        </is>
      </c>
      <c r="E36" s="258" t="inlineStr">
        <is>
          <t>маш.час</t>
        </is>
      </c>
      <c r="F36" s="142" t="n">
        <v>1.84</v>
      </c>
      <c r="G36" s="183" t="n">
        <v>111.99</v>
      </c>
      <c r="H36" s="173">
        <f>ROUND(F36*G36,2)</f>
        <v/>
      </c>
    </row>
    <row r="37" ht="25.95" customHeight="1">
      <c r="A37" s="277" t="n">
        <v>24</v>
      </c>
      <c r="B37" s="253" t="n"/>
      <c r="C37" s="142" t="inlineStr">
        <is>
          <t>91.01.05-084</t>
        </is>
      </c>
      <c r="D37" s="257" t="inlineStr">
        <is>
          <t>Экскаваторы одноковшовые дизельные на гусеничном ходу, емкость ковша 0,4 м3</t>
        </is>
      </c>
      <c r="E37" s="258" t="inlineStr">
        <is>
          <t>маш.час</t>
        </is>
      </c>
      <c r="F37" s="142" t="n">
        <v>3.23</v>
      </c>
      <c r="G37" s="183" t="n">
        <v>54.81</v>
      </c>
      <c r="H37" s="173">
        <f>ROUND(F37*G37,2)</f>
        <v/>
      </c>
    </row>
    <row r="38" ht="25.95" customHeight="1">
      <c r="A38" s="277" t="n">
        <v>25</v>
      </c>
      <c r="B38" s="253" t="n"/>
      <c r="C38" s="142" t="inlineStr">
        <is>
          <t>91.06.05-057</t>
        </is>
      </c>
      <c r="D38" s="257" t="inlineStr">
        <is>
          <t>Погрузчики одноковшовые универсальные фронтальные пневмоколесные, грузоподъемность 3 т</t>
        </is>
      </c>
      <c r="E38" s="258" t="inlineStr">
        <is>
          <t>маш.час</t>
        </is>
      </c>
      <c r="F38" s="142" t="n">
        <v>1.89</v>
      </c>
      <c r="G38" s="183" t="n">
        <v>90.40000000000001</v>
      </c>
      <c r="H38" s="173">
        <f>ROUND(F38*G38,2)</f>
        <v/>
      </c>
    </row>
    <row r="39">
      <c r="A39" s="277" t="n">
        <v>26</v>
      </c>
      <c r="B39" s="253" t="n"/>
      <c r="C39" s="142" t="inlineStr">
        <is>
          <t>91.01.01-034</t>
        </is>
      </c>
      <c r="D39" s="257" t="inlineStr">
        <is>
          <t>Бульдозеры, мощность 59 кВт (80 л.с.)</t>
        </is>
      </c>
      <c r="E39" s="258" t="inlineStr">
        <is>
          <t>маш.час</t>
        </is>
      </c>
      <c r="F39" s="142" t="n">
        <v>1.01</v>
      </c>
      <c r="G39" s="183" t="n">
        <v>59.47</v>
      </c>
      <c r="H39" s="173">
        <f>ROUND(F39*G39,2)</f>
        <v/>
      </c>
    </row>
    <row r="40">
      <c r="A40" s="277" t="n">
        <v>27</v>
      </c>
      <c r="B40" s="253" t="n"/>
      <c r="C40" s="142" t="inlineStr">
        <is>
          <t>91.05.01-025</t>
        </is>
      </c>
      <c r="D40" s="257" t="inlineStr">
        <is>
          <t>Краны башенные, грузоподъемность 25-75 т</t>
        </is>
      </c>
      <c r="E40" s="258" t="inlineStr">
        <is>
          <t>маш.час</t>
        </is>
      </c>
      <c r="F40" s="142" t="n">
        <v>0.19</v>
      </c>
      <c r="G40" s="183" t="n">
        <v>312.21</v>
      </c>
      <c r="H40" s="173">
        <f>ROUND(F40*G40,2)</f>
        <v/>
      </c>
    </row>
    <row r="41">
      <c r="A41" s="277" t="n">
        <v>28</v>
      </c>
      <c r="B41" s="253" t="n"/>
      <c r="C41" s="142" t="inlineStr">
        <is>
          <t>91.05.02-005</t>
        </is>
      </c>
      <c r="D41" s="257" t="inlineStr">
        <is>
          <t>Краны козловые, грузоподъемность 32 т</t>
        </is>
      </c>
      <c r="E41" s="258" t="inlineStr">
        <is>
          <t>маш.час</t>
        </is>
      </c>
      <c r="F41" s="142" t="n">
        <v>0.47</v>
      </c>
      <c r="G41" s="183" t="n">
        <v>120.24</v>
      </c>
      <c r="H41" s="173">
        <f>ROUND(F41*G41,2)</f>
        <v/>
      </c>
    </row>
    <row r="42" ht="51.6" customHeight="1">
      <c r="A42" s="277" t="n">
        <v>29</v>
      </c>
      <c r="B42" s="253" t="n"/>
      <c r="C42" s="142" t="inlineStr">
        <is>
          <t>91.10.09-012</t>
        </is>
      </c>
      <c r="D42" s="25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58" t="inlineStr">
        <is>
          <t>маш.час</t>
        </is>
      </c>
      <c r="F42" s="142" t="n">
        <v>1.44</v>
      </c>
      <c r="G42" s="183" t="n">
        <v>26.32</v>
      </c>
      <c r="H42" s="173">
        <f>ROUND(F42*G42,2)</f>
        <v/>
      </c>
    </row>
    <row r="43">
      <c r="A43" s="277" t="n">
        <v>30</v>
      </c>
      <c r="B43" s="253" t="n"/>
      <c r="C43" s="142" t="inlineStr">
        <is>
          <t>91.05.06-012</t>
        </is>
      </c>
      <c r="D43" s="257" t="inlineStr">
        <is>
          <t>Краны на гусеничном ходу, грузоподъемность до 16 т</t>
        </is>
      </c>
      <c r="E43" s="258" t="inlineStr">
        <is>
          <t>маш.час</t>
        </is>
      </c>
      <c r="F43" s="142" t="n">
        <v>0.36</v>
      </c>
      <c r="G43" s="183" t="n">
        <v>96.89</v>
      </c>
      <c r="H43" s="173">
        <f>ROUND(F43*G43,2)</f>
        <v/>
      </c>
    </row>
    <row r="44" ht="25.95" customHeight="1">
      <c r="A44" s="277" t="n">
        <v>31</v>
      </c>
      <c r="B44" s="253" t="n"/>
      <c r="C44" s="142" t="inlineStr">
        <is>
          <t>91.06.03-061</t>
        </is>
      </c>
      <c r="D44" s="257" t="inlineStr">
        <is>
          <t>Лебедки электрические тяговым усилием: до 12,26 кН (1,25 т)</t>
        </is>
      </c>
      <c r="E44" s="258" t="inlineStr">
        <is>
          <t>маш.час</t>
        </is>
      </c>
      <c r="F44" s="142" t="n">
        <v>10.17</v>
      </c>
      <c r="G44" s="183" t="n">
        <v>3.28</v>
      </c>
      <c r="H44" s="173">
        <f>ROUND(F44*G44,2)</f>
        <v/>
      </c>
    </row>
    <row r="45" ht="25.95" customHeight="1">
      <c r="A45" s="277" t="n">
        <v>32</v>
      </c>
      <c r="B45" s="253" t="n"/>
      <c r="C45" s="142" t="inlineStr">
        <is>
          <t>91.21.01-012</t>
        </is>
      </c>
      <c r="D45" s="257" t="inlineStr">
        <is>
          <t>Агрегаты окрасочные высокого давления для окраски поверхностей конструкций, мощность 1 кВт</t>
        </is>
      </c>
      <c r="E45" s="258" t="inlineStr">
        <is>
          <t>маш.час</t>
        </is>
      </c>
      <c r="F45" s="142" t="n">
        <v>3.4</v>
      </c>
      <c r="G45" s="183" t="n">
        <v>6.82</v>
      </c>
      <c r="H45" s="173">
        <f>ROUND(F45*G45,2)</f>
        <v/>
      </c>
    </row>
    <row r="46">
      <c r="A46" s="277" t="n">
        <v>33</v>
      </c>
      <c r="B46" s="253" t="n"/>
      <c r="C46" s="142" t="inlineStr">
        <is>
          <t>91.07.04-001</t>
        </is>
      </c>
      <c r="D46" s="257" t="inlineStr">
        <is>
          <t>Вибратор глубинный</t>
        </is>
      </c>
      <c r="E46" s="258" t="inlineStr">
        <is>
          <t>маш.час</t>
        </is>
      </c>
      <c r="F46" s="142" t="n">
        <v>7.65</v>
      </c>
      <c r="G46" s="183" t="n">
        <v>1.9</v>
      </c>
      <c r="H46" s="173">
        <f>ROUND(F46*G46,2)</f>
        <v/>
      </c>
    </row>
    <row r="47">
      <c r="A47" s="277" t="n">
        <v>34</v>
      </c>
      <c r="B47" s="253" t="n"/>
      <c r="C47" s="142" t="inlineStr">
        <is>
          <t>91.08.09-001</t>
        </is>
      </c>
      <c r="D47" s="257" t="inlineStr">
        <is>
          <t>Виброплита с двигателем внутреннего сгорания</t>
        </is>
      </c>
      <c r="E47" s="258" t="inlineStr">
        <is>
          <t>маш.час</t>
        </is>
      </c>
      <c r="F47" s="142" t="n">
        <v>0.23</v>
      </c>
      <c r="G47" s="183" t="n">
        <v>60</v>
      </c>
      <c r="H47" s="173">
        <f>ROUND(F47*G47,2)</f>
        <v/>
      </c>
    </row>
    <row r="48">
      <c r="A48" s="277" t="n">
        <v>35</v>
      </c>
      <c r="B48" s="253" t="n"/>
      <c r="C48" s="142" t="inlineStr">
        <is>
          <t>91.06.05-011</t>
        </is>
      </c>
      <c r="D48" s="257" t="inlineStr">
        <is>
          <t>Погрузчик, грузоподъемность 5 т</t>
        </is>
      </c>
      <c r="E48" s="258" t="inlineStr">
        <is>
          <t>маш.час</t>
        </is>
      </c>
      <c r="F48" s="142" t="n">
        <v>0.11</v>
      </c>
      <c r="G48" s="183" t="n">
        <v>89.98999999999999</v>
      </c>
      <c r="H48" s="173">
        <f>ROUND(F48*G48,2)</f>
        <v/>
      </c>
    </row>
    <row r="49">
      <c r="A49" s="277" t="n">
        <v>36</v>
      </c>
      <c r="B49" s="253" t="n"/>
      <c r="C49" s="142" t="inlineStr">
        <is>
          <t>91.21.16-012</t>
        </is>
      </c>
      <c r="D49" s="257" t="inlineStr">
        <is>
          <t>Пресс: гидравлический с электроприводом</t>
        </is>
      </c>
      <c r="E49" s="258" t="inlineStr">
        <is>
          <t>маш.час</t>
        </is>
      </c>
      <c r="F49" s="142" t="n">
        <v>8.779999999999999</v>
      </c>
      <c r="G49" s="183" t="n">
        <v>1.11</v>
      </c>
      <c r="H49" s="173">
        <f>ROUND(F49*G49,2)</f>
        <v/>
      </c>
    </row>
    <row r="50" ht="25.95" customHeight="1">
      <c r="A50" s="277" t="n">
        <v>37</v>
      </c>
      <c r="B50" s="253" t="n"/>
      <c r="C50" s="142" t="inlineStr">
        <is>
          <t>91.17.04-171</t>
        </is>
      </c>
      <c r="D50" s="257" t="inlineStr">
        <is>
          <t>Преобразователи сварочные номинальным сварочным током 315-500 А</t>
        </is>
      </c>
      <c r="E50" s="258" t="inlineStr">
        <is>
          <t>маш.час</t>
        </is>
      </c>
      <c r="F50" s="142" t="n">
        <v>0.76</v>
      </c>
      <c r="G50" s="183" t="n">
        <v>12.31</v>
      </c>
      <c r="H50" s="173">
        <f>ROUND(F50*G50,2)</f>
        <v/>
      </c>
    </row>
    <row r="51" ht="26.4" customHeight="1">
      <c r="A51" s="277" t="n">
        <v>38</v>
      </c>
      <c r="B51" s="253" t="n"/>
      <c r="C51" s="142" t="inlineStr">
        <is>
          <t>91.06.01-003</t>
        </is>
      </c>
      <c r="D51" s="257" t="inlineStr">
        <is>
          <t>Домкраты гидравлические, грузоподъемность 63-100 т</t>
        </is>
      </c>
      <c r="E51" s="258" t="inlineStr">
        <is>
          <t>маш.час</t>
        </is>
      </c>
      <c r="F51" s="142" t="n">
        <v>10.23</v>
      </c>
      <c r="G51" s="183" t="n">
        <v>0.9</v>
      </c>
      <c r="H51" s="173">
        <f>ROUND(F51*G51,2)</f>
        <v/>
      </c>
    </row>
    <row r="52" ht="25.95" customHeight="1">
      <c r="A52" s="277" t="n">
        <v>39</v>
      </c>
      <c r="B52" s="253" t="n"/>
      <c r="C52" s="142" t="inlineStr">
        <is>
          <t>91.08.09-023</t>
        </is>
      </c>
      <c r="D52" s="257" t="inlineStr">
        <is>
          <t>Трамбовки пневматические при работе от: передвижных компрессорных станций</t>
        </is>
      </c>
      <c r="E52" s="258" t="inlineStr">
        <is>
          <t>маш.час</t>
        </is>
      </c>
      <c r="F52" s="142" t="n">
        <v>15.7</v>
      </c>
      <c r="G52" s="183" t="n">
        <v>0.55</v>
      </c>
      <c r="H52" s="173">
        <f>ROUND(F52*G52,2)</f>
        <v/>
      </c>
    </row>
    <row r="53" customFormat="1" s="160">
      <c r="A53" s="277" t="n">
        <v>40</v>
      </c>
      <c r="B53" s="253" t="n"/>
      <c r="C53" s="142" t="inlineStr">
        <is>
          <t>91.08.04-021</t>
        </is>
      </c>
      <c r="D53" s="257" t="inlineStr">
        <is>
          <t>Котлы битумные: передвижные 400 л</t>
        </is>
      </c>
      <c r="E53" s="258" t="inlineStr">
        <is>
          <t>маш.час</t>
        </is>
      </c>
      <c r="F53" s="142" t="n">
        <v>0.27</v>
      </c>
      <c r="G53" s="183" t="n">
        <v>30</v>
      </c>
      <c r="H53" s="173">
        <f>ROUND(F53*G53,2)</f>
        <v/>
      </c>
    </row>
    <row r="54">
      <c r="A54" s="277" t="n">
        <v>41</v>
      </c>
      <c r="B54" s="253" t="n"/>
      <c r="C54" s="142" t="inlineStr">
        <is>
          <t>91.16.01-002</t>
        </is>
      </c>
      <c r="D54" s="257" t="inlineStr">
        <is>
          <t>Электростанции передвижные, мощность 4 кВт</t>
        </is>
      </c>
      <c r="E54" s="258" t="inlineStr">
        <is>
          <t>маш.час</t>
        </is>
      </c>
      <c r="F54" s="142" t="n">
        <v>0.17</v>
      </c>
      <c r="G54" s="183" t="n">
        <v>27.11</v>
      </c>
      <c r="H54" s="173">
        <f>ROUND(F54*G54,2)</f>
        <v/>
      </c>
    </row>
    <row r="55">
      <c r="A55" s="277" t="n">
        <v>42</v>
      </c>
      <c r="B55" s="253" t="n"/>
      <c r="C55" s="142" t="inlineStr">
        <is>
          <t>91.17.04-042</t>
        </is>
      </c>
      <c r="D55" s="257" t="inlineStr">
        <is>
          <t>Аппарат для газовой сварки и резки</t>
        </is>
      </c>
      <c r="E55" s="258" t="inlineStr">
        <is>
          <t>маш.час</t>
        </is>
      </c>
      <c r="F55" s="142" t="n">
        <v>3.78</v>
      </c>
      <c r="G55" s="183" t="n">
        <v>1.2</v>
      </c>
      <c r="H55" s="173">
        <f>ROUND(F55*G55,2)</f>
        <v/>
      </c>
    </row>
    <row r="56">
      <c r="A56" s="277" t="n">
        <v>43</v>
      </c>
      <c r="B56" s="253" t="n"/>
      <c r="C56" s="142" t="inlineStr">
        <is>
          <t>91.08.02-001</t>
        </is>
      </c>
      <c r="D56" s="257" t="inlineStr">
        <is>
          <t>Автогудронаторы 3500 л</t>
        </is>
      </c>
      <c r="E56" s="258" t="inlineStr">
        <is>
          <t>маш.час</t>
        </is>
      </c>
      <c r="F56" s="142" t="n">
        <v>0.03</v>
      </c>
      <c r="G56" s="183" t="n">
        <v>118.47</v>
      </c>
      <c r="H56" s="173">
        <f>ROUND(F56*G56,2)</f>
        <v/>
      </c>
    </row>
    <row r="57" customFormat="1" s="160">
      <c r="A57" s="277" t="n">
        <v>44</v>
      </c>
      <c r="B57" s="253" t="n"/>
      <c r="C57" s="142" t="inlineStr">
        <is>
          <t>91.07.04-002</t>
        </is>
      </c>
      <c r="D57" s="257" t="inlineStr">
        <is>
          <t>Вибратор поверхностный</t>
        </is>
      </c>
      <c r="E57" s="258" t="inlineStr">
        <is>
          <t>маш.час</t>
        </is>
      </c>
      <c r="F57" s="142" t="n">
        <v>0.47</v>
      </c>
      <c r="G57" s="183" t="n">
        <v>0.5</v>
      </c>
      <c r="H57" s="173">
        <f>ROUND(F57*G57,2)</f>
        <v/>
      </c>
    </row>
    <row r="58" ht="25.95" customHeight="1">
      <c r="A58" s="277" t="n">
        <v>45</v>
      </c>
      <c r="B58" s="253" t="n"/>
      <c r="C58" s="142" t="inlineStr">
        <is>
          <t>91.06.03-055</t>
        </is>
      </c>
      <c r="D58" s="257" t="inlineStr">
        <is>
          <t>Лебедки электрические тяговым усилием: 19,62 кН (2 т)</t>
        </is>
      </c>
      <c r="E58" s="258" t="inlineStr">
        <is>
          <t>маш.час</t>
        </is>
      </c>
      <c r="F58" s="142" t="n">
        <v>0.03</v>
      </c>
      <c r="G58" s="183" t="n">
        <v>6.66</v>
      </c>
      <c r="H58" s="173">
        <f>ROUND(F58*G58,2)</f>
        <v/>
      </c>
    </row>
    <row r="59" ht="25.95" customHeight="1">
      <c r="A59" s="277" t="n">
        <v>46</v>
      </c>
      <c r="B59" s="253" t="n"/>
      <c r="C59" s="142" t="inlineStr">
        <is>
          <t>91.06.03-060</t>
        </is>
      </c>
      <c r="D59" s="257" t="inlineStr">
        <is>
          <t>Лебедки электрические тяговым усилием: до 5,79 кН (0,59 т)</t>
        </is>
      </c>
      <c r="E59" s="258" t="inlineStr">
        <is>
          <t>маш.час</t>
        </is>
      </c>
      <c r="F59" s="142" t="n">
        <v>0.04</v>
      </c>
      <c r="G59" s="183" t="n">
        <v>1.7</v>
      </c>
      <c r="H59" s="173">
        <f>ROUND(F59*G59,2)</f>
        <v/>
      </c>
    </row>
    <row r="60" ht="15" customHeight="1">
      <c r="A60" s="251" t="inlineStr">
        <is>
          <t>Оборудование</t>
        </is>
      </c>
      <c r="B60" s="326" t="n"/>
      <c r="C60" s="326" t="n"/>
      <c r="D60" s="326" t="n"/>
      <c r="E60" s="327" t="n"/>
      <c r="F60" s="10" t="n"/>
      <c r="G60" s="188" t="n"/>
      <c r="H60" s="334">
        <f>SUM(H61:H61)</f>
        <v/>
      </c>
    </row>
    <row r="61" ht="14.25" customHeight="1">
      <c r="A61" s="176" t="n">
        <v>47</v>
      </c>
      <c r="B61" s="251" t="n"/>
      <c r="C61" s="190" t="inlineStr">
        <is>
          <t>Прайс из СД ОП</t>
        </is>
      </c>
      <c r="D61" s="175" t="inlineStr">
        <is>
          <t>БКТП</t>
        </is>
      </c>
      <c r="E61" s="277" t="inlineStr">
        <is>
          <t>шт</t>
        </is>
      </c>
      <c r="F61" s="277" t="n">
        <v>1</v>
      </c>
      <c r="G61" s="335" t="n">
        <v>337837.84</v>
      </c>
      <c r="H61" s="173">
        <f>ROUND(F61*G61,2)</f>
        <v/>
      </c>
      <c r="I61" s="170" t="n"/>
    </row>
    <row r="62">
      <c r="A62" s="252" t="inlineStr">
        <is>
          <t>Материалы</t>
        </is>
      </c>
      <c r="B62" s="326" t="n"/>
      <c r="C62" s="326" t="n"/>
      <c r="D62" s="326" t="n"/>
      <c r="E62" s="327" t="n"/>
      <c r="F62" s="252" t="n"/>
      <c r="G62" s="161" t="n"/>
      <c r="H62" s="334">
        <f>SUM(H63:H128)</f>
        <v/>
      </c>
    </row>
    <row r="63" ht="64.5" customHeight="1">
      <c r="A63" s="176" t="n">
        <v>48</v>
      </c>
      <c r="B63" s="253" t="n"/>
      <c r="C63" s="142" t="inlineStr">
        <is>
          <t>07.2.07.13-0001</t>
        </is>
      </c>
      <c r="D63" s="257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58" t="inlineStr">
        <is>
          <t>т</t>
        </is>
      </c>
      <c r="F63" s="142" t="n">
        <v>3.185</v>
      </c>
      <c r="G63" s="183" t="n">
        <v>9634.48</v>
      </c>
      <c r="H63" s="173">
        <f>ROUND(F63*G63,2)</f>
        <v/>
      </c>
      <c r="I63" s="170" t="n"/>
    </row>
    <row r="64">
      <c r="A64" s="176" t="n">
        <v>49</v>
      </c>
      <c r="B64" s="253" t="n"/>
      <c r="C64" s="142" t="inlineStr">
        <is>
          <t>08.4.01.02-0001</t>
        </is>
      </c>
      <c r="D64" s="257" t="inlineStr">
        <is>
          <t>Детали закладные, вес до 1 кг</t>
        </is>
      </c>
      <c r="E64" s="258" t="inlineStr">
        <is>
          <t>т</t>
        </is>
      </c>
      <c r="F64" s="142" t="n">
        <v>1.278</v>
      </c>
      <c r="G64" s="183" t="n">
        <v>11684</v>
      </c>
      <c r="H64" s="173">
        <f>ROUND(F64*G64,2)</f>
        <v/>
      </c>
      <c r="I64" s="170" t="n"/>
    </row>
    <row r="65" ht="26.4" customHeight="1">
      <c r="A65" s="176" t="n">
        <v>50</v>
      </c>
      <c r="B65" s="253" t="n"/>
      <c r="C65" s="142" t="inlineStr">
        <is>
          <t>08.4.03.04-0001</t>
        </is>
      </c>
      <c r="D65" s="257" t="inlineStr">
        <is>
          <t>Сталь арматурная, горячекатаная, класс А-I, А-II, А-III</t>
        </is>
      </c>
      <c r="E65" s="258" t="inlineStr">
        <is>
          <t>т</t>
        </is>
      </c>
      <c r="F65" s="142" t="n">
        <v>1.214</v>
      </c>
      <c r="G65" s="183" t="n">
        <v>5650</v>
      </c>
      <c r="H65" s="173">
        <f>ROUND(F65*G65,2)</f>
        <v/>
      </c>
      <c r="I65" s="170" t="n"/>
    </row>
    <row r="66" ht="25.95" customHeight="1">
      <c r="A66" s="176" t="n">
        <v>51</v>
      </c>
      <c r="B66" s="253" t="n"/>
      <c r="C66" s="142" t="inlineStr">
        <is>
          <t>04.1.02.01-0001</t>
        </is>
      </c>
      <c r="D66" s="257" t="inlineStr">
        <is>
          <t>Смеси бетонные мелкозернистого бетона (БСМ), класс В3,5 (М50)</t>
        </is>
      </c>
      <c r="E66" s="258" t="inlineStr">
        <is>
          <t>м3</t>
        </is>
      </c>
      <c r="F66" s="142" t="n">
        <v>12.18</v>
      </c>
      <c r="G66" s="183" t="n">
        <v>413.87</v>
      </c>
      <c r="H66" s="173">
        <f>ROUND(F66*G66,2)</f>
        <v/>
      </c>
      <c r="I66" s="170" t="n"/>
    </row>
    <row r="67" ht="25.95" customHeight="1">
      <c r="A67" s="176" t="n">
        <v>52</v>
      </c>
      <c r="B67" s="253" t="n"/>
      <c r="C67" s="142" t="inlineStr">
        <is>
          <t>08.4.03.03-0031</t>
        </is>
      </c>
      <c r="D67" s="257" t="inlineStr">
        <is>
          <t>Сталь арматурная, горячекатаная, периодического профиля, класс А-III, диаметр 10 мм</t>
        </is>
      </c>
      <c r="E67" s="258" t="inlineStr">
        <is>
          <t>т</t>
        </is>
      </c>
      <c r="F67" s="142" t="n">
        <v>0.595</v>
      </c>
      <c r="G67" s="183" t="n">
        <v>8014.15</v>
      </c>
      <c r="H67" s="173">
        <f>ROUND(F67*G67,2)</f>
        <v/>
      </c>
      <c r="I67" s="170" t="n"/>
    </row>
    <row r="68">
      <c r="A68" s="176" t="n">
        <v>53</v>
      </c>
      <c r="B68" s="253" t="n"/>
      <c r="C68" s="142" t="inlineStr">
        <is>
          <t>07.2.07.13-0012</t>
        </is>
      </c>
      <c r="D68" s="257" t="inlineStr">
        <is>
          <t>Балки промежуточные</t>
        </is>
      </c>
      <c r="E68" s="258" t="inlineStr">
        <is>
          <t>т</t>
        </is>
      </c>
      <c r="F68" s="142" t="n">
        <v>0.28</v>
      </c>
      <c r="G68" s="183" t="n">
        <v>11425.09</v>
      </c>
      <c r="H68" s="173">
        <f>ROUND(F68*G68,2)</f>
        <v/>
      </c>
      <c r="I68" s="170" t="n"/>
    </row>
    <row r="69" ht="38.85" customHeight="1">
      <c r="A69" s="176" t="n">
        <v>54</v>
      </c>
      <c r="B69" s="253" t="n"/>
      <c r="C69" s="142" t="inlineStr">
        <is>
          <t>02.3.01.02-0016</t>
        </is>
      </c>
      <c r="D69" s="257" t="inlineStr">
        <is>
          <t>Песок природный для строительных: работ средний с крупностью зерен размером свыше 5 мм-до 5% по массе</t>
        </is>
      </c>
      <c r="E69" s="258" t="inlineStr">
        <is>
          <t>м3</t>
        </is>
      </c>
      <c r="F69" s="142" t="n">
        <v>36.96</v>
      </c>
      <c r="G69" s="183" t="n">
        <v>55.26</v>
      </c>
      <c r="H69" s="173">
        <f>ROUND(F69*G69,2)</f>
        <v/>
      </c>
      <c r="I69" s="170" t="n"/>
    </row>
    <row r="70">
      <c r="A70" s="176" t="n">
        <v>55</v>
      </c>
      <c r="B70" s="253" t="n"/>
      <c r="C70" s="142" t="inlineStr">
        <is>
          <t>25.1.01.04-0031</t>
        </is>
      </c>
      <c r="D70" s="257" t="inlineStr">
        <is>
          <t>Шпалы непропитанные для железных дорог, тип I</t>
        </is>
      </c>
      <c r="E70" s="258" t="inlineStr">
        <is>
          <t>шт</t>
        </is>
      </c>
      <c r="F70" s="142" t="n">
        <v>6.4</v>
      </c>
      <c r="G70" s="183" t="n">
        <v>266.67</v>
      </c>
      <c r="H70" s="173">
        <f>ROUND(F70*G70,2)</f>
        <v/>
      </c>
      <c r="I70" s="170" t="n"/>
    </row>
    <row r="71">
      <c r="A71" s="176" t="n">
        <v>56</v>
      </c>
      <c r="B71" s="253" t="n"/>
      <c r="C71" s="142" t="inlineStr">
        <is>
          <t>14.4.02.09-0301</t>
        </is>
      </c>
      <c r="D71" s="257" t="inlineStr">
        <is>
          <t>Композиция антикоррозионная цинкнаполненная</t>
        </is>
      </c>
      <c r="E71" s="258" t="inlineStr">
        <is>
          <t>кг</t>
        </is>
      </c>
      <c r="F71" s="142" t="n">
        <v>6.537</v>
      </c>
      <c r="G71" s="183" t="n">
        <v>238.48</v>
      </c>
      <c r="H71" s="173">
        <f>ROUND(F71*G71,2)</f>
        <v/>
      </c>
      <c r="I71" s="170" t="n"/>
    </row>
    <row r="72" ht="25.95" customHeight="1">
      <c r="A72" s="176" t="n">
        <v>57</v>
      </c>
      <c r="B72" s="253" t="n"/>
      <c r="C72" s="142" t="inlineStr">
        <is>
          <t>02.2.05.04-0093</t>
        </is>
      </c>
      <c r="D72" s="257" t="inlineStr">
        <is>
          <t>Щебень из природного камня для строительных работ марка: 800, фракция 20-40 мм</t>
        </is>
      </c>
      <c r="E72" s="258" t="inlineStr">
        <is>
          <t>м3</t>
        </is>
      </c>
      <c r="F72" s="258" t="n">
        <v>14.2128</v>
      </c>
      <c r="G72" s="183" t="n">
        <v>108.4</v>
      </c>
      <c r="H72" s="173">
        <f>ROUND(F72*G72,2)</f>
        <v/>
      </c>
      <c r="I72" s="170" t="n"/>
    </row>
    <row r="73">
      <c r="A73" s="176" t="n">
        <v>58</v>
      </c>
      <c r="B73" s="253" t="n"/>
      <c r="C73" s="142" t="inlineStr">
        <is>
          <t>07.2.07.13-0171</t>
        </is>
      </c>
      <c r="D73" s="257" t="inlineStr">
        <is>
          <t>Подкладки металлические</t>
        </is>
      </c>
      <c r="E73" s="258" t="inlineStr">
        <is>
          <t>кг</t>
        </is>
      </c>
      <c r="F73" s="142" t="n">
        <v>122</v>
      </c>
      <c r="G73" s="183" t="n">
        <v>12.6</v>
      </c>
      <c r="H73" s="173">
        <f>ROUND(F73*G73,2)</f>
        <v/>
      </c>
      <c r="I73" s="170" t="n"/>
    </row>
    <row r="74" ht="26.4" customHeight="1">
      <c r="A74" s="176" t="n">
        <v>59</v>
      </c>
      <c r="B74" s="253" t="n"/>
      <c r="C74" s="142" t="inlineStr">
        <is>
          <t>04.3.01.09-0023</t>
        </is>
      </c>
      <c r="D74" s="257" t="inlineStr">
        <is>
          <t>Раствор готовый отделочный тяжелый,: цементный 1:3</t>
        </is>
      </c>
      <c r="E74" s="258" t="inlineStr">
        <is>
          <t>м3</t>
        </is>
      </c>
      <c r="F74" s="142" t="n">
        <v>2.389</v>
      </c>
      <c r="G74" s="183" t="n">
        <v>497</v>
      </c>
      <c r="H74" s="173">
        <f>ROUND(F74*G74,2)</f>
        <v/>
      </c>
      <c r="I74" s="170" t="n"/>
    </row>
    <row r="75">
      <c r="A75" s="176" t="n">
        <v>60</v>
      </c>
      <c r="B75" s="253" t="n"/>
      <c r="C75" s="142" t="inlineStr">
        <is>
          <t>08.1.02.11-0001</t>
        </is>
      </c>
      <c r="D75" s="257" t="inlineStr">
        <is>
          <t>Поковки из квадратных заготовок, масса: 1,8 кг</t>
        </is>
      </c>
      <c r="E75" s="258" t="inlineStr">
        <is>
          <t>т</t>
        </is>
      </c>
      <c r="F75" s="142" t="n">
        <v>0.1911</v>
      </c>
      <c r="G75" s="183" t="n">
        <v>5989</v>
      </c>
      <c r="H75" s="173">
        <f>ROUND(F75*G75,2)</f>
        <v/>
      </c>
      <c r="I75" s="170" t="n"/>
    </row>
    <row r="76" ht="25.95" customFormat="1" customHeight="1" s="160">
      <c r="A76" s="176" t="n">
        <v>61</v>
      </c>
      <c r="B76" s="253" t="n"/>
      <c r="C76" s="142" t="inlineStr">
        <is>
          <t>07.5.01.02-0041</t>
        </is>
      </c>
      <c r="D76" s="257" t="inlineStr">
        <is>
          <t>Лестницы приставные и прислоненные с ограждениями</t>
        </is>
      </c>
      <c r="E76" s="258" t="inlineStr">
        <is>
          <t>т</t>
        </is>
      </c>
      <c r="F76" s="142" t="n">
        <v>0.066</v>
      </c>
      <c r="G76" s="183" t="n">
        <v>10071.87</v>
      </c>
      <c r="H76" s="173">
        <f>ROUND(F76*G76,2)</f>
        <v/>
      </c>
      <c r="I76" s="170" t="n"/>
    </row>
    <row r="77" ht="25.95" customHeight="1">
      <c r="A77" s="176" t="n">
        <v>62</v>
      </c>
      <c r="B77" s="253" t="n"/>
      <c r="C77" s="142" t="inlineStr">
        <is>
          <t>01.2.03.03-0065</t>
        </is>
      </c>
      <c r="D77" s="257" t="inlineStr">
        <is>
          <t>Мастика битумно-резиновая: МБР-90 изолирующая (ГОСТ 15836-79)</t>
        </is>
      </c>
      <c r="E77" s="258" t="inlineStr">
        <is>
          <t>т</t>
        </is>
      </c>
      <c r="F77" s="142" t="n">
        <v>0.06</v>
      </c>
      <c r="G77" s="183" t="n">
        <v>10309.24</v>
      </c>
      <c r="H77" s="173">
        <f>ROUND(F77*G77,2)</f>
        <v/>
      </c>
      <c r="I77" s="170" t="n"/>
    </row>
    <row r="78">
      <c r="A78" s="176" t="n">
        <v>63</v>
      </c>
      <c r="B78" s="253" t="n"/>
      <c r="C78" s="142" t="inlineStr">
        <is>
          <t>14.4.04.08-0003</t>
        </is>
      </c>
      <c r="D78" s="257" t="inlineStr">
        <is>
          <t>Эмаль ПФ-115 серая</t>
        </is>
      </c>
      <c r="E78" s="258" t="inlineStr">
        <is>
          <t>т</t>
        </is>
      </c>
      <c r="F78" s="142" t="n">
        <v>0.0365</v>
      </c>
      <c r="G78" s="183" t="n">
        <v>14312.87</v>
      </c>
      <c r="H78" s="173">
        <f>ROUND(F78*G78,2)</f>
        <v/>
      </c>
      <c r="I78" s="170" t="n"/>
    </row>
    <row r="79">
      <c r="A79" s="176" t="n">
        <v>64</v>
      </c>
      <c r="B79" s="253" t="n"/>
      <c r="C79" s="142" t="inlineStr">
        <is>
          <t>11.2.13.04-0011</t>
        </is>
      </c>
      <c r="D79" s="257" t="inlineStr">
        <is>
          <t>Щиты: из досок толщиной 25 мм</t>
        </is>
      </c>
      <c r="E79" s="258" t="inlineStr">
        <is>
          <t>м2</t>
        </is>
      </c>
      <c r="F79" s="142" t="n">
        <v>12.36</v>
      </c>
      <c r="G79" s="183" t="n">
        <v>35.53</v>
      </c>
      <c r="H79" s="173">
        <f>ROUND(F79*G79,2)</f>
        <v/>
      </c>
      <c r="I79" s="170" t="n"/>
    </row>
    <row r="80">
      <c r="A80" s="176" t="n">
        <v>65</v>
      </c>
      <c r="B80" s="253" t="n"/>
      <c r="C80" s="142" t="inlineStr">
        <is>
          <t>14.4.01.01-0003</t>
        </is>
      </c>
      <c r="D80" s="257" t="inlineStr">
        <is>
          <t>Грунтовка: ГФ-021 красно-коричневая</t>
        </is>
      </c>
      <c r="E80" s="258" t="inlineStr">
        <is>
          <t>т</t>
        </is>
      </c>
      <c r="F80" s="142" t="n">
        <v>0.0231</v>
      </c>
      <c r="G80" s="183" t="n">
        <v>15620</v>
      </c>
      <c r="H80" s="173">
        <f>ROUND(F80*G80,2)</f>
        <v/>
      </c>
      <c r="I80" s="170" t="n"/>
    </row>
    <row r="81">
      <c r="A81" s="176" t="n">
        <v>66</v>
      </c>
      <c r="B81" s="253" t="n"/>
      <c r="C81" s="142" t="inlineStr">
        <is>
          <t>01.7.07.12-0021</t>
        </is>
      </c>
      <c r="D81" s="257" t="inlineStr">
        <is>
          <t>Пленка полиэтиленовая толщиной: 0,2-0,5 мм</t>
        </is>
      </c>
      <c r="E81" s="258" t="inlineStr">
        <is>
          <t>т</t>
        </is>
      </c>
      <c r="F81" s="142" t="n">
        <v>0.0123</v>
      </c>
      <c r="G81" s="183" t="n">
        <v>23500</v>
      </c>
      <c r="H81" s="173">
        <f>ROUND(F81*G81,2)</f>
        <v/>
      </c>
    </row>
    <row r="82" ht="25.95" customHeight="1">
      <c r="A82" s="176" t="n">
        <v>67</v>
      </c>
      <c r="B82" s="253" t="n"/>
      <c r="C82" s="142" t="inlineStr">
        <is>
          <t>11.1.03.06-0095</t>
        </is>
      </c>
      <c r="D82" s="257" t="inlineStr">
        <is>
          <t>Доски обрезные хвойных пород длиной: 4-6,5 м, шириной 75-150 мм, толщиной 44 мм и более, III сорта</t>
        </is>
      </c>
      <c r="E82" s="258" t="inlineStr">
        <is>
          <t>м3</t>
        </is>
      </c>
      <c r="F82" s="142" t="n">
        <v>0.2685</v>
      </c>
      <c r="G82" s="183" t="n">
        <v>1056</v>
      </c>
      <c r="H82" s="173">
        <f>ROUND(F82*G82,2)</f>
        <v/>
      </c>
    </row>
    <row r="83">
      <c r="A83" s="176" t="n">
        <v>68</v>
      </c>
      <c r="B83" s="253" t="n"/>
      <c r="C83" s="142" t="inlineStr">
        <is>
          <t>01.7.11.07-0040</t>
        </is>
      </c>
      <c r="D83" s="257" t="inlineStr">
        <is>
          <t>Электроды диаметром: 4 мм Э50А</t>
        </is>
      </c>
      <c r="E83" s="258" t="inlineStr">
        <is>
          <t>т</t>
        </is>
      </c>
      <c r="F83" s="142" t="n">
        <v>0.021</v>
      </c>
      <c r="G83" s="183" t="n">
        <v>11524</v>
      </c>
      <c r="H83" s="173">
        <f>ROUND(F83*G83,2)</f>
        <v/>
      </c>
    </row>
    <row r="84" ht="25.95" customHeight="1">
      <c r="A84" s="176" t="n">
        <v>69</v>
      </c>
      <c r="B84" s="253" t="n"/>
      <c r="C84" s="142" t="inlineStr">
        <is>
          <t>01.7.19.02-0031</t>
        </is>
      </c>
      <c r="D84" s="257" t="inlineStr">
        <is>
          <t>Кольца резиновые для хризотилцементных: напорных муфт САМ</t>
        </is>
      </c>
      <c r="E84" s="258" t="inlineStr">
        <is>
          <t>кг</t>
        </is>
      </c>
      <c r="F84" s="142" t="n">
        <v>7.536</v>
      </c>
      <c r="G84" s="183" t="n">
        <v>28.33</v>
      </c>
      <c r="H84" s="173">
        <f>ROUND(F84*G84,2)</f>
        <v/>
      </c>
    </row>
    <row r="85" ht="25.95" customHeight="1">
      <c r="A85" s="176" t="n">
        <v>70</v>
      </c>
      <c r="B85" s="253" t="n"/>
      <c r="C85" s="142" t="inlineStr">
        <is>
          <t>24.2.06.04-0020</t>
        </is>
      </c>
      <c r="D85" s="257" t="inlineStr">
        <is>
          <t>Муфты хризотилцементные: САМ 9, для напорных труб условным проходом 150 мм</t>
        </is>
      </c>
      <c r="E85" s="258" t="inlineStr">
        <is>
          <t>шт</t>
        </is>
      </c>
      <c r="F85" s="142" t="n">
        <v>18.14</v>
      </c>
      <c r="G85" s="183" t="n">
        <v>11.6</v>
      </c>
      <c r="H85" s="173">
        <f>ROUND(F85*G85,2)</f>
        <v/>
      </c>
    </row>
    <row r="86">
      <c r="A86" s="176" t="n">
        <v>71</v>
      </c>
      <c r="B86" s="253" t="n"/>
      <c r="C86" s="142" t="inlineStr">
        <is>
          <t>04.3.01.09-0011</t>
        </is>
      </c>
      <c r="D86" s="257" t="inlineStr">
        <is>
          <t>Раствор готовый кладочный цементный марки: 25</t>
        </is>
      </c>
      <c r="E86" s="258" t="inlineStr">
        <is>
          <t>м3</t>
        </is>
      </c>
      <c r="F86" s="142" t="n">
        <v>0.38</v>
      </c>
      <c r="G86" s="183" t="n">
        <v>463.3</v>
      </c>
      <c r="H86" s="173">
        <f>ROUND(F86*G86,2)</f>
        <v/>
      </c>
    </row>
    <row r="87">
      <c r="A87" s="176" t="n">
        <v>72</v>
      </c>
      <c r="B87" s="253" t="n"/>
      <c r="C87" s="142" t="inlineStr">
        <is>
          <t>14.4.03.03-0002</t>
        </is>
      </c>
      <c r="D87" s="257" t="inlineStr">
        <is>
          <t>Лак битумный: БТ-123</t>
        </is>
      </c>
      <c r="E87" s="258" t="inlineStr">
        <is>
          <t>т</t>
        </is>
      </c>
      <c r="F87" s="142" t="n">
        <v>0.0181</v>
      </c>
      <c r="G87" s="183" t="n">
        <v>7826.9</v>
      </c>
      <c r="H87" s="173">
        <f>ROUND(F87*G87,2)</f>
        <v/>
      </c>
    </row>
    <row r="88">
      <c r="A88" s="176" t="n">
        <v>73</v>
      </c>
      <c r="B88" s="253" t="n"/>
      <c r="C88" s="142" t="inlineStr">
        <is>
          <t>01.7.11.07-0032</t>
        </is>
      </c>
      <c r="D88" s="257" t="inlineStr">
        <is>
          <t>Электроды диаметром: 4 мм Э42</t>
        </is>
      </c>
      <c r="E88" s="258" t="inlineStr">
        <is>
          <t>т</t>
        </is>
      </c>
      <c r="F88" s="142" t="n">
        <v>0.0135</v>
      </c>
      <c r="G88" s="183" t="n">
        <v>10315.01</v>
      </c>
      <c r="H88" s="173">
        <f>ROUND(F88*G88,2)</f>
        <v/>
      </c>
    </row>
    <row r="89">
      <c r="A89" s="176" t="n">
        <v>74</v>
      </c>
      <c r="B89" s="253" t="n"/>
      <c r="C89" s="142" t="inlineStr">
        <is>
          <t>01.7.15.03-0041</t>
        </is>
      </c>
      <c r="D89" s="257" t="inlineStr">
        <is>
          <t>Болты с гайками и шайбами строительные</t>
        </is>
      </c>
      <c r="E89" s="258" t="inlineStr">
        <is>
          <t>т</t>
        </is>
      </c>
      <c r="F89" s="142" t="n">
        <v>0.0153</v>
      </c>
      <c r="G89" s="183" t="n">
        <v>9040.01</v>
      </c>
      <c r="H89" s="173">
        <f>ROUND(F89*G89,2)</f>
        <v/>
      </c>
    </row>
    <row r="90">
      <c r="A90" s="176" t="n">
        <v>75</v>
      </c>
      <c r="B90" s="253" t="n"/>
      <c r="C90" s="142" t="inlineStr">
        <is>
          <t>01.7.15.06-0111</t>
        </is>
      </c>
      <c r="D90" s="257" t="inlineStr">
        <is>
          <t>Гвозди строительные</t>
        </is>
      </c>
      <c r="E90" s="258" t="inlineStr">
        <is>
          <t>т</t>
        </is>
      </c>
      <c r="F90" s="142" t="n">
        <v>0.0105</v>
      </c>
      <c r="G90" s="183" t="n">
        <v>11978</v>
      </c>
      <c r="H90" s="173">
        <f>ROUND(F90*G90,2)</f>
        <v/>
      </c>
    </row>
    <row r="91" customFormat="1" s="160">
      <c r="A91" s="176" t="n">
        <v>76</v>
      </c>
      <c r="B91" s="253" t="n"/>
      <c r="C91" s="142" t="inlineStr">
        <is>
          <t>01.2.03.03-0013</t>
        </is>
      </c>
      <c r="D91" s="257" t="inlineStr">
        <is>
          <t>Мастика битумная кровельная горячая</t>
        </is>
      </c>
      <c r="E91" s="258" t="inlineStr">
        <is>
          <t>т</t>
        </is>
      </c>
      <c r="F91" s="142" t="n">
        <v>0.0334</v>
      </c>
      <c r="G91" s="183" t="n">
        <v>3390</v>
      </c>
      <c r="H91" s="173">
        <f>ROUND(F91*G91,2)</f>
        <v/>
      </c>
    </row>
    <row r="92" ht="25.95" customHeight="1">
      <c r="A92" s="176" t="n">
        <v>77</v>
      </c>
      <c r="B92" s="253" t="n"/>
      <c r="C92" s="142" t="inlineStr">
        <is>
          <t>999-9950</t>
        </is>
      </c>
      <c r="D92" s="257" t="inlineStr">
        <is>
          <t>Вспомогательные ненормируемые ресурсы (2% от Оплаты труда рабочих)</t>
        </is>
      </c>
      <c r="E92" s="258" t="inlineStr">
        <is>
          <t>руб.</t>
        </is>
      </c>
      <c r="F92" s="142" t="n">
        <v>109.009</v>
      </c>
      <c r="G92" s="183" t="n">
        <v>1</v>
      </c>
      <c r="H92" s="173">
        <f>ROUND(F92*G92,2)</f>
        <v/>
      </c>
    </row>
    <row r="93">
      <c r="A93" s="176" t="n">
        <v>78</v>
      </c>
      <c r="B93" s="253" t="n"/>
      <c r="C93" s="142" t="inlineStr">
        <is>
          <t>01.3.02.08-0001</t>
        </is>
      </c>
      <c r="D93" s="257" t="inlineStr">
        <is>
          <t>Кислород технический: газообразный</t>
        </is>
      </c>
      <c r="E93" s="258" t="inlineStr">
        <is>
          <t>м3</t>
        </is>
      </c>
      <c r="F93" s="142" t="n">
        <v>17.0364</v>
      </c>
      <c r="G93" s="183" t="n">
        <v>6.22</v>
      </c>
      <c r="H93" s="173">
        <f>ROUND(F93*G93,2)</f>
        <v/>
      </c>
    </row>
    <row r="94" ht="25.95" customHeight="1">
      <c r="A94" s="176" t="n">
        <v>79</v>
      </c>
      <c r="B94" s="253" t="n"/>
      <c r="C94" s="142" t="inlineStr">
        <is>
          <t>08.1.02.11-0023</t>
        </is>
      </c>
      <c r="D94" s="257" t="inlineStr">
        <is>
          <t>Поковки простые строительные /скобы, закрепы, хомуты и т,п,/ массой до 1,6 кг</t>
        </is>
      </c>
      <c r="E94" s="258" t="inlineStr">
        <is>
          <t>кг</t>
        </is>
      </c>
      <c r="F94" s="142" t="n">
        <v>6.4</v>
      </c>
      <c r="G94" s="183" t="n">
        <v>15.14</v>
      </c>
      <c r="H94" s="173">
        <f>ROUND(F94*G94,2)</f>
        <v/>
      </c>
    </row>
    <row r="95">
      <c r="A95" s="176" t="n">
        <v>80</v>
      </c>
      <c r="B95" s="253" t="n"/>
      <c r="C95" s="142" t="inlineStr">
        <is>
          <t>01.7.15.07-0014</t>
        </is>
      </c>
      <c r="D95" s="257" t="inlineStr">
        <is>
          <t>Дюбели распорные полипропиленовые</t>
        </is>
      </c>
      <c r="E95" s="258" t="inlineStr">
        <is>
          <t>100 шт</t>
        </is>
      </c>
      <c r="F95" s="142" t="n">
        <v>0.714</v>
      </c>
      <c r="G95" s="183" t="n">
        <v>86</v>
      </c>
      <c r="H95" s="173">
        <f>ROUND(F95*G95,2)</f>
        <v/>
      </c>
    </row>
    <row r="96" ht="25.95" customHeight="1">
      <c r="A96" s="176" t="n">
        <v>81</v>
      </c>
      <c r="B96" s="253" t="n"/>
      <c r="C96" s="142" t="inlineStr">
        <is>
          <t>10.3.02.03-0011</t>
        </is>
      </c>
      <c r="D96" s="257" t="inlineStr">
        <is>
          <t>Припои оловянно-свинцовые бессурьмянистые марки: ПОС30</t>
        </is>
      </c>
      <c r="E96" s="258" t="inlineStr">
        <is>
          <t>кг</t>
        </is>
      </c>
      <c r="F96" s="142" t="n">
        <v>0.7775</v>
      </c>
      <c r="G96" s="183" t="n">
        <v>68.05</v>
      </c>
      <c r="H96" s="173">
        <f>ROUND(F96*G96,2)</f>
        <v/>
      </c>
    </row>
    <row r="97" ht="25.95" customHeight="1">
      <c r="A97" s="176" t="n">
        <v>82</v>
      </c>
      <c r="B97" s="253" t="n"/>
      <c r="C97" s="142" t="inlineStr">
        <is>
          <t>24.2.06.04-0019</t>
        </is>
      </c>
      <c r="D97" s="257" t="inlineStr">
        <is>
          <t>Муфты хризотилцементные: САМ 9, для напорных труб условным проходом 100 мм</t>
        </is>
      </c>
      <c r="E97" s="258" t="inlineStr">
        <is>
          <t>шт</t>
        </is>
      </c>
      <c r="F97" s="142" t="n">
        <v>6.048</v>
      </c>
      <c r="G97" s="183" t="n">
        <v>8.6</v>
      </c>
      <c r="H97" s="173">
        <f>ROUND(F97*G97,2)</f>
        <v/>
      </c>
    </row>
    <row r="98">
      <c r="A98" s="176" t="n">
        <v>83</v>
      </c>
      <c r="B98" s="253" t="n"/>
      <c r="C98" s="142" t="inlineStr">
        <is>
          <t>25.2.01.01-0001</t>
        </is>
      </c>
      <c r="D98" s="257" t="inlineStr">
        <is>
          <t>Бирки-оконцеватели</t>
        </is>
      </c>
      <c r="E98" s="258" t="inlineStr">
        <is>
          <t>100 шт</t>
        </is>
      </c>
      <c r="F98" s="142" t="n">
        <v>0.7344000000000001</v>
      </c>
      <c r="G98" s="183" t="n">
        <v>63</v>
      </c>
      <c r="H98" s="173">
        <f>ROUND(F98*G98,2)</f>
        <v/>
      </c>
    </row>
    <row r="99">
      <c r="A99" s="176" t="n">
        <v>84</v>
      </c>
      <c r="B99" s="253" t="n"/>
      <c r="C99" s="142" t="inlineStr">
        <is>
          <t>04.3.01.09-0014</t>
        </is>
      </c>
      <c r="D99" s="257" t="inlineStr">
        <is>
          <t>Раствор готовый кладочный цементный марки: 100</t>
        </is>
      </c>
      <c r="E99" s="258" t="inlineStr">
        <is>
          <t>м3</t>
        </is>
      </c>
      <c r="F99" s="142" t="n">
        <v>0.0828</v>
      </c>
      <c r="G99" s="183" t="n">
        <v>519.8</v>
      </c>
      <c r="H99" s="173">
        <f>ROUND(F99*G99,2)</f>
        <v/>
      </c>
    </row>
    <row r="100" ht="25.95" customHeight="1">
      <c r="A100" s="176" t="n">
        <v>85</v>
      </c>
      <c r="B100" s="253" t="n"/>
      <c r="C100" s="142" t="inlineStr">
        <is>
          <t>11.1.03.01-0079</t>
        </is>
      </c>
      <c r="D100" s="257" t="inlineStr">
        <is>
          <t>Бруски обрезные хвойных пород длиной: 4-6,5 м, шириной 75-150 мм, толщиной 40-75 мм, III сорта</t>
        </is>
      </c>
      <c r="E100" s="258" t="inlineStr">
        <is>
          <t>м3</t>
        </is>
      </c>
      <c r="F100" s="142" t="n">
        <v>0.0292</v>
      </c>
      <c r="G100" s="183" t="n">
        <v>1287</v>
      </c>
      <c r="H100" s="173">
        <f>ROUND(F100*G100,2)</f>
        <v/>
      </c>
    </row>
    <row r="101">
      <c r="A101" s="176" t="n">
        <v>86</v>
      </c>
      <c r="B101" s="253" t="n"/>
      <c r="C101" s="142" t="inlineStr">
        <is>
          <t>14.5.09.02-0002</t>
        </is>
      </c>
      <c r="D101" s="257" t="inlineStr">
        <is>
          <t>Ксилол нефтяной марки А</t>
        </is>
      </c>
      <c r="E101" s="258" t="inlineStr">
        <is>
          <t>т</t>
        </is>
      </c>
      <c r="F101" s="142" t="n">
        <v>0.0038</v>
      </c>
      <c r="G101" s="183" t="n">
        <v>7640</v>
      </c>
      <c r="H101" s="173">
        <f>ROUND(F101*G101,2)</f>
        <v/>
      </c>
    </row>
    <row r="102" ht="25.95" customHeight="1">
      <c r="A102" s="176" t="n">
        <v>87</v>
      </c>
      <c r="B102" s="253" t="n"/>
      <c r="C102" s="142" t="inlineStr">
        <is>
          <t>01.2.01.01-0019</t>
        </is>
      </c>
      <c r="D102" s="257" t="inlineStr">
        <is>
          <t>Битумы нефтяные дорожные марки: БНД-60/90, БНД 90/130</t>
        </is>
      </c>
      <c r="E102" s="258" t="inlineStr">
        <is>
          <t>т</t>
        </is>
      </c>
      <c r="F102" s="142" t="n">
        <v>0.0141</v>
      </c>
      <c r="G102" s="183" t="n">
        <v>1690</v>
      </c>
      <c r="H102" s="173">
        <f>ROUND(F102*G102,2)</f>
        <v/>
      </c>
    </row>
    <row r="103">
      <c r="A103" s="176" t="n">
        <v>88</v>
      </c>
      <c r="B103" s="253" t="n"/>
      <c r="C103" s="142" t="inlineStr">
        <is>
          <t>11.2.13.04-0012</t>
        </is>
      </c>
      <c r="D103" s="257" t="inlineStr">
        <is>
          <t>Щиты: из досок толщиной 40 мм</t>
        </is>
      </c>
      <c r="E103" s="258" t="inlineStr">
        <is>
          <t>м2</t>
        </is>
      </c>
      <c r="F103" s="142" t="n">
        <v>0.4093</v>
      </c>
      <c r="G103" s="183" t="n">
        <v>57.63</v>
      </c>
      <c r="H103" s="173">
        <f>ROUND(F103*G103,2)</f>
        <v/>
      </c>
    </row>
    <row r="104">
      <c r="A104" s="176" t="n">
        <v>89</v>
      </c>
      <c r="B104" s="253" t="n"/>
      <c r="C104" s="142" t="inlineStr">
        <is>
          <t>01.7.07.12-0024</t>
        </is>
      </c>
      <c r="D104" s="257" t="inlineStr">
        <is>
          <t>Пленка полиэтиленовая толщиной: 0,15 мм</t>
        </is>
      </c>
      <c r="E104" s="258" t="inlineStr">
        <is>
          <t>м2</t>
        </is>
      </c>
      <c r="F104" s="142" t="n">
        <v>5.861</v>
      </c>
      <c r="G104" s="183" t="n">
        <v>3.62</v>
      </c>
      <c r="H104" s="173">
        <f>ROUND(F104*G104,2)</f>
        <v/>
      </c>
    </row>
    <row r="105">
      <c r="A105" s="176" t="n">
        <v>90</v>
      </c>
      <c r="B105" s="253" t="n"/>
      <c r="C105" s="142" t="inlineStr">
        <is>
          <t>01.7.11.07-0034</t>
        </is>
      </c>
      <c r="D105" s="257" t="inlineStr">
        <is>
          <t>Электроды диаметром: 4 мм Э42А</t>
        </is>
      </c>
      <c r="E105" s="258" t="inlineStr">
        <is>
          <t>кг</t>
        </is>
      </c>
      <c r="F105" s="142" t="n">
        <v>1.819</v>
      </c>
      <c r="G105" s="183" t="n">
        <v>10.57</v>
      </c>
      <c r="H105" s="173">
        <f>ROUND(F105*G105,2)</f>
        <v/>
      </c>
    </row>
    <row r="106" customFormat="1" s="160">
      <c r="A106" s="176" t="n">
        <v>91</v>
      </c>
      <c r="B106" s="253" t="n"/>
      <c r="C106" s="142" t="inlineStr">
        <is>
          <t>14.5.09.11-0101</t>
        </is>
      </c>
      <c r="D106" s="257" t="inlineStr">
        <is>
          <t>Уайт-спирит</t>
        </is>
      </c>
      <c r="E106" s="258" t="inlineStr">
        <is>
          <t>т</t>
        </is>
      </c>
      <c r="F106" s="142" t="n">
        <v>0.0027</v>
      </c>
      <c r="G106" s="183" t="n">
        <v>6667</v>
      </c>
      <c r="H106" s="173">
        <f>ROUND(F106*G106,2)</f>
        <v/>
      </c>
    </row>
    <row r="107">
      <c r="A107" s="176" t="n">
        <v>92</v>
      </c>
      <c r="B107" s="253" t="n"/>
      <c r="C107" s="142" t="inlineStr">
        <is>
          <t>01.7.06.07-0001</t>
        </is>
      </c>
      <c r="D107" s="257" t="inlineStr">
        <is>
          <t>Лента К226</t>
        </is>
      </c>
      <c r="E107" s="258" t="inlineStr">
        <is>
          <t>100 м</t>
        </is>
      </c>
      <c r="F107" s="142" t="n">
        <v>0.1482</v>
      </c>
      <c r="G107" s="183" t="n">
        <v>120</v>
      </c>
      <c r="H107" s="173">
        <f>ROUND(F107*G107,2)</f>
        <v/>
      </c>
    </row>
    <row r="108">
      <c r="A108" s="176" t="n">
        <v>93</v>
      </c>
      <c r="B108" s="253" t="n"/>
      <c r="C108" s="142" t="inlineStr">
        <is>
          <t>01.7.03.01-0001</t>
        </is>
      </c>
      <c r="D108" s="257" t="inlineStr">
        <is>
          <t>Вода</t>
        </is>
      </c>
      <c r="E108" s="258" t="inlineStr">
        <is>
          <t>м3</t>
        </is>
      </c>
      <c r="F108" s="142" t="n">
        <v>6.6141</v>
      </c>
      <c r="G108" s="183" t="n">
        <v>2.44</v>
      </c>
      <c r="H108" s="173">
        <f>ROUND(F108*G108,2)</f>
        <v/>
      </c>
    </row>
    <row r="109">
      <c r="A109" s="176" t="n">
        <v>94</v>
      </c>
      <c r="B109" s="253" t="n"/>
      <c r="C109" s="142" t="inlineStr">
        <is>
          <t>01.3.02.09-0022</t>
        </is>
      </c>
      <c r="D109" s="257" t="inlineStr">
        <is>
          <t>Пропан-бутан, смесь техническая</t>
        </is>
      </c>
      <c r="E109" s="258" t="inlineStr">
        <is>
          <t>кг</t>
        </is>
      </c>
      <c r="F109" s="142" t="n">
        <v>2.5923</v>
      </c>
      <c r="G109" s="183" t="n">
        <v>6.09</v>
      </c>
      <c r="H109" s="173">
        <f>ROUND(F109*G109,2)</f>
        <v/>
      </c>
    </row>
    <row r="110" ht="25.95" customHeight="1">
      <c r="A110" s="176" t="n">
        <v>95</v>
      </c>
      <c r="B110" s="253" t="n"/>
      <c r="C110" s="142" t="inlineStr">
        <is>
          <t>04.3.01.12-0003</t>
        </is>
      </c>
      <c r="D110" s="257" t="inlineStr">
        <is>
          <t>Раствор готовый кладочный цементно-известковый марки: 50</t>
        </is>
      </c>
      <c r="E110" s="258" t="inlineStr">
        <is>
          <t>м3</t>
        </is>
      </c>
      <c r="F110" s="142" t="n">
        <v>0.024</v>
      </c>
      <c r="G110" s="183" t="n">
        <v>519.8</v>
      </c>
      <c r="H110" s="173">
        <f>ROUND(F110*G110,2)</f>
        <v/>
      </c>
    </row>
    <row r="111">
      <c r="A111" s="176" t="n">
        <v>96</v>
      </c>
      <c r="B111" s="253" t="n"/>
      <c r="C111" s="142" t="inlineStr">
        <is>
          <t>01.7.15.14-0165</t>
        </is>
      </c>
      <c r="D111" s="257" t="inlineStr">
        <is>
          <t>Шурупы с полукруглой головкой: 4x40 мм</t>
        </is>
      </c>
      <c r="E111" s="258" t="inlineStr">
        <is>
          <t>т</t>
        </is>
      </c>
      <c r="F111" s="142" t="n">
        <v>0.001</v>
      </c>
      <c r="G111" s="183" t="n">
        <v>12430</v>
      </c>
      <c r="H111" s="173">
        <f>ROUND(F111*G111,2)</f>
        <v/>
      </c>
    </row>
    <row r="112" ht="25.95" customHeight="1">
      <c r="A112" s="176" t="n">
        <v>97</v>
      </c>
      <c r="B112" s="253" t="n"/>
      <c r="C112" s="142" t="inlineStr">
        <is>
          <t>01.7.06.05-0041</t>
        </is>
      </c>
      <c r="D112" s="257" t="inlineStr">
        <is>
          <t>Лента изоляционная прорезиненная односторонняя ширина 20 мм, толщина 0,25-0,35 мм</t>
        </is>
      </c>
      <c r="E112" s="258" t="inlineStr">
        <is>
          <t>кг</t>
        </is>
      </c>
      <c r="F112" s="142" t="n">
        <v>0.288</v>
      </c>
      <c r="G112" s="183" t="n">
        <v>30.4</v>
      </c>
      <c r="H112" s="173">
        <f>ROUND(F112*G112,2)</f>
        <v/>
      </c>
    </row>
    <row r="113">
      <c r="A113" s="176" t="n">
        <v>98</v>
      </c>
      <c r="B113" s="253" t="n"/>
      <c r="C113" s="142" t="inlineStr">
        <is>
          <t>01.7.15.03-0042</t>
        </is>
      </c>
      <c r="D113" s="257" t="inlineStr">
        <is>
          <t>Болты с гайками и шайбами строительные</t>
        </is>
      </c>
      <c r="E113" s="258" t="inlineStr">
        <is>
          <t>кг</t>
        </is>
      </c>
      <c r="F113" s="142" t="n">
        <v>0.8928</v>
      </c>
      <c r="G113" s="183" t="n">
        <v>9.039999999999999</v>
      </c>
      <c r="H113" s="173">
        <f>ROUND(F113*G113,2)</f>
        <v/>
      </c>
    </row>
    <row r="114">
      <c r="A114" s="176" t="n">
        <v>99</v>
      </c>
      <c r="B114" s="253" t="n"/>
      <c r="C114" s="142" t="inlineStr">
        <is>
          <t>03.1.02.03-0011</t>
        </is>
      </c>
      <c r="D114" s="257" t="inlineStr">
        <is>
          <t>Известь строительная: негашеная комовая, сорт I</t>
        </is>
      </c>
      <c r="E114" s="258" t="inlineStr">
        <is>
          <t>т</t>
        </is>
      </c>
      <c r="F114" s="142" t="n">
        <v>0.01</v>
      </c>
      <c r="G114" s="183" t="n">
        <v>734.5</v>
      </c>
      <c r="H114" s="173">
        <f>ROUND(F114*G114,2)</f>
        <v/>
      </c>
    </row>
    <row r="115">
      <c r="A115" s="176" t="n">
        <v>100</v>
      </c>
      <c r="B115" s="253" t="n"/>
      <c r="C115" s="142" t="inlineStr">
        <is>
          <t>14.4.03.17-0101</t>
        </is>
      </c>
      <c r="D115" s="257" t="inlineStr">
        <is>
          <t>Лаки канифольные, марки КФ-965</t>
        </is>
      </c>
      <c r="E115" s="258" t="inlineStr">
        <is>
          <t>т</t>
        </is>
      </c>
      <c r="F115" s="142" t="n">
        <v>0.0001</v>
      </c>
      <c r="G115" s="183" t="n">
        <v>70200</v>
      </c>
      <c r="H115" s="173">
        <f>ROUND(F115*G115,2)</f>
        <v/>
      </c>
    </row>
    <row r="116">
      <c r="A116" s="176" t="n">
        <v>101</v>
      </c>
      <c r="B116" s="253" t="n"/>
      <c r="C116" s="142" t="inlineStr">
        <is>
          <t>01.3.01.03-0002</t>
        </is>
      </c>
      <c r="D116" s="257" t="inlineStr">
        <is>
          <t>Керосин для технических целей марок КТ-1, КТ-2</t>
        </is>
      </c>
      <c r="E116" s="258" t="inlineStr">
        <is>
          <t>т</t>
        </is>
      </c>
      <c r="F116" s="142" t="n">
        <v>0.0024</v>
      </c>
      <c r="G116" s="183" t="n">
        <v>2606.9</v>
      </c>
      <c r="H116" s="173">
        <f>ROUND(F116*G116,2)</f>
        <v/>
      </c>
    </row>
    <row r="117" ht="25.95" customHeight="1">
      <c r="A117" s="176" t="n">
        <v>102</v>
      </c>
      <c r="B117" s="253" t="n"/>
      <c r="C117" s="142" t="inlineStr">
        <is>
          <t>08.3.03.06-0002</t>
        </is>
      </c>
      <c r="D117" s="257" t="inlineStr">
        <is>
          <t>Проволока горячекатаная в мотках, диаметром 6,3-6,5 мм</t>
        </is>
      </c>
      <c r="E117" s="258" t="inlineStr">
        <is>
          <t>т</t>
        </is>
      </c>
      <c r="F117" s="142" t="n">
        <v>0.0012</v>
      </c>
      <c r="G117" s="183" t="n">
        <v>4455.2</v>
      </c>
      <c r="H117" s="173">
        <f>ROUND(F117*G117,2)</f>
        <v/>
      </c>
    </row>
    <row r="118">
      <c r="A118" s="176" t="n">
        <v>103</v>
      </c>
      <c r="B118" s="253" t="n"/>
      <c r="C118" s="142" t="inlineStr">
        <is>
          <t>01.3.01.02-0002</t>
        </is>
      </c>
      <c r="D118" s="257" t="inlineStr">
        <is>
          <t>Вазелин технический</t>
        </is>
      </c>
      <c r="E118" s="258" t="inlineStr">
        <is>
          <t>кг</t>
        </is>
      </c>
      <c r="F118" s="142" t="n">
        <v>0.07199999999999999</v>
      </c>
      <c r="G118" s="183" t="n">
        <v>44.97</v>
      </c>
      <c r="H118" s="173">
        <f>ROUND(F118*G118,2)</f>
        <v/>
      </c>
    </row>
    <row r="119">
      <c r="A119" s="176" t="n">
        <v>104</v>
      </c>
      <c r="B119" s="253" t="n"/>
      <c r="C119" s="142" t="inlineStr">
        <is>
          <t>01.7.11.07-0035</t>
        </is>
      </c>
      <c r="D119" s="257" t="inlineStr">
        <is>
          <t>Электроды диаметром: 4 мм Э46</t>
        </is>
      </c>
      <c r="E119" s="258" t="inlineStr">
        <is>
          <t>т</t>
        </is>
      </c>
      <c r="F119" s="142" t="n">
        <v>0.0003</v>
      </c>
      <c r="G119" s="183" t="n">
        <v>10749</v>
      </c>
      <c r="H119" s="173">
        <f>ROUND(F119*G119,2)</f>
        <v/>
      </c>
    </row>
    <row r="120">
      <c r="A120" s="176" t="n">
        <v>105</v>
      </c>
      <c r="B120" s="253" t="n"/>
      <c r="C120" s="142" t="inlineStr">
        <is>
          <t>08.3.11.01-0091</t>
        </is>
      </c>
      <c r="D120" s="257" t="inlineStr">
        <is>
          <t>Швеллеры № 40 из стали марки: Ст0</t>
        </is>
      </c>
      <c r="E120" s="258" t="inlineStr">
        <is>
          <t>т</t>
        </is>
      </c>
      <c r="F120" s="142" t="n">
        <v>0.0005999999999999999</v>
      </c>
      <c r="G120" s="183" t="n">
        <v>4920</v>
      </c>
      <c r="H120" s="173">
        <f>ROUND(F120*G120,2)</f>
        <v/>
      </c>
    </row>
    <row r="121" customFormat="1" s="160">
      <c r="A121" s="176" t="n">
        <v>106</v>
      </c>
      <c r="B121" s="253" t="n"/>
      <c r="C121" s="142" t="inlineStr">
        <is>
          <t>01.7.20.04-0005</t>
        </is>
      </c>
      <c r="D121" s="257" t="inlineStr">
        <is>
          <t>Нитки швейные</t>
        </is>
      </c>
      <c r="E121" s="258" t="inlineStr">
        <is>
          <t>кг</t>
        </is>
      </c>
      <c r="F121" s="142" t="n">
        <v>0.0144</v>
      </c>
      <c r="G121" s="183" t="n">
        <v>133.05</v>
      </c>
      <c r="H121" s="173">
        <f>ROUND(F121*G121,2)</f>
        <v/>
      </c>
    </row>
    <row r="122">
      <c r="A122" s="176" t="n">
        <v>107</v>
      </c>
      <c r="B122" s="253" t="n"/>
      <c r="C122" s="142" t="inlineStr">
        <is>
          <t>14.5.09.07-0029</t>
        </is>
      </c>
      <c r="D122" s="257" t="inlineStr">
        <is>
          <t>Растворитель марки: Р-4</t>
        </is>
      </c>
      <c r="E122" s="258" t="inlineStr">
        <is>
          <t>т</t>
        </is>
      </c>
      <c r="F122" s="142" t="n">
        <v>0.0002</v>
      </c>
      <c r="G122" s="183" t="n">
        <v>9420</v>
      </c>
      <c r="H122" s="173">
        <f>ROUND(F122*G122,2)</f>
        <v/>
      </c>
    </row>
    <row r="123">
      <c r="A123" s="176" t="n">
        <v>108</v>
      </c>
      <c r="B123" s="253" t="n"/>
      <c r="C123" s="142" t="inlineStr">
        <is>
          <t>01.2.01.02-0054</t>
        </is>
      </c>
      <c r="D123" s="257" t="inlineStr">
        <is>
          <t>Битумы нефтяные строительные марки: БН-90/10</t>
        </is>
      </c>
      <c r="E123" s="258" t="inlineStr">
        <is>
          <t>т</t>
        </is>
      </c>
      <c r="F123" s="142" t="n">
        <v>0.0012</v>
      </c>
      <c r="G123" s="183" t="n">
        <v>1383.1</v>
      </c>
      <c r="H123" s="173">
        <f>ROUND(F123*G123,2)</f>
        <v/>
      </c>
    </row>
    <row r="124" ht="51.6" customHeight="1">
      <c r="A124" s="176" t="n">
        <v>109</v>
      </c>
      <c r="B124" s="253" t="n"/>
      <c r="C124" s="142" t="inlineStr">
        <is>
          <t>07.2.07.12-0020</t>
        </is>
      </c>
      <c r="D124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58" t="inlineStr">
        <is>
          <t>т</t>
        </is>
      </c>
      <c r="F124" s="142" t="n">
        <v>0.0002</v>
      </c>
      <c r="G124" s="183" t="n">
        <v>7712</v>
      </c>
      <c r="H124" s="173">
        <f>ROUND(F124*G124,2)</f>
        <v/>
      </c>
    </row>
    <row r="125">
      <c r="A125" s="176" t="n">
        <v>110</v>
      </c>
      <c r="B125" s="253" t="n"/>
      <c r="C125" s="142" t="inlineStr">
        <is>
          <t>01.7.15.14-0043</t>
        </is>
      </c>
      <c r="D125" s="257" t="inlineStr">
        <is>
          <t>Шуруп самонарезающий: (LN) 3,5/11 мм</t>
        </is>
      </c>
      <c r="E125" s="258" t="inlineStr">
        <is>
          <t>100 шт</t>
        </is>
      </c>
      <c r="F125" s="142" t="n">
        <v>0.714</v>
      </c>
      <c r="G125" s="183" t="n">
        <v>2</v>
      </c>
      <c r="H125" s="173">
        <f>ROUND(F125*G125,2)</f>
        <v/>
      </c>
    </row>
    <row r="126" ht="25.95" customHeight="1">
      <c r="A126" s="176" t="n">
        <v>111</v>
      </c>
      <c r="B126" s="253" t="n"/>
      <c r="C126" s="142" t="inlineStr">
        <is>
          <t>11.1.03.01-0077</t>
        </is>
      </c>
      <c r="D126" s="257" t="inlineStr">
        <is>
          <t>Бруски обрезные хвойных пород длиной: 4-6,5 м, шириной 75-150 мм, толщиной 40-75 мм, I сорта</t>
        </is>
      </c>
      <c r="E126" s="258" t="inlineStr">
        <is>
          <t>м3</t>
        </is>
      </c>
      <c r="F126" s="142" t="n">
        <v>0.0004</v>
      </c>
      <c r="G126" s="183" t="n">
        <v>1700</v>
      </c>
      <c r="H126" s="173">
        <f>ROUND(F126*G126,2)</f>
        <v/>
      </c>
    </row>
    <row r="127">
      <c r="A127" s="176" t="n">
        <v>112</v>
      </c>
      <c r="B127" s="253" t="n"/>
      <c r="C127" s="142" t="inlineStr">
        <is>
          <t>01.7.02.09-0002</t>
        </is>
      </c>
      <c r="D127" s="257" t="inlineStr">
        <is>
          <t>Шпагат бумажный</t>
        </is>
      </c>
      <c r="E127" s="258" t="inlineStr">
        <is>
          <t>кг</t>
        </is>
      </c>
      <c r="F127" s="142" t="n">
        <v>0.036</v>
      </c>
      <c r="G127" s="183" t="n">
        <v>11.5</v>
      </c>
      <c r="H127" s="173">
        <f>ROUND(F127*G127,2)</f>
        <v/>
      </c>
    </row>
    <row r="128" ht="51.6" customHeight="1">
      <c r="A128" s="176" t="n">
        <v>113</v>
      </c>
      <c r="B128" s="253" t="n"/>
      <c r="C128" s="142" t="inlineStr">
        <is>
          <t>08.2.02.11-0007</t>
        </is>
      </c>
      <c r="D128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58" t="inlineStr">
        <is>
          <t>10 м</t>
        </is>
      </c>
      <c r="F128" s="142" t="n">
        <v>0.0064</v>
      </c>
      <c r="G128" s="183" t="n">
        <v>50.24</v>
      </c>
      <c r="H128" s="173">
        <f>ROUND(F128*G128,2)</f>
        <v/>
      </c>
    </row>
    <row r="129" hidden="1" ht="25.95" customHeight="1">
      <c r="A129" s="176" t="n">
        <v>114</v>
      </c>
      <c r="B129" s="253" t="n"/>
      <c r="C129" s="142" t="inlineStr">
        <is>
          <t>02.2.05.04-0093</t>
        </is>
      </c>
      <c r="D129" s="257" t="inlineStr">
        <is>
          <t>Щебень из природного камня для строительных работ марка: 800, фракция 20-40 мм</t>
        </is>
      </c>
      <c r="E129" s="258" t="inlineStr">
        <is>
          <t>м3</t>
        </is>
      </c>
      <c r="F129" s="142" t="n">
        <v>0.0028</v>
      </c>
      <c r="G129" s="183" t="n">
        <v>108.4</v>
      </c>
      <c r="H129" s="173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49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tabSelected="1" view="pageBreakPreview" zoomScale="115" zoomScaleSheetLayoutView="115" workbookViewId="0">
      <selection activeCell="J10" sqref="J10"/>
    </sheetView>
  </sheetViews>
  <sheetFormatPr baseColWidth="8" defaultColWidth="9.109375" defaultRowHeight="14.4"/>
  <cols>
    <col width="4.109375" customWidth="1" min="1" max="1"/>
    <col width="36.33203125" customWidth="1" min="2" max="2"/>
    <col width="18.88671875" customWidth="1" min="3" max="3"/>
    <col width="18.33203125" customWidth="1" min="4" max="4"/>
    <col width="18.88671875" customWidth="1" min="5" max="5"/>
    <col width="11.44140625" customWidth="1" min="6" max="6"/>
    <col width="14.44140625" customWidth="1" min="7" max="7"/>
    <col width="13.554687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6" t="inlineStr">
        <is>
          <t>Ресурсная модель</t>
        </is>
      </c>
    </row>
    <row r="6">
      <c r="B6" s="168" t="n"/>
      <c r="C6" s="4" t="n"/>
      <c r="D6" s="4" t="n"/>
      <c r="E6" s="4" t="n"/>
    </row>
    <row r="7" ht="25.5" customHeight="1">
      <c r="B7" s="255" t="inlineStr">
        <is>
          <t>Наименование разрабатываемого показателя УНЦ — КТП, РП, РТП 6-20 кВ блочного типа (бетонные, сэндвич-панели)</t>
        </is>
      </c>
    </row>
    <row r="8">
      <c r="B8" s="256" t="inlineStr">
        <is>
          <t>Единица измерения  — 1 ед.</t>
        </is>
      </c>
    </row>
    <row r="9">
      <c r="B9" s="168" t="n"/>
      <c r="C9" s="4" t="n"/>
      <c r="D9" s="4" t="n"/>
      <c r="E9" s="4" t="n"/>
    </row>
    <row r="10" ht="51.6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323" t="inlineStr">
        <is>
          <t>Оплата труда рабочих</t>
        </is>
      </c>
      <c r="C11" s="166">
        <f>'Прил.5 Расчет СМР и ОБ'!J16</f>
        <v/>
      </c>
      <c r="D11" s="325">
        <f>C11/$C$24</f>
        <v/>
      </c>
      <c r="E11" s="325">
        <f>C11/$C$40</f>
        <v/>
      </c>
    </row>
    <row r="12">
      <c r="B12" s="323" t="inlineStr">
        <is>
          <t>Эксплуатация машин основных</t>
        </is>
      </c>
      <c r="C12" s="166">
        <f>'Прил.5 Расчет СМР и ОБ'!J28</f>
        <v/>
      </c>
      <c r="D12" s="325">
        <f>C12/$C$24</f>
        <v/>
      </c>
      <c r="E12" s="325">
        <f>C12/$C$40</f>
        <v/>
      </c>
    </row>
    <row r="13">
      <c r="B13" s="323" t="inlineStr">
        <is>
          <t>Эксплуатация машин прочих</t>
        </is>
      </c>
      <c r="C13" s="166">
        <f>'Прил.5 Расчет СМР и ОБ'!J56</f>
        <v/>
      </c>
      <c r="D13" s="325">
        <f>C13/$C$24</f>
        <v/>
      </c>
      <c r="E13" s="325">
        <f>C13/$C$40</f>
        <v/>
      </c>
    </row>
    <row r="14">
      <c r="B14" s="323" t="inlineStr">
        <is>
          <t>ЭКСПЛУАТАЦИЯ МАШИН, ВСЕГО:</t>
        </is>
      </c>
      <c r="C14" s="166">
        <f>C13+C12</f>
        <v/>
      </c>
      <c r="D14" s="325">
        <f>C14/$C$24</f>
        <v/>
      </c>
      <c r="E14" s="325">
        <f>C14/$C$40</f>
        <v/>
      </c>
    </row>
    <row r="15">
      <c r="B15" s="323" t="inlineStr">
        <is>
          <t>в том числе зарплата машинистов</t>
        </is>
      </c>
      <c r="C15" s="166">
        <f>'Прил.5 Расчет СМР и ОБ'!J19</f>
        <v/>
      </c>
      <c r="D15" s="325">
        <f>C15/$C$24</f>
        <v/>
      </c>
      <c r="E15" s="325">
        <f>C15/$C$40</f>
        <v/>
      </c>
    </row>
    <row r="16">
      <c r="B16" s="323" t="inlineStr">
        <is>
          <t>Материалы основные</t>
        </is>
      </c>
      <c r="C16" s="166">
        <f>'Прил.5 Расчет СМР и ОБ'!J66</f>
        <v/>
      </c>
      <c r="D16" s="325">
        <f>C16/$C$24</f>
        <v/>
      </c>
      <c r="E16" s="325">
        <f>C16/$C$40</f>
        <v/>
      </c>
    </row>
    <row r="17">
      <c r="B17" s="323" t="inlineStr">
        <is>
          <t>Материалы прочие</t>
        </is>
      </c>
      <c r="C17" s="166">
        <f>'Прил.5 Расчет СМР и ОБ'!J67</f>
        <v/>
      </c>
      <c r="D17" s="325">
        <f>C17/$C$24</f>
        <v/>
      </c>
      <c r="E17" s="325">
        <f>C17/$C$40</f>
        <v/>
      </c>
    </row>
    <row r="18">
      <c r="B18" s="323" t="inlineStr">
        <is>
          <t>МАТЕРИАЛЫ, ВСЕГО:</t>
        </is>
      </c>
      <c r="C18" s="166">
        <f>C17+C16</f>
        <v/>
      </c>
      <c r="D18" s="325">
        <f>C18/$C$24</f>
        <v/>
      </c>
      <c r="E18" s="325">
        <f>C18/$C$40</f>
        <v/>
      </c>
    </row>
    <row r="19">
      <c r="B19" s="323" t="inlineStr">
        <is>
          <t>ИТОГО</t>
        </is>
      </c>
      <c r="C19" s="166">
        <f>C18+C14+C11</f>
        <v/>
      </c>
      <c r="D19" s="325" t="n"/>
      <c r="E19" s="323" t="n"/>
    </row>
    <row r="20">
      <c r="B20" s="323" t="inlineStr">
        <is>
          <t>Сметная прибыль, руб.</t>
        </is>
      </c>
      <c r="C20" s="166">
        <f>'Прил.5 Расчет СМР и ОБ'!J74</f>
        <v/>
      </c>
      <c r="D20" s="325">
        <f>C20/$C$24</f>
        <v/>
      </c>
      <c r="E20" s="325">
        <f>C20/$C$40</f>
        <v/>
      </c>
    </row>
    <row r="21">
      <c r="B21" s="323" t="inlineStr">
        <is>
          <t>Сметная прибыль, %</t>
        </is>
      </c>
      <c r="C21" s="27">
        <f>'Прил.5 Расчет СМР и ОБ'!D73</f>
        <v/>
      </c>
      <c r="D21" s="325" t="n"/>
      <c r="E21" s="323" t="n"/>
    </row>
    <row r="22">
      <c r="B22" s="323" t="inlineStr">
        <is>
          <t>Накладные расходы, руб.</t>
        </is>
      </c>
      <c r="C22" s="166">
        <f>'Прил.5 Расчет СМР и ОБ'!J72</f>
        <v/>
      </c>
      <c r="D22" s="325">
        <f>C22/$C$24</f>
        <v/>
      </c>
      <c r="E22" s="325">
        <f>C22/$C$40</f>
        <v/>
      </c>
    </row>
    <row r="23">
      <c r="B23" s="323" t="inlineStr">
        <is>
          <t>Накладные расходы, %</t>
        </is>
      </c>
      <c r="C23" s="27">
        <f>'Прил.5 Расчет СМР и ОБ'!D71</f>
        <v/>
      </c>
      <c r="D23" s="325" t="n"/>
      <c r="E23" s="323" t="n"/>
    </row>
    <row r="24">
      <c r="B24" s="323" t="inlineStr">
        <is>
          <t>ВСЕГО СМР с НР и СП</t>
        </is>
      </c>
      <c r="C24" s="166">
        <f>C19+C20+C22</f>
        <v/>
      </c>
      <c r="D24" s="325">
        <f>C24/$C$24</f>
        <v/>
      </c>
      <c r="E24" s="325">
        <f>C24/$C$40</f>
        <v/>
      </c>
    </row>
    <row r="25" ht="25.95" customHeight="1">
      <c r="B25" s="323" t="inlineStr">
        <is>
          <t>ВСЕГО стоимость оборудования, в том числе</t>
        </is>
      </c>
      <c r="C25" s="166">
        <f>'Прил.5 Расчет СМР и ОБ'!J63</f>
        <v/>
      </c>
      <c r="D25" s="325" t="n"/>
      <c r="E25" s="325">
        <f>C25/$C$40</f>
        <v/>
      </c>
    </row>
    <row r="26" ht="25.95" customHeight="1">
      <c r="B26" s="323" t="inlineStr">
        <is>
          <t>стоимость оборудования технологического</t>
        </is>
      </c>
      <c r="C26" s="166">
        <f>'Прил.5 Расчет СМР и ОБ'!J64</f>
        <v/>
      </c>
      <c r="D26" s="325" t="n"/>
      <c r="E26" s="325">
        <f>C26/$C$40</f>
        <v/>
      </c>
    </row>
    <row r="27">
      <c r="B27" s="323" t="inlineStr">
        <is>
          <t>ИТОГО (СМР + ОБОРУДОВАНИЕ)</t>
        </is>
      </c>
      <c r="C27" s="324">
        <f>C24+C25</f>
        <v/>
      </c>
      <c r="D27" s="325" t="n"/>
      <c r="E27" s="325">
        <f>C27/$C$40</f>
        <v/>
      </c>
    </row>
    <row r="28" ht="33" customHeight="1">
      <c r="B28" s="323" t="inlineStr">
        <is>
          <t>ПРОЧ. ЗАТР., УЧТЕННЫЕ ПОКАЗАТЕЛЕМ,  в том числе</t>
        </is>
      </c>
      <c r="C28" s="323" t="n"/>
      <c r="D28" s="323" t="n"/>
      <c r="E28" s="323" t="n"/>
      <c r="F28" s="167" t="n"/>
    </row>
    <row r="29" ht="25.5" customHeight="1">
      <c r="B29" s="323" t="inlineStr">
        <is>
          <t>Временные здания и сооружения - 2,5%</t>
        </is>
      </c>
      <c r="C29" s="324">
        <f>ROUND(C24*2.5%,2)</f>
        <v/>
      </c>
      <c r="D29" s="323" t="n"/>
      <c r="E29" s="325">
        <f>C29/$C$40</f>
        <v/>
      </c>
    </row>
    <row r="30" ht="38.85" customHeight="1">
      <c r="B30" s="323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323" t="n"/>
      <c r="E30" s="325">
        <f>C30/$C$40</f>
        <v/>
      </c>
      <c r="F30" s="167" t="n"/>
    </row>
    <row r="31">
      <c r="B31" s="323" t="inlineStr">
        <is>
          <t>Пусконаладочные работы</t>
        </is>
      </c>
      <c r="C31" s="324" t="n">
        <v>0</v>
      </c>
      <c r="D31" s="323" t="n"/>
      <c r="E31" s="325">
        <f>C31/$C$40</f>
        <v/>
      </c>
    </row>
    <row r="32" ht="25.95" customHeight="1">
      <c r="B32" s="323" t="inlineStr">
        <is>
          <t>Затраты по перевозке работников к месту работы и обратно</t>
        </is>
      </c>
      <c r="C32" s="324">
        <f>ROUND(C27*0%,2)</f>
        <v/>
      </c>
      <c r="D32" s="323" t="n"/>
      <c r="E32" s="325">
        <f>C32/$C$40</f>
        <v/>
      </c>
    </row>
    <row r="33" ht="25.95" customHeight="1">
      <c r="B33" s="323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323" t="n"/>
      <c r="E33" s="325">
        <f>C33/$C$40</f>
        <v/>
      </c>
    </row>
    <row r="34" ht="51.6" customHeight="1">
      <c r="B34" s="32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323" t="n"/>
      <c r="E34" s="325">
        <f>C34/$C$40</f>
        <v/>
      </c>
      <c r="H34" s="170" t="n"/>
    </row>
    <row r="35" ht="77.40000000000001" customHeight="1">
      <c r="B35" s="32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323" t="n"/>
      <c r="E35" s="325">
        <f>C35/$C$40</f>
        <v/>
      </c>
    </row>
    <row r="36" ht="25.95" customHeight="1">
      <c r="B36" s="323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323" t="n"/>
      <c r="E36" s="325">
        <f>C36/$C$40</f>
        <v/>
      </c>
      <c r="L36" s="167" t="n"/>
    </row>
    <row r="37">
      <c r="B37" s="323" t="inlineStr">
        <is>
          <t>Авторский надзор - 0,2%</t>
        </is>
      </c>
      <c r="C37" s="324">
        <f>ROUND((C27+C32+C33+C34+C35+C29+C31+C30)*0.2%,2)</f>
        <v/>
      </c>
      <c r="D37" s="323" t="n"/>
      <c r="E37" s="325">
        <f>C37/$C$40</f>
        <v/>
      </c>
      <c r="L37" s="167" t="n"/>
    </row>
    <row r="38" ht="33" customHeight="1">
      <c r="B38" s="323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323" t="n"/>
      <c r="E38" s="325">
        <f>C38/$C$40</f>
        <v/>
      </c>
    </row>
    <row r="39" ht="13.65" customHeight="1">
      <c r="B39" s="323" t="inlineStr">
        <is>
          <t>Непредвиденные расходы</t>
        </is>
      </c>
      <c r="C39" s="166">
        <f>ROUND(C38*3%,2)</f>
        <v/>
      </c>
      <c r="D39" s="323" t="n"/>
      <c r="E39" s="325">
        <f>C39/$C$38</f>
        <v/>
      </c>
    </row>
    <row r="40">
      <c r="B40" s="323" t="inlineStr">
        <is>
          <t>ВСЕГО:</t>
        </is>
      </c>
      <c r="C40" s="166">
        <f>C39+C38</f>
        <v/>
      </c>
      <c r="D40" s="323" t="n"/>
      <c r="E40" s="325">
        <f>C40/$C$40</f>
        <v/>
      </c>
    </row>
    <row r="41">
      <c r="B41" s="323" t="inlineStr">
        <is>
          <t>ИТОГО ПОКАЗАТЕЛЬ НА ЕД. ИЗМ.</t>
        </is>
      </c>
      <c r="C41" s="166">
        <f>C40/'Прил.5 Расчет СМР и ОБ'!E77</f>
        <v/>
      </c>
      <c r="D41" s="323" t="n"/>
      <c r="E41" s="323" t="n"/>
    </row>
    <row r="42">
      <c r="B42" s="165" t="n"/>
      <c r="C42" s="4" t="n"/>
      <c r="D42" s="4" t="n"/>
      <c r="E42" s="4" t="n"/>
    </row>
    <row r="43">
      <c r="B43" s="16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5" t="n"/>
      <c r="C45" s="4" t="n"/>
      <c r="D45" s="4" t="n"/>
      <c r="E45" s="4" t="n"/>
    </row>
    <row r="46">
      <c r="B46" s="16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4"/>
  <sheetViews>
    <sheetView view="pageBreakPreview" topLeftCell="A46" zoomScale="55" zoomScaleSheetLayoutView="55" workbookViewId="0">
      <selection activeCell="D6" sqref="D6:J6"/>
    </sheetView>
  </sheetViews>
  <sheetFormatPr baseColWidth="8" defaultColWidth="9.109375" defaultRowHeight="14.4" outlineLevelRow="1"/>
  <cols>
    <col width="5.6640625" customWidth="1" style="12" min="1" max="1"/>
    <col width="22.5546875" customWidth="1" style="12" min="2" max="2"/>
    <col width="39.109375" customWidth="1" style="12" min="3" max="3"/>
    <col width="10.6640625" customWidth="1" style="12" min="4" max="4"/>
    <col width="12.6640625" customWidth="1" style="12" min="5" max="5"/>
    <col width="15" customWidth="1" style="189" min="6" max="6"/>
    <col width="13.44140625" customWidth="1" style="12" min="7" max="7"/>
    <col width="12.6640625" customWidth="1" style="12" min="8" max="8"/>
    <col width="13.88671875" customWidth="1" style="12" min="9" max="9"/>
    <col width="17.5546875" customWidth="1" style="12" min="10" max="10"/>
    <col width="10.88671875" customWidth="1" style="12" min="11" max="11"/>
    <col width="9.109375" customWidth="1" style="12" min="12" max="12"/>
  </cols>
  <sheetData>
    <row r="1">
      <c r="M1" s="12" t="n"/>
      <c r="N1" s="12" t="n"/>
    </row>
    <row r="2" ht="15.6" customHeight="1">
      <c r="H2" s="26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65" customFormat="1" customHeight="1" s="4">
      <c r="A4" s="236" t="inlineStr">
        <is>
          <t>Расчет стоимости СМР и оборудования</t>
        </is>
      </c>
    </row>
    <row r="5" ht="13.65" customFormat="1" customHeight="1" s="4">
      <c r="A5" s="236" t="n"/>
      <c r="B5" s="236" t="n"/>
      <c r="C5" s="279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71" t="inlineStr">
        <is>
          <t>КТП, РП, РТП 6-20 кВ блочного типа (бетонные, сэндвич-панели)</t>
        </is>
      </c>
    </row>
    <row r="7" ht="12.9" customFormat="1" customHeight="1" s="4">
      <c r="A7" s="239" t="inlineStr">
        <is>
          <t>Единица измерения  — 1 ед.</t>
        </is>
      </c>
      <c r="I7" s="255" t="n"/>
      <c r="J7" s="255" t="n"/>
    </row>
    <row r="8" ht="13.65" customFormat="1" customHeight="1" s="4">
      <c r="A8" s="239" t="n"/>
    </row>
    <row r="9" ht="13.2" customFormat="1" customHeight="1" s="4">
      <c r="F9" s="165" t="n"/>
    </row>
    <row r="10" ht="27" customHeight="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7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7" t="n"/>
      <c r="M10" s="12" t="n"/>
      <c r="N10" s="12" t="n"/>
    </row>
    <row r="11" ht="28.5" customHeight="1">
      <c r="A11" s="329" t="n"/>
      <c r="B11" s="329" t="n"/>
      <c r="C11" s="329" t="n"/>
      <c r="D11" s="329" t="n"/>
      <c r="E11" s="329" t="n"/>
      <c r="F11" s="258" t="inlineStr">
        <is>
          <t>на ед. изм.</t>
        </is>
      </c>
      <c r="G11" s="258" t="inlineStr">
        <is>
          <t>общая</t>
        </is>
      </c>
      <c r="H11" s="329" t="n"/>
      <c r="I11" s="258" t="inlineStr">
        <is>
          <t>на ед. изм.</t>
        </is>
      </c>
      <c r="J11" s="258" t="inlineStr">
        <is>
          <t>общая</t>
        </is>
      </c>
      <c r="M11" s="12" t="n"/>
      <c r="N11" s="12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69" t="n">
        <v>9</v>
      </c>
      <c r="J12" s="269" t="n">
        <v>10</v>
      </c>
      <c r="M12" s="12" t="n"/>
      <c r="N12" s="12" t="n"/>
    </row>
    <row r="13">
      <c r="A13" s="258" t="n"/>
      <c r="B13" s="251" t="inlineStr">
        <is>
          <t>Затраты труда рабочих-строителей</t>
        </is>
      </c>
      <c r="C13" s="326" t="n"/>
      <c r="D13" s="326" t="n"/>
      <c r="E13" s="326" t="n"/>
      <c r="F13" s="326" t="n"/>
      <c r="G13" s="326" t="n"/>
      <c r="H13" s="327" t="n"/>
      <c r="I13" s="132" t="n"/>
      <c r="J13" s="132" t="n"/>
    </row>
    <row r="14" ht="25.95" customHeight="1">
      <c r="A14" s="258" t="n">
        <v>1</v>
      </c>
      <c r="B14" s="142" t="inlineStr">
        <is>
          <t>1-3-4</t>
        </is>
      </c>
      <c r="C14" s="257" t="inlineStr">
        <is>
          <t>Затраты труда рабочих-строителей среднего разряда (3,4)</t>
        </is>
      </c>
      <c r="D14" s="258" t="inlineStr">
        <is>
          <t>чел.-ч.</t>
        </is>
      </c>
      <c r="E14" s="336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ФОТр.тек.!E13</f>
        <v/>
      </c>
      <c r="J14" s="30">
        <f>ROUND(I14*E14,2)</f>
        <v/>
      </c>
    </row>
    <row r="15" ht="27.15" customFormat="1" customHeight="1" s="12">
      <c r="A15" s="258" t="n"/>
      <c r="B15" s="258" t="n"/>
      <c r="C15" s="251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336">
        <f>SUM(E14:E14)</f>
        <v/>
      </c>
      <c r="F15" s="30" t="n"/>
      <c r="G15" s="30">
        <f>SUM(G14:G14)</f>
        <v/>
      </c>
      <c r="H15" s="261" t="n">
        <v>1</v>
      </c>
      <c r="I15" s="132" t="n"/>
      <c r="J15" s="30">
        <f>SUM(J14:J14)</f>
        <v/>
      </c>
    </row>
    <row r="16" ht="38.25" customFormat="1" customHeight="1" s="220">
      <c r="A16" s="213" t="n"/>
      <c r="B16" s="213" t="n"/>
      <c r="C16" s="214" t="inlineStr">
        <is>
          <t>Итого по разделу "Затраты труда рабочих-строителей" 
(с коэффициентом на демонтаж 0,7)</t>
        </is>
      </c>
      <c r="D16" s="213" t="inlineStr">
        <is>
          <t>чел.-ч.</t>
        </is>
      </c>
      <c r="E16" s="215" t="n"/>
      <c r="F16" s="216" t="n"/>
      <c r="G16" s="217">
        <f>SUM(G15)*0.7</f>
        <v/>
      </c>
      <c r="H16" s="218" t="n">
        <v>1</v>
      </c>
      <c r="I16" s="219" t="n"/>
      <c r="J16" s="217">
        <f>SUM(J14)*0.7</f>
        <v/>
      </c>
    </row>
    <row r="17" ht="13.65" customFormat="1" customHeight="1" s="12">
      <c r="A17" s="258" t="n"/>
      <c r="B17" s="257" t="inlineStr">
        <is>
          <t>Затраты труда машинистов</t>
        </is>
      </c>
      <c r="C17" s="326" t="n"/>
      <c r="D17" s="326" t="n"/>
      <c r="E17" s="326" t="n"/>
      <c r="F17" s="326" t="n"/>
      <c r="G17" s="326" t="n"/>
      <c r="H17" s="327" t="n"/>
      <c r="I17" s="132" t="n"/>
      <c r="J17" s="132" t="n"/>
    </row>
    <row r="18" ht="13.65" customFormat="1" customHeight="1" s="12">
      <c r="A18" s="258" t="n">
        <v>2</v>
      </c>
      <c r="B18" s="258" t="n">
        <v>2</v>
      </c>
      <c r="C18" s="257" t="inlineStr">
        <is>
          <t>Затраты труда машинистов</t>
        </is>
      </c>
      <c r="D18" s="258" t="inlineStr">
        <is>
          <t>чел.-ч.</t>
        </is>
      </c>
      <c r="E18" s="336">
        <f>'Прил. 3'!F27</f>
        <v/>
      </c>
      <c r="F18" s="260">
        <f>G18/E18</f>
        <v/>
      </c>
      <c r="G18" s="30">
        <f>'Прил. 3'!H26</f>
        <v/>
      </c>
      <c r="H18" s="261" t="n">
        <v>1</v>
      </c>
      <c r="I18" s="30">
        <f>ROUND(F18*'Прил. 10'!D11,2)</f>
        <v/>
      </c>
      <c r="J18" s="30">
        <f>ROUND(I18*E18,2)</f>
        <v/>
      </c>
    </row>
    <row r="19" ht="25.5" customFormat="1" customHeight="1" s="220">
      <c r="A19" s="213" t="n"/>
      <c r="B19" s="213" t="n"/>
      <c r="C19" s="221" t="inlineStr">
        <is>
          <t>Затраты труда машинистов 
(с коэффициентом на демонтаж 0,7)</t>
        </is>
      </c>
      <c r="D19" s="222" t="n"/>
      <c r="E19" s="222" t="n"/>
      <c r="F19" s="222" t="n"/>
      <c r="G19" s="223">
        <f>G18*0.7</f>
        <v/>
      </c>
      <c r="H19" s="224">
        <f>H18</f>
        <v/>
      </c>
      <c r="I19" s="225" t="n"/>
      <c r="J19" s="223">
        <f>J18*0.7</f>
        <v/>
      </c>
    </row>
    <row r="20" ht="13.65" customFormat="1" customHeight="1" s="12">
      <c r="A20" s="258" t="n"/>
      <c r="B20" s="251" t="inlineStr">
        <is>
          <t>Машины и механизмы</t>
        </is>
      </c>
      <c r="C20" s="326" t="n"/>
      <c r="D20" s="326" t="n"/>
      <c r="E20" s="326" t="n"/>
      <c r="F20" s="326" t="n"/>
      <c r="G20" s="326" t="n"/>
      <c r="H20" s="327" t="n"/>
      <c r="I20" s="132" t="n"/>
      <c r="J20" s="132" t="n"/>
    </row>
    <row r="21" ht="13.65" customFormat="1" customHeight="1" s="12">
      <c r="A21" s="258" t="n"/>
      <c r="B21" s="257" t="inlineStr">
        <is>
          <t>Основные машины и механизмы</t>
        </is>
      </c>
      <c r="C21" s="326" t="n"/>
      <c r="D21" s="326" t="n"/>
      <c r="E21" s="326" t="n"/>
      <c r="F21" s="326" t="n"/>
      <c r="G21" s="326" t="n"/>
      <c r="H21" s="327" t="n"/>
      <c r="I21" s="132" t="n"/>
      <c r="J21" s="132" t="n"/>
    </row>
    <row r="22" ht="25.95" customFormat="1" customHeight="1" s="12">
      <c r="A22" s="258" t="n">
        <v>3</v>
      </c>
      <c r="B22" s="142" t="inlineStr">
        <is>
          <t>91.05.08-009</t>
        </is>
      </c>
      <c r="C22" s="257" t="inlineStr">
        <is>
          <t>Краны на пневмоколесном ходу, грузоподъемность 63 т</t>
        </is>
      </c>
      <c r="D22" s="258" t="inlineStr">
        <is>
          <t>маш.-ч</t>
        </is>
      </c>
      <c r="E22" s="139" t="n">
        <v>31.98</v>
      </c>
      <c r="F22" s="260" t="n">
        <v>271.77</v>
      </c>
      <c r="G22" s="30">
        <f>ROUND(E22*F22,2)</f>
        <v/>
      </c>
      <c r="H22" s="135">
        <f>G22/$G$57</f>
        <v/>
      </c>
      <c r="I22" s="30">
        <f>ROUND(F22*'Прил. 10'!$D$12,2)</f>
        <v/>
      </c>
      <c r="J22" s="30">
        <f>ROUND(I22*E22,2)</f>
        <v/>
      </c>
    </row>
    <row r="23" ht="25.95" customFormat="1" customHeight="1" s="12">
      <c r="A23" s="258" t="n">
        <v>4</v>
      </c>
      <c r="B23" s="142" t="inlineStr">
        <is>
          <t>91.05.06-009</t>
        </is>
      </c>
      <c r="C23" s="257" t="inlineStr">
        <is>
          <t>Краны на гусеничном ходу, грузоподъемность 50-63 т</t>
        </is>
      </c>
      <c r="D23" s="258" t="inlineStr">
        <is>
          <t>маш.-ч</t>
        </is>
      </c>
      <c r="E23" s="139" t="n">
        <v>8.960000000000001</v>
      </c>
      <c r="F23" s="260" t="n">
        <v>290.01</v>
      </c>
      <c r="G23" s="30">
        <f>ROUND(E23*F23,2)</f>
        <v/>
      </c>
      <c r="H23" s="135">
        <f>G23/$G$57</f>
        <v/>
      </c>
      <c r="I23" s="30">
        <f>ROUND(F23*'Прил. 10'!$D$12,2)</f>
        <v/>
      </c>
      <c r="J23" s="30">
        <f>ROUND(I23*E23,2)</f>
        <v/>
      </c>
    </row>
    <row r="24" ht="13.65" customFormat="1" customHeight="1" s="12">
      <c r="A24" s="258" t="n">
        <v>5</v>
      </c>
      <c r="B24" s="142" t="inlineStr">
        <is>
          <t>91.05.01-017</t>
        </is>
      </c>
      <c r="C24" s="257" t="inlineStr">
        <is>
          <t>Краны башенные, грузоподъемность 8 т</t>
        </is>
      </c>
      <c r="D24" s="258" t="inlineStr">
        <is>
          <t>маш.-ч</t>
        </is>
      </c>
      <c r="E24" s="139" t="n">
        <v>9.539999999999999</v>
      </c>
      <c r="F24" s="260" t="n">
        <v>86.40000000000001</v>
      </c>
      <c r="G24" s="30">
        <f>ROUND(E24*F24,2)</f>
        <v/>
      </c>
      <c r="H24" s="135">
        <f>G24/$G$57</f>
        <v/>
      </c>
      <c r="I24" s="30">
        <f>ROUND(F24*'Прил. 10'!$D$12,2)</f>
        <v/>
      </c>
      <c r="J24" s="30">
        <f>ROUND(I24*E24,2)</f>
        <v/>
      </c>
    </row>
    <row r="25" ht="38.85" customFormat="1" customHeight="1" s="12">
      <c r="A25" s="258" t="n">
        <v>6</v>
      </c>
      <c r="B25" s="142" t="inlineStr">
        <is>
          <t>91.18.01-007</t>
        </is>
      </c>
      <c r="C25" s="25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258" t="inlineStr">
        <is>
          <t>маш.-ч</t>
        </is>
      </c>
      <c r="E25" s="139" t="n">
        <v>7.85</v>
      </c>
      <c r="F25" s="260" t="n">
        <v>90</v>
      </c>
      <c r="G25" s="30">
        <f>ROUND(E25*F25,2)</f>
        <v/>
      </c>
      <c r="H25" s="135">
        <f>G25/$G$57</f>
        <v/>
      </c>
      <c r="I25" s="30">
        <f>ROUND(F25*'Прил. 10'!$D$12,2)</f>
        <v/>
      </c>
      <c r="J25" s="30">
        <f>ROUND(I25*E25,2)</f>
        <v/>
      </c>
    </row>
    <row r="26" ht="25.95" customFormat="1" customHeight="1" s="12">
      <c r="A26" s="258" t="n">
        <v>7</v>
      </c>
      <c r="B26" s="142" t="inlineStr">
        <is>
          <t>91.15.02-024</t>
        </is>
      </c>
      <c r="C26" s="257" t="inlineStr">
        <is>
          <t>Тракторы на гусеничном ходу, мощность 79 кВт (108 л.с.)</t>
        </is>
      </c>
      <c r="D26" s="258" t="inlineStr">
        <is>
          <t>маш.-ч</t>
        </is>
      </c>
      <c r="E26" s="139" t="n">
        <v>6.82</v>
      </c>
      <c r="F26" s="260" t="n">
        <v>83.09999999999999</v>
      </c>
      <c r="G26" s="30">
        <f>ROUND(E26*F26,2)</f>
        <v/>
      </c>
      <c r="H26" s="135">
        <f>G26/$G$57</f>
        <v/>
      </c>
      <c r="I26" s="30">
        <f>ROUND(F26*'Прил. 10'!$D$12,2)</f>
        <v/>
      </c>
      <c r="J26" s="30">
        <f>ROUND(I26*E26,2)</f>
        <v/>
      </c>
    </row>
    <row r="27" ht="13.65" customFormat="1" customHeight="1" s="12">
      <c r="A27" s="258" t="n"/>
      <c r="B27" s="258" t="n"/>
      <c r="C27" s="257" t="inlineStr">
        <is>
          <t>Итого основные машины и механизмы</t>
        </is>
      </c>
      <c r="D27" s="258" t="n"/>
      <c r="E27" s="336" t="n"/>
      <c r="F27" s="30" t="n"/>
      <c r="G27" s="30">
        <f>SUM(G22:G26)</f>
        <v/>
      </c>
      <c r="H27" s="261">
        <f>G27/G57</f>
        <v/>
      </c>
      <c r="I27" s="134" t="n"/>
      <c r="J27" s="30">
        <f>SUM(J22:J26)</f>
        <v/>
      </c>
    </row>
    <row r="28" ht="25.5" customFormat="1" customHeight="1" s="220">
      <c r="A28" s="213" t="n">
        <v>12</v>
      </c>
      <c r="B28" s="213" t="n"/>
      <c r="C28" s="221" t="inlineStr">
        <is>
          <t>Итого основные машины и механизмы 
(с коэффициентом на демонтаж 0,7)</t>
        </is>
      </c>
      <c r="D28" s="213" t="n"/>
      <c r="E28" s="226" t="n"/>
      <c r="F28" s="215" t="n"/>
      <c r="G28" s="217">
        <f>G27*0.7</f>
        <v/>
      </c>
      <c r="H28" s="227">
        <f>H27</f>
        <v/>
      </c>
      <c r="I28" s="217" t="n"/>
      <c r="J28" s="217">
        <f>J27*0.7</f>
        <v/>
      </c>
    </row>
    <row r="29" outlineLevel="1" ht="25.95" customFormat="1" customHeight="1" s="12">
      <c r="A29" s="258" t="n">
        <v>8</v>
      </c>
      <c r="B29" s="142" t="inlineStr">
        <is>
          <t>91.14.02-001</t>
        </is>
      </c>
      <c r="C29" s="257" t="inlineStr">
        <is>
          <t>Автомобили бортовые, грузоподъемность: до 5 т</t>
        </is>
      </c>
      <c r="D29" s="258" t="inlineStr">
        <is>
          <t>маш.час</t>
        </is>
      </c>
      <c r="E29" s="139" t="n">
        <v>8.02</v>
      </c>
      <c r="F29" s="260" t="n">
        <v>65.70999999999999</v>
      </c>
      <c r="G29" s="30">
        <f>ROUND(E29*F29,2)</f>
        <v/>
      </c>
      <c r="H29" s="135">
        <f>G29/$G$57</f>
        <v/>
      </c>
      <c r="I29" s="30">
        <f>ROUND(F29*'Прил. 10'!$D$12,2)</f>
        <v/>
      </c>
      <c r="J29" s="30">
        <f>ROUND(I29*E29,2)</f>
        <v/>
      </c>
    </row>
    <row r="30" outlineLevel="1" ht="25.95" customFormat="1" customHeight="1" s="12">
      <c r="A30" s="258" t="n">
        <v>9</v>
      </c>
      <c r="B30" s="142" t="inlineStr">
        <is>
          <t>91.17.04-233</t>
        </is>
      </c>
      <c r="C30" s="257" t="inlineStr">
        <is>
          <t>Установки для сварки: ручной дуговой (постоянного тока)</t>
        </is>
      </c>
      <c r="D30" s="258" t="inlineStr">
        <is>
          <t>маш.час</t>
        </is>
      </c>
      <c r="E30" s="139" t="n">
        <v>48.3</v>
      </c>
      <c r="F30" s="260" t="n">
        <v>8.1</v>
      </c>
      <c r="G30" s="30">
        <f>ROUND(E30*F30,2)</f>
        <v/>
      </c>
      <c r="H30" s="135">
        <f>G30/$G$57</f>
        <v/>
      </c>
      <c r="I30" s="30">
        <f>ROUND(F30*'Прил. 10'!$D$12,2)</f>
        <v/>
      </c>
      <c r="J30" s="30">
        <f>ROUND(I30*E30,2)</f>
        <v/>
      </c>
    </row>
    <row r="31" outlineLevel="1" ht="25.95" customFormat="1" customHeight="1" s="12">
      <c r="A31" s="258" t="n">
        <v>10</v>
      </c>
      <c r="B31" s="142" t="inlineStr">
        <is>
          <t>91.05.05-014</t>
        </is>
      </c>
      <c r="C31" s="257" t="inlineStr">
        <is>
          <t>Краны на автомобильном ходу, грузоподъемность 10 т</t>
        </is>
      </c>
      <c r="D31" s="258" t="inlineStr">
        <is>
          <t>маш.час</t>
        </is>
      </c>
      <c r="E31" s="139" t="n">
        <v>1.84</v>
      </c>
      <c r="F31" s="260" t="n">
        <v>111.99</v>
      </c>
      <c r="G31" s="30">
        <f>ROUND(E31*F31,2)</f>
        <v/>
      </c>
      <c r="H31" s="135">
        <f>G31/$G$57</f>
        <v/>
      </c>
      <c r="I31" s="30">
        <f>ROUND(F31*'Прил. 10'!$D$12,2)</f>
        <v/>
      </c>
      <c r="J31" s="30">
        <f>ROUND(I31*E31,2)</f>
        <v/>
      </c>
    </row>
    <row r="32" outlineLevel="1" ht="25.95" customFormat="1" customHeight="1" s="12">
      <c r="A32" s="258" t="n">
        <v>11</v>
      </c>
      <c r="B32" s="142" t="inlineStr">
        <is>
          <t>91.01.05-084</t>
        </is>
      </c>
      <c r="C32" s="257" t="inlineStr">
        <is>
          <t>Экскаваторы одноковшовые дизельные на гусеничном ходу, емкость ковша 0,4 м3</t>
        </is>
      </c>
      <c r="D32" s="258" t="inlineStr">
        <is>
          <t>маш.час</t>
        </is>
      </c>
      <c r="E32" s="139" t="n">
        <v>3.23</v>
      </c>
      <c r="F32" s="260" t="n">
        <v>54.81</v>
      </c>
      <c r="G32" s="30">
        <f>ROUND(E32*F32,2)</f>
        <v/>
      </c>
      <c r="H32" s="135">
        <f>G32/$G$57</f>
        <v/>
      </c>
      <c r="I32" s="30">
        <f>ROUND(F32*'Прил. 10'!$D$12,2)</f>
        <v/>
      </c>
      <c r="J32" s="30">
        <f>ROUND(I32*E32,2)</f>
        <v/>
      </c>
    </row>
    <row r="33" outlineLevel="1" ht="38.85" customFormat="1" customHeight="1" s="12">
      <c r="A33" s="258" t="n">
        <v>12</v>
      </c>
      <c r="B33" s="142" t="inlineStr">
        <is>
          <t>91.06.05-057</t>
        </is>
      </c>
      <c r="C33" s="257" t="inlineStr">
        <is>
          <t>Погрузчики одноковшовые универсальные фронтальные пневмоколесные, грузоподъемность 3 т</t>
        </is>
      </c>
      <c r="D33" s="258" t="inlineStr">
        <is>
          <t>маш.час</t>
        </is>
      </c>
      <c r="E33" s="139" t="n">
        <v>1.89</v>
      </c>
      <c r="F33" s="260" t="n">
        <v>90.40000000000001</v>
      </c>
      <c r="G33" s="30">
        <f>ROUND(E33*F33,2)</f>
        <v/>
      </c>
      <c r="H33" s="135">
        <f>G33/$G$57</f>
        <v/>
      </c>
      <c r="I33" s="30">
        <f>ROUND(F33*'Прил. 10'!$D$12,2)</f>
        <v/>
      </c>
      <c r="J33" s="30">
        <f>ROUND(I33*E33,2)</f>
        <v/>
      </c>
    </row>
    <row r="34" outlineLevel="1" ht="13.65" customFormat="1" customHeight="1" s="12">
      <c r="A34" s="258" t="n">
        <v>13</v>
      </c>
      <c r="B34" s="142" t="inlineStr">
        <is>
          <t>91.01.01-034</t>
        </is>
      </c>
      <c r="C34" s="257" t="inlineStr">
        <is>
          <t>Бульдозеры, мощность 59 кВт (80 л.с.)</t>
        </is>
      </c>
      <c r="D34" s="258" t="inlineStr">
        <is>
          <t>маш.час</t>
        </is>
      </c>
      <c r="E34" s="139" t="n">
        <v>1.01</v>
      </c>
      <c r="F34" s="260" t="n">
        <v>59.47</v>
      </c>
      <c r="G34" s="30">
        <f>ROUND(E34*F34,2)</f>
        <v/>
      </c>
      <c r="H34" s="135">
        <f>G34/$G$57</f>
        <v/>
      </c>
      <c r="I34" s="30">
        <f>ROUND(F34*'Прил. 10'!$D$12,2)</f>
        <v/>
      </c>
      <c r="J34" s="30">
        <f>ROUND(I34*E34,2)</f>
        <v/>
      </c>
    </row>
    <row r="35" outlineLevel="1" ht="25.95" customFormat="1" customHeight="1" s="12">
      <c r="A35" s="258" t="n">
        <v>14</v>
      </c>
      <c r="B35" s="142" t="inlineStr">
        <is>
          <t>91.05.01-025</t>
        </is>
      </c>
      <c r="C35" s="257" t="inlineStr">
        <is>
          <t>Краны башенные, грузоподъемность 25-75 т</t>
        </is>
      </c>
      <c r="D35" s="258" t="inlineStr">
        <is>
          <t>маш.час</t>
        </is>
      </c>
      <c r="E35" s="139" t="n">
        <v>0.19</v>
      </c>
      <c r="F35" s="260" t="n">
        <v>312.21</v>
      </c>
      <c r="G35" s="30">
        <f>ROUND(E35*F35,2)</f>
        <v/>
      </c>
      <c r="H35" s="135">
        <f>G35/$G$57</f>
        <v/>
      </c>
      <c r="I35" s="30">
        <f>ROUND(F35*'Прил. 10'!$D$12,2)</f>
        <v/>
      </c>
      <c r="J35" s="30">
        <f>ROUND(I35*E35,2)</f>
        <v/>
      </c>
    </row>
    <row r="36" outlineLevel="1" ht="13.65" customFormat="1" customHeight="1" s="12">
      <c r="A36" s="258" t="n">
        <v>15</v>
      </c>
      <c r="B36" s="142" t="inlineStr">
        <is>
          <t>91.05.02-005</t>
        </is>
      </c>
      <c r="C36" s="257" t="inlineStr">
        <is>
          <t>Краны козловые, грузоподъемность 32 т</t>
        </is>
      </c>
      <c r="D36" s="258" t="inlineStr">
        <is>
          <t>маш.час</t>
        </is>
      </c>
      <c r="E36" s="139" t="n">
        <v>0.47</v>
      </c>
      <c r="F36" s="260" t="n">
        <v>120.24</v>
      </c>
      <c r="G36" s="30">
        <f>ROUND(E36*F36,2)</f>
        <v/>
      </c>
      <c r="H36" s="135">
        <f>G36/$G$57</f>
        <v/>
      </c>
      <c r="I36" s="30">
        <f>ROUND(F36*'Прил. 10'!$D$12,2)</f>
        <v/>
      </c>
      <c r="J36" s="30">
        <f>ROUND(I36*E36,2)</f>
        <v/>
      </c>
    </row>
    <row r="37" outlineLevel="1" ht="64.5" customFormat="1" customHeight="1" s="12">
      <c r="A37" s="258" t="n">
        <v>16</v>
      </c>
      <c r="B37" s="142" t="inlineStr">
        <is>
          <t>91.10.09-012</t>
        </is>
      </c>
      <c r="C37" s="25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7" s="258" t="inlineStr">
        <is>
          <t>маш.час</t>
        </is>
      </c>
      <c r="E37" s="139" t="n">
        <v>1.44</v>
      </c>
      <c r="F37" s="260" t="n">
        <v>26.32</v>
      </c>
      <c r="G37" s="30">
        <f>ROUND(E37*F37,2)</f>
        <v/>
      </c>
      <c r="H37" s="135">
        <f>G37/$G$57</f>
        <v/>
      </c>
      <c r="I37" s="30">
        <f>ROUND(F37*'Прил. 10'!$D$12,2)</f>
        <v/>
      </c>
      <c r="J37" s="30">
        <f>ROUND(I37*E37,2)</f>
        <v/>
      </c>
    </row>
    <row r="38" outlineLevel="1" ht="25.95" customFormat="1" customHeight="1" s="12">
      <c r="A38" s="258" t="n">
        <v>17</v>
      </c>
      <c r="B38" s="142" t="inlineStr">
        <is>
          <t>91.05.06-012</t>
        </is>
      </c>
      <c r="C38" s="257" t="inlineStr">
        <is>
          <t>Краны на гусеничном ходу, грузоподъемность до 16 т</t>
        </is>
      </c>
      <c r="D38" s="258" t="inlineStr">
        <is>
          <t>маш.час</t>
        </is>
      </c>
      <c r="E38" s="139" t="n">
        <v>0.36</v>
      </c>
      <c r="F38" s="260" t="n">
        <v>96.89</v>
      </c>
      <c r="G38" s="30">
        <f>ROUND(E38*F38,2)</f>
        <v/>
      </c>
      <c r="H38" s="135">
        <f>G38/$G$57</f>
        <v/>
      </c>
      <c r="I38" s="30">
        <f>ROUND(F38*'Прил. 10'!$D$12,2)</f>
        <v/>
      </c>
      <c r="J38" s="30">
        <f>ROUND(I38*E38,2)</f>
        <v/>
      </c>
    </row>
    <row r="39" outlineLevel="1" ht="25.95" customFormat="1" customHeight="1" s="12">
      <c r="A39" s="258" t="n">
        <v>18</v>
      </c>
      <c r="B39" s="142" t="inlineStr">
        <is>
          <t>91.06.03-061</t>
        </is>
      </c>
      <c r="C39" s="257" t="inlineStr">
        <is>
          <t>Лебедки электрические тяговым усилием: до 12,26 кН (1,25 т)</t>
        </is>
      </c>
      <c r="D39" s="258" t="inlineStr">
        <is>
          <t>маш.час</t>
        </is>
      </c>
      <c r="E39" s="139" t="n">
        <v>10.17</v>
      </c>
      <c r="F39" s="260" t="n">
        <v>3.28</v>
      </c>
      <c r="G39" s="30">
        <f>ROUND(E39*F39,2)</f>
        <v/>
      </c>
      <c r="H39" s="135">
        <f>G39/$G$57</f>
        <v/>
      </c>
      <c r="I39" s="30">
        <f>ROUND(F39*'Прил. 10'!$D$12,2)</f>
        <v/>
      </c>
      <c r="J39" s="30">
        <f>ROUND(I39*E39,2)</f>
        <v/>
      </c>
    </row>
    <row r="40" outlineLevel="1" ht="38.85" customFormat="1" customHeight="1" s="12">
      <c r="A40" s="258" t="n">
        <v>19</v>
      </c>
      <c r="B40" s="142" t="inlineStr">
        <is>
          <t>91.21.01-012</t>
        </is>
      </c>
      <c r="C40" s="257" t="inlineStr">
        <is>
          <t>Агрегаты окрасочные высокого давления для окраски поверхностей конструкций, мощность 1 кВт</t>
        </is>
      </c>
      <c r="D40" s="258" t="inlineStr">
        <is>
          <t>маш.час</t>
        </is>
      </c>
      <c r="E40" s="139" t="n">
        <v>3.4</v>
      </c>
      <c r="F40" s="260" t="n">
        <v>6.82</v>
      </c>
      <c r="G40" s="30">
        <f>ROUND(E40*F40,2)</f>
        <v/>
      </c>
      <c r="H40" s="135">
        <f>G40/$G$57</f>
        <v/>
      </c>
      <c r="I40" s="30">
        <f>ROUND(F40*'Прил. 10'!$D$12,2)</f>
        <v/>
      </c>
      <c r="J40" s="30">
        <f>ROUND(I40*E40,2)</f>
        <v/>
      </c>
    </row>
    <row r="41" outlineLevel="1" ht="13.65" customFormat="1" customHeight="1" s="12">
      <c r="A41" s="258" t="n">
        <v>20</v>
      </c>
      <c r="B41" s="142" t="inlineStr">
        <is>
          <t>91.07.04-001</t>
        </is>
      </c>
      <c r="C41" s="257" t="inlineStr">
        <is>
          <t>Вибратор глубинный</t>
        </is>
      </c>
      <c r="D41" s="258" t="inlineStr">
        <is>
          <t>маш.час</t>
        </is>
      </c>
      <c r="E41" s="139" t="n">
        <v>7.65</v>
      </c>
      <c r="F41" s="260" t="n">
        <v>1.9</v>
      </c>
      <c r="G41" s="30">
        <f>ROUND(E41*F41,2)</f>
        <v/>
      </c>
      <c r="H41" s="135">
        <f>G41/$G$57</f>
        <v/>
      </c>
      <c r="I41" s="30">
        <f>ROUND(F41*'Прил. 10'!$D$12,2)</f>
        <v/>
      </c>
      <c r="J41" s="30">
        <f>ROUND(I41*E41,2)</f>
        <v/>
      </c>
    </row>
    <row r="42" outlineLevel="1" ht="25.95" customFormat="1" customHeight="1" s="12">
      <c r="A42" s="258" t="n">
        <v>21</v>
      </c>
      <c r="B42" s="142" t="inlineStr">
        <is>
          <t>91.08.09-001</t>
        </is>
      </c>
      <c r="C42" s="257" t="inlineStr">
        <is>
          <t>Виброплита с двигателем внутреннего сгорания</t>
        </is>
      </c>
      <c r="D42" s="258" t="inlineStr">
        <is>
          <t>маш.час</t>
        </is>
      </c>
      <c r="E42" s="139" t="n">
        <v>0.23</v>
      </c>
      <c r="F42" s="260" t="n">
        <v>60</v>
      </c>
      <c r="G42" s="30">
        <f>ROUND(E42*F42,2)</f>
        <v/>
      </c>
      <c r="H42" s="135">
        <f>G42/$G$57</f>
        <v/>
      </c>
      <c r="I42" s="30">
        <f>ROUND(F42*'Прил. 10'!$D$12,2)</f>
        <v/>
      </c>
      <c r="J42" s="30">
        <f>ROUND(I42*E42,2)</f>
        <v/>
      </c>
    </row>
    <row r="43" outlineLevel="1" ht="13.65" customFormat="1" customHeight="1" s="12">
      <c r="A43" s="258" t="n">
        <v>22</v>
      </c>
      <c r="B43" s="142" t="inlineStr">
        <is>
          <t>91.06.05-011</t>
        </is>
      </c>
      <c r="C43" s="257" t="inlineStr">
        <is>
          <t>Погрузчик, грузоподъемность 5 т</t>
        </is>
      </c>
      <c r="D43" s="258" t="inlineStr">
        <is>
          <t>маш.час</t>
        </is>
      </c>
      <c r="E43" s="139" t="n">
        <v>0.11</v>
      </c>
      <c r="F43" s="260" t="n">
        <v>89.98999999999999</v>
      </c>
      <c r="G43" s="30">
        <f>ROUND(E43*F43,2)</f>
        <v/>
      </c>
      <c r="H43" s="135">
        <f>G43/$G$57</f>
        <v/>
      </c>
      <c r="I43" s="30">
        <f>ROUND(F43*'Прил. 10'!$D$12,2)</f>
        <v/>
      </c>
      <c r="J43" s="30">
        <f>ROUND(I43*E43,2)</f>
        <v/>
      </c>
    </row>
    <row r="44" outlineLevel="1" ht="13.65" customFormat="1" customHeight="1" s="12">
      <c r="A44" s="258" t="n">
        <v>23</v>
      </c>
      <c r="B44" s="142" t="inlineStr">
        <is>
          <t>91.21.16-012</t>
        </is>
      </c>
      <c r="C44" s="257" t="inlineStr">
        <is>
          <t>Пресс: гидравлический с электроприводом</t>
        </is>
      </c>
      <c r="D44" s="258" t="inlineStr">
        <is>
          <t>маш.час</t>
        </is>
      </c>
      <c r="E44" s="139" t="n">
        <v>8.779999999999999</v>
      </c>
      <c r="F44" s="260" t="n">
        <v>1.11</v>
      </c>
      <c r="G44" s="30">
        <f>ROUND(E44*F44,2)</f>
        <v/>
      </c>
      <c r="H44" s="135">
        <f>G44/$G$57</f>
        <v/>
      </c>
      <c r="I44" s="30">
        <f>ROUND(F44*'Прил. 10'!$D$12,2)</f>
        <v/>
      </c>
      <c r="J44" s="30">
        <f>ROUND(I44*E44,2)</f>
        <v/>
      </c>
    </row>
    <row r="45" outlineLevel="1" ht="25.95" customFormat="1" customHeight="1" s="12">
      <c r="A45" s="258" t="n">
        <v>24</v>
      </c>
      <c r="B45" s="142" t="inlineStr">
        <is>
          <t>91.17.04-171</t>
        </is>
      </c>
      <c r="C45" s="257" t="inlineStr">
        <is>
          <t>Преобразователи сварочные номинальным сварочным током 315-500 А</t>
        </is>
      </c>
      <c r="D45" s="258" t="inlineStr">
        <is>
          <t>маш.час</t>
        </is>
      </c>
      <c r="E45" s="139" t="n">
        <v>0.76</v>
      </c>
      <c r="F45" s="260" t="n">
        <v>12.31</v>
      </c>
      <c r="G45" s="30">
        <f>ROUND(E45*F45,2)</f>
        <v/>
      </c>
      <c r="H45" s="135">
        <f>G45/$G$57</f>
        <v/>
      </c>
      <c r="I45" s="30">
        <f>ROUND(F45*'Прил. 10'!$D$12,2)</f>
        <v/>
      </c>
      <c r="J45" s="30">
        <f>ROUND(I45*E45,2)</f>
        <v/>
      </c>
    </row>
    <row r="46" outlineLevel="1" ht="25.95" customFormat="1" customHeight="1" s="12">
      <c r="A46" s="258" t="n">
        <v>25</v>
      </c>
      <c r="B46" s="142" t="inlineStr">
        <is>
          <t>91.06.01-003</t>
        </is>
      </c>
      <c r="C46" s="257" t="inlineStr">
        <is>
          <t>Домкраты гидравлические, грузоподъемность 63-100 т</t>
        </is>
      </c>
      <c r="D46" s="258" t="inlineStr">
        <is>
          <t>маш.час</t>
        </is>
      </c>
      <c r="E46" s="139" t="n">
        <v>10.23</v>
      </c>
      <c r="F46" s="260" t="n">
        <v>0.9</v>
      </c>
      <c r="G46" s="30">
        <f>ROUND(E46*F46,2)</f>
        <v/>
      </c>
      <c r="H46" s="135">
        <f>G46/$G$57</f>
        <v/>
      </c>
      <c r="I46" s="30">
        <f>ROUND(F46*'Прил. 10'!$D$12,2)</f>
        <v/>
      </c>
      <c r="J46" s="30">
        <f>ROUND(I46*E46,2)</f>
        <v/>
      </c>
    </row>
    <row r="47" outlineLevel="1" ht="25.95" customFormat="1" customHeight="1" s="12">
      <c r="A47" s="258" t="n">
        <v>26</v>
      </c>
      <c r="B47" s="142" t="inlineStr">
        <is>
          <t>91.08.09-023</t>
        </is>
      </c>
      <c r="C47" s="257" t="inlineStr">
        <is>
          <t>Трамбовки пневматические при работе от: передвижных компрессорных станций</t>
        </is>
      </c>
      <c r="D47" s="258" t="inlineStr">
        <is>
          <t>маш.час</t>
        </is>
      </c>
      <c r="E47" s="139" t="n">
        <v>15.7</v>
      </c>
      <c r="F47" s="260" t="n">
        <v>0.55</v>
      </c>
      <c r="G47" s="30">
        <f>ROUND(E47*F47,2)</f>
        <v/>
      </c>
      <c r="H47" s="135">
        <f>G47/$G$57</f>
        <v/>
      </c>
      <c r="I47" s="30">
        <f>ROUND(F47*'Прил. 10'!$D$12,2)</f>
        <v/>
      </c>
      <c r="J47" s="30">
        <f>ROUND(I47*E47,2)</f>
        <v/>
      </c>
    </row>
    <row r="48" outlineLevel="1" ht="13.65" customFormat="1" customHeight="1" s="12">
      <c r="A48" s="258" t="n">
        <v>27</v>
      </c>
      <c r="B48" s="142" t="inlineStr">
        <is>
          <t>91.08.04-021</t>
        </is>
      </c>
      <c r="C48" s="257" t="inlineStr">
        <is>
          <t>Котлы битумные: передвижные 400 л</t>
        </is>
      </c>
      <c r="D48" s="258" t="inlineStr">
        <is>
          <t>маш.час</t>
        </is>
      </c>
      <c r="E48" s="139" t="n">
        <v>0.27</v>
      </c>
      <c r="F48" s="260" t="n">
        <v>30</v>
      </c>
      <c r="G48" s="30">
        <f>ROUND(E48*F48,2)</f>
        <v/>
      </c>
      <c r="H48" s="135">
        <f>G48/$G$57</f>
        <v/>
      </c>
      <c r="I48" s="30">
        <f>ROUND(F48*'Прил. 10'!$D$12,2)</f>
        <v/>
      </c>
      <c r="J48" s="30">
        <f>ROUND(I48*E48,2)</f>
        <v/>
      </c>
    </row>
    <row r="49" outlineLevel="1" ht="25.95" customFormat="1" customHeight="1" s="12">
      <c r="A49" s="258" t="n">
        <v>28</v>
      </c>
      <c r="B49" s="142" t="inlineStr">
        <is>
          <t>91.16.01-002</t>
        </is>
      </c>
      <c r="C49" s="257" t="inlineStr">
        <is>
          <t>Электростанции передвижные, мощность 4 кВт</t>
        </is>
      </c>
      <c r="D49" s="258" t="inlineStr">
        <is>
          <t>маш.час</t>
        </is>
      </c>
      <c r="E49" s="139" t="n">
        <v>0.17</v>
      </c>
      <c r="F49" s="260" t="n">
        <v>27.11</v>
      </c>
      <c r="G49" s="30">
        <f>ROUND(E49*F49,2)</f>
        <v/>
      </c>
      <c r="H49" s="135">
        <f>G49/$G$57</f>
        <v/>
      </c>
      <c r="I49" s="30">
        <f>ROUND(F49*'Прил. 10'!$D$12,2)</f>
        <v/>
      </c>
      <c r="J49" s="30">
        <f>ROUND(I49*E49,2)</f>
        <v/>
      </c>
    </row>
    <row r="50" outlineLevel="1" ht="13.65" customFormat="1" customHeight="1" s="12">
      <c r="A50" s="258" t="n">
        <v>29</v>
      </c>
      <c r="B50" s="142" t="inlineStr">
        <is>
          <t>91.17.04-042</t>
        </is>
      </c>
      <c r="C50" s="257" t="inlineStr">
        <is>
          <t>Аппарат для газовой сварки и резки</t>
        </is>
      </c>
      <c r="D50" s="258" t="inlineStr">
        <is>
          <t>маш.час</t>
        </is>
      </c>
      <c r="E50" s="139" t="n">
        <v>3.78</v>
      </c>
      <c r="F50" s="260" t="n">
        <v>1.2</v>
      </c>
      <c r="G50" s="30">
        <f>ROUND(E50*F50,2)</f>
        <v/>
      </c>
      <c r="H50" s="135">
        <f>G50/$G$57</f>
        <v/>
      </c>
      <c r="I50" s="30">
        <f>ROUND(F50*'Прил. 10'!$D$12,2)</f>
        <v/>
      </c>
      <c r="J50" s="30">
        <f>ROUND(I50*E50,2)</f>
        <v/>
      </c>
    </row>
    <row r="51" outlineLevel="1" ht="13.65" customFormat="1" customHeight="1" s="12">
      <c r="A51" s="258" t="n">
        <v>30</v>
      </c>
      <c r="B51" s="142" t="inlineStr">
        <is>
          <t>91.08.02-001</t>
        </is>
      </c>
      <c r="C51" s="257" t="inlineStr">
        <is>
          <t>Автогудронаторы 3500 л</t>
        </is>
      </c>
      <c r="D51" s="258" t="inlineStr">
        <is>
          <t>маш.час</t>
        </is>
      </c>
      <c r="E51" s="139" t="n">
        <v>0.03</v>
      </c>
      <c r="F51" s="260" t="n">
        <v>118.47</v>
      </c>
      <c r="G51" s="30">
        <f>ROUND(E51*F51,2)</f>
        <v/>
      </c>
      <c r="H51" s="135">
        <f>G51/$G$57</f>
        <v/>
      </c>
      <c r="I51" s="30">
        <f>ROUND(F51*'Прил. 10'!$D$12,2)</f>
        <v/>
      </c>
      <c r="J51" s="30">
        <f>ROUND(I51*E51,2)</f>
        <v/>
      </c>
    </row>
    <row r="52" outlineLevel="1" ht="13.65" customFormat="1" customHeight="1" s="12">
      <c r="A52" s="258" t="n">
        <v>31</v>
      </c>
      <c r="B52" s="142" t="inlineStr">
        <is>
          <t>91.07.04-002</t>
        </is>
      </c>
      <c r="C52" s="257" t="inlineStr">
        <is>
          <t>Вибратор поверхностный</t>
        </is>
      </c>
      <c r="D52" s="258" t="inlineStr">
        <is>
          <t>маш.час</t>
        </is>
      </c>
      <c r="E52" s="139" t="n">
        <v>0.47</v>
      </c>
      <c r="F52" s="260" t="n">
        <v>0.5</v>
      </c>
      <c r="G52" s="30">
        <f>ROUND(E52*F52,2)</f>
        <v/>
      </c>
      <c r="H52" s="135">
        <f>G52/$G$57</f>
        <v/>
      </c>
      <c r="I52" s="30">
        <f>ROUND(F52*'Прил. 10'!$D$12,2)</f>
        <v/>
      </c>
      <c r="J52" s="30">
        <f>ROUND(I52*E52,2)</f>
        <v/>
      </c>
    </row>
    <row r="53" outlineLevel="1" ht="25.95" customFormat="1" customHeight="1" s="12">
      <c r="A53" s="258" t="n">
        <v>32</v>
      </c>
      <c r="B53" s="142" t="inlineStr">
        <is>
          <t>91.06.03-055</t>
        </is>
      </c>
      <c r="C53" s="257" t="inlineStr">
        <is>
          <t>Лебедки электрические тяговым усилием: 19,62 кН (2 т)</t>
        </is>
      </c>
      <c r="D53" s="258" t="inlineStr">
        <is>
          <t>маш.час</t>
        </is>
      </c>
      <c r="E53" s="139" t="n">
        <v>0.03</v>
      </c>
      <c r="F53" s="260" t="n">
        <v>6.66</v>
      </c>
      <c r="G53" s="30">
        <f>ROUND(E53*F53,2)</f>
        <v/>
      </c>
      <c r="H53" s="135">
        <f>G53/$G$57</f>
        <v/>
      </c>
      <c r="I53" s="30">
        <f>ROUND(F53*'Прил. 10'!$D$12,2)</f>
        <v/>
      </c>
      <c r="J53" s="30">
        <f>ROUND(I53*E53,2)</f>
        <v/>
      </c>
    </row>
    <row r="54" outlineLevel="1" ht="25.95" customFormat="1" customHeight="1" s="12">
      <c r="A54" s="258" t="n">
        <v>33</v>
      </c>
      <c r="B54" s="142" t="inlineStr">
        <is>
          <t>91.06.03-060</t>
        </is>
      </c>
      <c r="C54" s="257" t="inlineStr">
        <is>
          <t>Лебедки электрические тяговым усилием: до 5,79 кН (0,59 т)</t>
        </is>
      </c>
      <c r="D54" s="258" t="inlineStr">
        <is>
          <t>маш.час</t>
        </is>
      </c>
      <c r="E54" s="139" t="n">
        <v>0.04</v>
      </c>
      <c r="F54" s="260" t="n">
        <v>1.7</v>
      </c>
      <c r="G54" s="30">
        <f>ROUND(E54*F54,2)</f>
        <v/>
      </c>
      <c r="H54" s="135">
        <f>G54/$G$57</f>
        <v/>
      </c>
      <c r="I54" s="30">
        <f>ROUND(F54*'Прил. 10'!$D$12,2)</f>
        <v/>
      </c>
      <c r="J54" s="30">
        <f>ROUND(I54*E54,2)</f>
        <v/>
      </c>
    </row>
    <row r="55" ht="13.65" customFormat="1" customHeight="1" s="12">
      <c r="A55" s="258" t="n"/>
      <c r="B55" s="258" t="n"/>
      <c r="C55" s="257" t="inlineStr">
        <is>
          <t>Итого прочие машины и механизмы</t>
        </is>
      </c>
      <c r="D55" s="258" t="n"/>
      <c r="E55" s="259" t="n"/>
      <c r="F55" s="30" t="n"/>
      <c r="G55" s="134">
        <f>SUM(G29:G54)</f>
        <v/>
      </c>
      <c r="H55" s="135">
        <f>G55/G57</f>
        <v/>
      </c>
      <c r="I55" s="30" t="n"/>
      <c r="J55" s="30">
        <f>SUM(J29:J54)</f>
        <v/>
      </c>
    </row>
    <row r="56" ht="25.5" customFormat="1" customHeight="1" s="220">
      <c r="A56" s="213" t="n"/>
      <c r="B56" s="213" t="n"/>
      <c r="C56" s="221" t="inlineStr">
        <is>
          <t>Итого прочие машины и механизмы 
(с коэффициентом на демонтаж 0,7)</t>
        </is>
      </c>
      <c r="D56" s="213" t="n"/>
      <c r="E56" s="215" t="n"/>
      <c r="F56" s="217" t="n"/>
      <c r="G56" s="217">
        <f>G55*0.7</f>
        <v/>
      </c>
      <c r="H56" s="227">
        <f>H55</f>
        <v/>
      </c>
      <c r="I56" s="217" t="n"/>
      <c r="J56" s="217">
        <f>J55*0.7</f>
        <v/>
      </c>
    </row>
    <row r="57" ht="27.15" customFormat="1" customHeight="1" s="12">
      <c r="A57" s="258" t="n"/>
      <c r="B57" s="258" t="n"/>
      <c r="C57" s="251" t="inlineStr">
        <is>
          <t>Итого по разделу «Машины и механизмы»</t>
        </is>
      </c>
      <c r="D57" s="258" t="n"/>
      <c r="E57" s="259" t="n"/>
      <c r="F57" s="30" t="n"/>
      <c r="G57" s="30">
        <f>G55+G27</f>
        <v/>
      </c>
      <c r="H57" s="136" t="n">
        <v>1</v>
      </c>
      <c r="I57" s="137" t="n"/>
      <c r="J57" s="138">
        <f>J55+J27</f>
        <v/>
      </c>
    </row>
    <row r="58" ht="38.25" customFormat="1" customHeight="1" s="220">
      <c r="A58" s="213" t="n"/>
      <c r="B58" s="213" t="n"/>
      <c r="C58" s="228" t="inlineStr">
        <is>
          <t>Итого по разделу «Машины и механизмы»  
(с коэффициентом на демонтаж 0,7)</t>
        </is>
      </c>
      <c r="D58" s="229" t="n"/>
      <c r="E58" s="230" t="n"/>
      <c r="F58" s="231" t="n"/>
      <c r="G58" s="231">
        <f>G56+G28</f>
        <v/>
      </c>
      <c r="H58" s="232" t="n">
        <v>1</v>
      </c>
      <c r="I58" s="233" t="n"/>
      <c r="J58" s="231">
        <f>J56+J28</f>
        <v/>
      </c>
    </row>
    <row r="59" ht="13.65" customFormat="1" customHeight="1" s="12">
      <c r="A59" s="258" t="n"/>
      <c r="B59" s="251" t="inlineStr">
        <is>
          <t>Оборудование</t>
        </is>
      </c>
      <c r="C59" s="326" t="n"/>
      <c r="D59" s="326" t="n"/>
      <c r="E59" s="326" t="n"/>
      <c r="F59" s="326" t="n"/>
      <c r="G59" s="326" t="n"/>
      <c r="H59" s="327" t="n"/>
      <c r="I59" s="132" t="n"/>
      <c r="J59" s="132" t="n"/>
    </row>
    <row r="60">
      <c r="A60" s="258" t="n"/>
      <c r="B60" s="257" t="inlineStr">
        <is>
          <t>Основное оборудование</t>
        </is>
      </c>
      <c r="C60" s="326" t="n"/>
      <c r="D60" s="326" t="n"/>
      <c r="E60" s="326" t="n"/>
      <c r="F60" s="326" t="n"/>
      <c r="G60" s="326" t="n"/>
      <c r="H60" s="327" t="n"/>
      <c r="I60" s="132" t="n"/>
      <c r="J60" s="132" t="n"/>
    </row>
    <row r="61">
      <c r="A61" s="258" t="n"/>
      <c r="B61" s="258" t="n"/>
      <c r="C61" s="257" t="inlineStr">
        <is>
          <t>Итого основное оборудование</t>
        </is>
      </c>
      <c r="D61" s="258" t="n"/>
      <c r="E61" s="139" t="n"/>
      <c r="F61" s="260" t="n"/>
      <c r="G61" s="30" t="n">
        <v>0</v>
      </c>
      <c r="H61" s="135" t="n">
        <v>0</v>
      </c>
      <c r="I61" s="134" t="n"/>
      <c r="J61" s="30" t="n">
        <v>0</v>
      </c>
    </row>
    <row r="62">
      <c r="A62" s="258" t="n"/>
      <c r="B62" s="258" t="n"/>
      <c r="C62" s="257" t="inlineStr">
        <is>
          <t>Итого прочее оборудование</t>
        </is>
      </c>
      <c r="D62" s="191" t="n"/>
      <c r="E62" s="139" t="n"/>
      <c r="F62" s="260" t="n"/>
      <c r="G62" s="30" t="n">
        <v>0</v>
      </c>
      <c r="H62" s="135" t="n">
        <v>0</v>
      </c>
      <c r="I62" s="134" t="n"/>
      <c r="J62" s="30" t="n">
        <v>0</v>
      </c>
    </row>
    <row r="63">
      <c r="A63" s="258" t="n"/>
      <c r="B63" s="258" t="n"/>
      <c r="C63" s="251" t="inlineStr">
        <is>
          <t>Итого по разделу «Оборудование»</t>
        </is>
      </c>
      <c r="D63" s="258" t="n"/>
      <c r="E63" s="259" t="n"/>
      <c r="F63" s="260" t="n"/>
      <c r="G63" s="30">
        <f>G61+G62</f>
        <v/>
      </c>
      <c r="H63" s="135" t="n">
        <v>0</v>
      </c>
      <c r="I63" s="134" t="n"/>
      <c r="J63" s="30">
        <f>J61+J62</f>
        <v/>
      </c>
    </row>
    <row r="64" ht="25.95" customHeight="1">
      <c r="A64" s="258" t="n"/>
      <c r="B64" s="258" t="n"/>
      <c r="C64" s="257" t="inlineStr">
        <is>
          <t>в том числе технологическое оборудование</t>
        </is>
      </c>
      <c r="D64" s="258" t="n"/>
      <c r="E64" s="139" t="n"/>
      <c r="F64" s="260" t="n"/>
      <c r="G64" s="30" t="n">
        <v>0</v>
      </c>
      <c r="H64" s="261" t="n"/>
      <c r="I64" s="134" t="n"/>
      <c r="J64" s="30">
        <f>J63</f>
        <v/>
      </c>
    </row>
    <row r="65" ht="13.65" customFormat="1" customHeight="1" s="12">
      <c r="A65" s="258" t="n"/>
      <c r="B65" s="251" t="inlineStr">
        <is>
          <t>Материалы</t>
        </is>
      </c>
      <c r="C65" s="326" t="n"/>
      <c r="D65" s="326" t="n"/>
      <c r="E65" s="326" t="n"/>
      <c r="F65" s="326" t="n"/>
      <c r="G65" s="326" t="n"/>
      <c r="H65" s="327" t="n"/>
      <c r="I65" s="132" t="n"/>
      <c r="J65" s="132" t="n"/>
    </row>
    <row r="66" ht="13.65" customFormat="1" customHeight="1" s="12">
      <c r="A66" s="270" t="n"/>
      <c r="B66" s="146" t="n"/>
      <c r="C66" s="147" t="inlineStr">
        <is>
          <t>Итого основные материалы</t>
        </is>
      </c>
      <c r="D66" s="270" t="n"/>
      <c r="E66" s="180" t="n"/>
      <c r="F66" s="138" t="n"/>
      <c r="G66" s="138" t="n">
        <v>0</v>
      </c>
      <c r="H66" s="135" t="n">
        <v>0</v>
      </c>
      <c r="I66" s="30" t="n"/>
      <c r="J66" s="138" t="n">
        <v>0</v>
      </c>
    </row>
    <row r="67" ht="13.65" customFormat="1" customHeight="1" s="12">
      <c r="A67" s="258" t="n"/>
      <c r="B67" s="258" t="n"/>
      <c r="C67" s="257" t="inlineStr">
        <is>
          <t>Итого прочие материалы</t>
        </is>
      </c>
      <c r="D67" s="258" t="n"/>
      <c r="E67" s="139" t="n"/>
      <c r="F67" s="260" t="n"/>
      <c r="G67" s="30" t="n">
        <v>0</v>
      </c>
      <c r="H67" s="135" t="n">
        <v>0</v>
      </c>
      <c r="I67" s="30" t="n"/>
      <c r="J67" s="30" t="n">
        <v>0</v>
      </c>
    </row>
    <row r="68" ht="13.65" customFormat="1" customHeight="1" s="12">
      <c r="A68" s="258" t="n"/>
      <c r="B68" s="258" t="n"/>
      <c r="C68" s="251" t="inlineStr">
        <is>
          <t>Итого по разделу «Материалы»</t>
        </is>
      </c>
      <c r="D68" s="258" t="n"/>
      <c r="E68" s="259" t="n"/>
      <c r="F68" s="260" t="n"/>
      <c r="G68" s="30">
        <f>G66+G67</f>
        <v/>
      </c>
      <c r="H68" s="261" t="n">
        <v>0</v>
      </c>
      <c r="I68" s="30" t="n"/>
      <c r="J68" s="30">
        <f>J66+J67</f>
        <v/>
      </c>
    </row>
    <row r="69" ht="13.65" customFormat="1" customHeight="1" s="12">
      <c r="A69" s="258" t="n"/>
      <c r="B69" s="258" t="n"/>
      <c r="C69" s="257" t="inlineStr">
        <is>
          <t>ИТОГО ПО РМ</t>
        </is>
      </c>
      <c r="D69" s="258" t="n"/>
      <c r="E69" s="259" t="n"/>
      <c r="F69" s="260" t="n"/>
      <c r="G69" s="30">
        <f>G15+G57+G68</f>
        <v/>
      </c>
      <c r="H69" s="261" t="n"/>
      <c r="I69" s="30" t="n"/>
      <c r="J69" s="30">
        <f>J15+J57+J68</f>
        <v/>
      </c>
    </row>
    <row r="70" ht="25.5" customFormat="1" customHeight="1" s="220">
      <c r="A70" s="213" t="n"/>
      <c r="B70" s="213" t="n"/>
      <c r="C70" s="234" t="inlineStr">
        <is>
          <t>ИТОГО ПО РМ
(с коэффициентом на демонтаж 0,7)</t>
        </is>
      </c>
      <c r="D70" s="213" t="n"/>
      <c r="E70" s="215" t="n"/>
      <c r="F70" s="216" t="n"/>
      <c r="G70" s="217">
        <f>G58+G16</f>
        <v/>
      </c>
      <c r="H70" s="227" t="n"/>
      <c r="I70" s="217" t="n"/>
      <c r="J70" s="217">
        <f>J58+J16</f>
        <v/>
      </c>
    </row>
    <row r="71" ht="13.65" customFormat="1" customHeight="1" s="12">
      <c r="A71" s="258" t="n"/>
      <c r="B71" s="258" t="n"/>
      <c r="C71" s="257" t="inlineStr">
        <is>
          <t>Накладные расходы</t>
        </is>
      </c>
      <c r="D71" s="140">
        <f>ROUND(G71/(G$18+$G$15),2)</f>
        <v/>
      </c>
      <c r="E71" s="259" t="n"/>
      <c r="F71" s="260" t="n"/>
      <c r="G71" s="30" t="n">
        <v>11652.14</v>
      </c>
      <c r="H71" s="261" t="n"/>
      <c r="I71" s="30" t="n"/>
      <c r="J71" s="30">
        <f>ROUND(D71*(J15+J18),2)</f>
        <v/>
      </c>
    </row>
    <row r="72" ht="25.5" customFormat="1" customHeight="1" s="220">
      <c r="A72" s="213" t="n"/>
      <c r="B72" s="213" t="n"/>
      <c r="C72" s="234" t="inlineStr">
        <is>
          <t>Накладные расходы 
(с коэффициентом на демонтаж 0,7)</t>
        </is>
      </c>
      <c r="D72" s="235">
        <f>D71</f>
        <v/>
      </c>
      <c r="E72" s="215" t="n"/>
      <c r="F72" s="216" t="n"/>
      <c r="G72" s="217">
        <f>G71*0.7</f>
        <v/>
      </c>
      <c r="H72" s="218" t="n"/>
      <c r="I72" s="217" t="n"/>
      <c r="J72" s="217">
        <f>J71*0.7</f>
        <v/>
      </c>
    </row>
    <row r="73" ht="13.65" customFormat="1" customHeight="1" s="12">
      <c r="A73" s="258" t="n"/>
      <c r="B73" s="258" t="n"/>
      <c r="C73" s="257" t="inlineStr">
        <is>
          <t>Сметная прибыль</t>
        </is>
      </c>
      <c r="D73" s="140">
        <f>ROUND(G73/(G$15+G$18),2)</f>
        <v/>
      </c>
      <c r="E73" s="259" t="n"/>
      <c r="F73" s="260" t="n"/>
      <c r="G73" s="30" t="n">
        <v>7940.92</v>
      </c>
      <c r="H73" s="261" t="n"/>
      <c r="I73" s="30" t="n"/>
      <c r="J73" s="30">
        <f>ROUND(D73*(J15+J18),2)</f>
        <v/>
      </c>
    </row>
    <row r="74" ht="25.5" customFormat="1" customHeight="1" s="220">
      <c r="A74" s="213" t="n"/>
      <c r="B74" s="213" t="n"/>
      <c r="C74" s="234" t="inlineStr">
        <is>
          <t>Сметная прибыль 
(с коэффициентом на демонтаж 0,7)</t>
        </is>
      </c>
      <c r="D74" s="235">
        <f>D73</f>
        <v/>
      </c>
      <c r="E74" s="215" t="n"/>
      <c r="F74" s="216" t="n"/>
      <c r="G74" s="217">
        <f>G73*0.7</f>
        <v/>
      </c>
      <c r="H74" s="218" t="n"/>
      <c r="I74" s="217" t="n"/>
      <c r="J74" s="217">
        <f>J73*0.7</f>
        <v/>
      </c>
    </row>
    <row r="75" ht="30.75" customFormat="1" customHeight="1" s="220">
      <c r="A75" s="213" t="n"/>
      <c r="B75" s="213" t="n"/>
      <c r="C75" s="234" t="inlineStr">
        <is>
          <t>Итого СМР (с НР и СП) 
(с коэффициентом на демонтаж 0,7)</t>
        </is>
      </c>
      <c r="D75" s="213" t="n"/>
      <c r="E75" s="215" t="n"/>
      <c r="F75" s="216" t="n"/>
      <c r="G75" s="217">
        <f>G70+G72+G74</f>
        <v/>
      </c>
      <c r="H75" s="218" t="n"/>
      <c r="I75" s="217" t="n"/>
      <c r="J75" s="217">
        <f>ROUND((J70+J72+J74),2)</f>
        <v/>
      </c>
    </row>
    <row r="76" ht="32.25" customFormat="1" customHeight="1" s="220">
      <c r="A76" s="213" t="n"/>
      <c r="B76" s="213" t="n"/>
      <c r="C76" s="234" t="inlineStr">
        <is>
          <t>ВСЕГО СМР + ОБОРУДОВАНИЕ 
(с коэффициентом на демонтаж 0,7)</t>
        </is>
      </c>
      <c r="D76" s="213" t="n"/>
      <c r="E76" s="215" t="n"/>
      <c r="F76" s="216" t="n"/>
      <c r="G76" s="217">
        <f>G75</f>
        <v/>
      </c>
      <c r="H76" s="218" t="n"/>
      <c r="I76" s="217" t="n"/>
      <c r="J76" s="217">
        <f>J75</f>
        <v/>
      </c>
    </row>
    <row r="77" ht="34.5" customFormat="1" customHeight="1" s="220">
      <c r="A77" s="213" t="n"/>
      <c r="B77" s="213" t="n"/>
      <c r="C77" s="234" t="inlineStr">
        <is>
          <t>ИТОГО ПОКАЗАТЕЛЬ НА ЕД. ИЗМ.</t>
        </is>
      </c>
      <c r="D77" s="213" t="inlineStr">
        <is>
          <t>ед.</t>
        </is>
      </c>
      <c r="E77" s="215" t="n">
        <v>1</v>
      </c>
      <c r="F77" s="216" t="n"/>
      <c r="G77" s="217">
        <f>G76/E77</f>
        <v/>
      </c>
      <c r="H77" s="218" t="n"/>
      <c r="I77" s="217" t="n"/>
      <c r="J77" s="231">
        <f>J76/E77</f>
        <v/>
      </c>
    </row>
    <row r="78" ht="34.5" customFormat="1" customHeight="1" s="12">
      <c r="A78" s="191" t="n"/>
      <c r="B78" s="191" t="n"/>
      <c r="C78" s="255" t="n"/>
      <c r="D78" s="191" t="n"/>
      <c r="E78" s="210" t="n"/>
      <c r="F78" s="211" t="n"/>
      <c r="G78" s="49" t="n"/>
      <c r="H78" s="212" t="n"/>
      <c r="I78" s="49" t="n"/>
      <c r="J78" s="49" t="n"/>
    </row>
    <row r="80" ht="13.65" customFormat="1" customHeight="1" s="12">
      <c r="A80" s="4" t="inlineStr">
        <is>
          <t>Составил ______________________    Д.Ю. Нефедова</t>
        </is>
      </c>
      <c r="F80" s="189" t="n"/>
    </row>
    <row r="81" ht="13.65" customFormat="1" customHeight="1" s="12">
      <c r="A81" s="31" t="inlineStr">
        <is>
          <t xml:space="preserve">                         (подпись, инициалы, фамилия)</t>
        </is>
      </c>
      <c r="F81" s="189" t="n"/>
    </row>
    <row r="82" ht="13.65" customFormat="1" customHeight="1" s="12">
      <c r="A82" s="4" t="n"/>
      <c r="F82" s="189" t="n"/>
    </row>
    <row r="83" ht="13.65" customFormat="1" customHeight="1" s="12">
      <c r="A83" s="4" t="inlineStr">
        <is>
          <t>Проверил ______________________        А.В. Костянецкая</t>
        </is>
      </c>
      <c r="F83" s="189" t="n"/>
    </row>
    <row r="84" ht="13.65" customFormat="1" customHeight="1" s="12">
      <c r="A84" s="31" t="inlineStr">
        <is>
          <t xml:space="preserve">                        (подпись, инициалы, фамилия)</t>
        </is>
      </c>
      <c r="F84" s="189" t="n"/>
    </row>
  </sheetData>
  <mergeCells count="20">
    <mergeCell ref="F10:G10"/>
    <mergeCell ref="B65:H65"/>
    <mergeCell ref="A4:J4"/>
    <mergeCell ref="C10:C11"/>
    <mergeCell ref="H2:J2"/>
    <mergeCell ref="E10:E11"/>
    <mergeCell ref="B20:H20"/>
    <mergeCell ref="A7:H7"/>
    <mergeCell ref="B10:B11"/>
    <mergeCell ref="B59:H59"/>
    <mergeCell ref="B21:H21"/>
    <mergeCell ref="D6:J6"/>
    <mergeCell ref="A10:A11"/>
    <mergeCell ref="A8:H8"/>
    <mergeCell ref="B60:H60"/>
    <mergeCell ref="D10:D11"/>
    <mergeCell ref="B17:H17"/>
    <mergeCell ref="B13:H13"/>
    <mergeCell ref="I10:J10"/>
    <mergeCell ref="H10:H11"/>
  </mergeCells>
  <conditionalFormatting sqref="B22:B26">
    <cfRule type="duplicateValues" priority="1" dxfId="0"/>
  </conditionalFormatting>
  <conditionalFormatting sqref="B29:B54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zoomScale="115" zoomScaleSheetLayoutView="115" workbookViewId="0">
      <selection activeCell="C26" sqref="C26"/>
    </sheetView>
  </sheetViews>
  <sheetFormatPr baseColWidth="8" defaultRowHeight="14.4"/>
  <cols>
    <col width="5.6640625" customWidth="1" min="1" max="1"/>
    <col width="17.5546875" customWidth="1" min="2" max="2"/>
    <col width="39.109375" customWidth="1" min="3" max="3"/>
    <col width="10.6640625" customWidth="1" min="4" max="4"/>
    <col width="13.88671875" customWidth="1" min="5" max="5"/>
    <col width="13.33203125" customWidth="1" min="6" max="6"/>
    <col width="14.109375" customWidth="1" min="7" max="7"/>
  </cols>
  <sheetData>
    <row r="1">
      <c r="A1" s="272" t="inlineStr">
        <is>
          <t>Приложение №6</t>
        </is>
      </c>
    </row>
    <row r="2" ht="21.75" customHeight="1">
      <c r="A2" s="272" t="n"/>
      <c r="B2" s="272" t="n"/>
      <c r="C2" s="272" t="n"/>
      <c r="D2" s="272" t="n"/>
      <c r="E2" s="272" t="n"/>
      <c r="F2" s="272" t="n"/>
      <c r="G2" s="272" t="n"/>
    </row>
    <row r="3">
      <c r="A3" s="236" t="inlineStr">
        <is>
          <t>Расчет стоимости оборудования</t>
        </is>
      </c>
    </row>
    <row r="4" ht="25.5" customHeight="1">
      <c r="A4" s="239" t="inlineStr">
        <is>
          <t>Наименование разрабатываемого показателя УНЦ — КТП, РП, РТП 6-20 кВ блочного типа (бетонные, сэндвич-панели)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15" customHeight="1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8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323" t="n"/>
      <c r="B9" s="257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>
      <c r="A10" s="258" t="n"/>
      <c r="B10" s="251" t="n"/>
      <c r="C10" s="257" t="inlineStr">
        <is>
          <t>ИТОГО ИНЖЕНЕРНОЕ ОБОРУДОВАНИЕ</t>
        </is>
      </c>
      <c r="D10" s="251" t="n"/>
      <c r="E10" s="103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>
      <c r="A12" s="258" t="n"/>
      <c r="B12" s="257" t="n"/>
      <c r="C12" s="257" t="inlineStr">
        <is>
          <t>ИТОГО ТЕХНОЛОГИЧЕСКОЕ ОБОРУДОВАНИЕ</t>
        </is>
      </c>
      <c r="D12" s="257" t="n"/>
      <c r="E12" s="276" t="n"/>
      <c r="F12" s="260" t="n"/>
      <c r="G12" s="30" t="n">
        <v>0</v>
      </c>
    </row>
    <row r="13" ht="19.5" customHeight="1">
      <c r="A13" s="258" t="n"/>
      <c r="B13" s="257" t="n"/>
      <c r="C13" s="257" t="inlineStr">
        <is>
          <t>Всего по разделу «Оборудование»</t>
        </is>
      </c>
      <c r="D13" s="257" t="n"/>
      <c r="E13" s="276" t="n"/>
      <c r="F13" s="260" t="n"/>
      <c r="G13" s="30">
        <f>G10+G12</f>
        <v/>
      </c>
    </row>
    <row r="14">
      <c r="A14" s="28" t="n"/>
      <c r="B14" s="104" t="n"/>
      <c r="C14" s="28" t="n"/>
      <c r="D14" s="28" t="n"/>
      <c r="E14" s="28" t="n"/>
      <c r="F14" s="28" t="n"/>
      <c r="G14" s="28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8" t="n"/>
      <c r="E15" s="28" t="n"/>
      <c r="F15" s="28" t="n"/>
      <c r="G15" s="28" t="n"/>
    </row>
    <row r="16">
      <c r="A16" s="31" t="inlineStr">
        <is>
          <t xml:space="preserve">                         (подпись, инициалы, фамилия)</t>
        </is>
      </c>
      <c r="B16" s="12" t="n"/>
      <c r="C16" s="12" t="n"/>
      <c r="D16" s="28" t="n"/>
      <c r="E16" s="28" t="n"/>
      <c r="F16" s="28" t="n"/>
      <c r="G16" s="28" t="n"/>
    </row>
    <row r="17">
      <c r="A17" s="4" t="n"/>
      <c r="B17" s="12" t="n"/>
      <c r="C17" s="12" t="n"/>
      <c r="D17" s="28" t="n"/>
      <c r="E17" s="28" t="n"/>
      <c r="F17" s="28" t="n"/>
      <c r="G17" s="28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8" t="n"/>
      <c r="E18" s="28" t="n"/>
      <c r="F18" s="28" t="n"/>
      <c r="G18" s="28" t="n"/>
    </row>
    <row r="19">
      <c r="A19" s="31" t="inlineStr">
        <is>
          <t xml:space="preserve">                        (подпись, инициалы, фамилия)</t>
        </is>
      </c>
      <c r="B19" s="12" t="n"/>
      <c r="C19" s="12" t="n"/>
      <c r="D19" s="28" t="n"/>
      <c r="E19" s="28" t="n"/>
      <c r="F19" s="28" t="n"/>
      <c r="G19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B25" sqref="B25"/>
    </sheetView>
  </sheetViews>
  <sheetFormatPr baseColWidth="8" defaultColWidth="8.88671875" defaultRowHeight="14.4"/>
  <cols>
    <col width="14.44140625" customWidth="1" min="1" max="1"/>
    <col width="29.6640625" customWidth="1" min="2" max="2"/>
    <col width="39.109375" customWidth="1" min="3" max="3"/>
    <col width="46.6640625" customWidth="1" min="4" max="4"/>
  </cols>
  <sheetData>
    <row r="1">
      <c r="B1" s="4" t="n"/>
      <c r="C1" s="4" t="n"/>
      <c r="D1" s="272" t="inlineStr">
        <is>
          <t>Приложение №7</t>
        </is>
      </c>
    </row>
    <row r="2">
      <c r="A2" s="272" t="n"/>
      <c r="B2" s="272" t="n"/>
      <c r="C2" s="272" t="n"/>
      <c r="D2" s="272" t="n"/>
    </row>
    <row r="3" ht="24.75" customHeight="1">
      <c r="A3" s="236" t="inlineStr">
        <is>
          <t>Расчет показателя УНЦ</t>
        </is>
      </c>
    </row>
    <row r="4" ht="24.75" customHeight="1">
      <c r="A4" s="236" t="n"/>
      <c r="B4" s="236" t="n"/>
      <c r="C4" s="236" t="n"/>
      <c r="D4" s="236" t="n"/>
    </row>
    <row r="5" ht="24.6" customHeight="1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</f>
        <v/>
      </c>
    </row>
    <row r="6" ht="19.95" customHeight="1">
      <c r="A6" s="239" t="inlineStr">
        <is>
          <t>Единица измерения  — 1 ед</t>
        </is>
      </c>
      <c r="D6" s="239" t="n"/>
    </row>
    <row r="7">
      <c r="A7" s="4" t="n"/>
      <c r="B7" s="4" t="n"/>
      <c r="C7" s="4" t="n"/>
      <c r="D7" s="4" t="n"/>
    </row>
    <row r="8" ht="14.4" customHeight="1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>
      <c r="A9" s="329" t="n"/>
      <c r="B9" s="329" t="n"/>
      <c r="C9" s="329" t="n"/>
      <c r="D9" s="329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1.4" customHeight="1">
      <c r="A11" s="258" t="inlineStr">
        <is>
          <t>М6-05-11</t>
        </is>
      </c>
      <c r="B11" s="213" t="inlineStr">
        <is>
          <t>УНЦ на демонтажные работы ПС</t>
        </is>
      </c>
      <c r="C11" s="166">
        <f>D5</f>
        <v/>
      </c>
      <c r="D11" s="3">
        <f>'Прил.4 РМ'!C41/1000</f>
        <v/>
      </c>
      <c r="E11" s="165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zoomScale="70" zoomScaleNormal="85" zoomScaleSheetLayoutView="70" workbookViewId="0">
      <selection activeCell="M27" sqref="M27"/>
    </sheetView>
  </sheetViews>
  <sheetFormatPr baseColWidth="8" defaultColWidth="9.109375" defaultRowHeight="14.4"/>
  <cols>
    <col width="40.6640625" customWidth="1" min="2" max="2"/>
    <col width="37" customWidth="1" min="3" max="3"/>
    <col width="32" customWidth="1" min="4" max="4"/>
  </cols>
  <sheetData>
    <row r="4" ht="15.6" customHeight="1">
      <c r="B4" s="243" t="inlineStr">
        <is>
          <t>Приложение № 10</t>
        </is>
      </c>
    </row>
    <row r="5" ht="18" customHeight="1">
      <c r="B5" s="125" t="n"/>
    </row>
    <row r="6" ht="15.6" customHeight="1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6.8" customHeight="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6" customHeight="1">
      <c r="B10" s="248" t="n">
        <v>1</v>
      </c>
      <c r="C10" s="248" t="n">
        <v>2</v>
      </c>
      <c r="D10" s="248" t="n">
        <v>3</v>
      </c>
    </row>
    <row r="11" ht="31.2" customHeight="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31.2" customHeight="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31.2" customHeight="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1.2" customHeight="1">
      <c r="B14" s="24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8" t="n">
        <v>6.26</v>
      </c>
    </row>
    <row r="15" ht="78" customHeight="1">
      <c r="B15" s="248" t="inlineStr">
        <is>
          <t>Временные здания и сооружения</t>
        </is>
      </c>
      <c r="C15" s="248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" customHeight="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2" customHeight="1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27" t="n">
        <v>0.0214</v>
      </c>
    </row>
    <row r="18" ht="15.6" customHeight="1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27" t="n">
        <v>0.002</v>
      </c>
    </row>
    <row r="19" ht="15.6" customHeight="1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27" t="n">
        <v>0.03</v>
      </c>
    </row>
    <row r="20" ht="18" customHeight="1">
      <c r="B20" s="126" t="n"/>
    </row>
    <row r="23">
      <c r="B23" s="200" t="inlineStr">
        <is>
          <t>Составил ______________________        Д.Ю. Нефедова</t>
        </is>
      </c>
      <c r="C23" s="12" t="n"/>
    </row>
    <row r="24">
      <c r="B24" s="31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1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2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zoomScale="70" zoomScaleSheetLayoutView="70" workbookViewId="0">
      <selection activeCell="C23" sqref="C23"/>
    </sheetView>
  </sheetViews>
  <sheetFormatPr baseColWidth="8" defaultColWidth="9.109375" defaultRowHeight="14.4"/>
  <cols>
    <col width="44.88671875" customWidth="1" min="2" max="2"/>
    <col width="13" customWidth="1" min="3" max="3"/>
    <col width="22.88671875" customWidth="1" min="4" max="4"/>
    <col width="21.5546875" customWidth="1" min="5" max="5"/>
    <col width="52" bestFit="1" customWidth="1" min="6" max="6"/>
  </cols>
  <sheetData>
    <row r="2" ht="18.45" customHeight="1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48" t="n"/>
      <c r="D10" s="248" t="n"/>
      <c r="E10" s="337" t="n">
        <v>3.4</v>
      </c>
      <c r="F10" s="119" t="inlineStr">
        <is>
          <t>РТМ</t>
        </is>
      </c>
      <c r="G10" s="122" t="n"/>
    </row>
    <row r="11" ht="78.15000000000001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38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15000000000001" customHeight="1">
      <c r="A12" s="201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03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" customHeight="1">
      <c r="A13" s="205" t="inlineStr">
        <is>
          <t>1.7</t>
        </is>
      </c>
      <c r="B13" s="206" t="inlineStr">
        <is>
          <t>Размер средств на оплату труда рабочих-строителей в текущем уровне цен (ФОТр.тек.), руб/чел.-ч</t>
        </is>
      </c>
      <c r="C13" s="207" t="inlineStr">
        <is>
          <t>ФОТр.тек.</t>
        </is>
      </c>
      <c r="D13" s="207" t="inlineStr">
        <is>
          <t>(С1ср/tср*КТ*Т*Кув)*Кинф</t>
        </is>
      </c>
      <c r="E13" s="208">
        <f>((E7*E9/E8)*E11)*E12</f>
        <v/>
      </c>
      <c r="F13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2025-01-24T12:11:42Z</dcterms:modified>
  <cp:lastModifiedBy>user1</cp:lastModifiedBy>
</cp:coreProperties>
</file>