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840" tabRatio="924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3'!$A$1:$H$178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ОБ'!$A$1:$J$89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Ицпп" localSheetId="6">#REF!</definedName>
    <definedName name="й" localSheetId="6">#REF!</definedName>
    <definedName name="йцйу3йк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ительства" localSheetId="6">#REF!</definedName>
    <definedName name="Наименование_стройки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8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0.000"/>
    <numFmt numFmtId="168" formatCode="#,##0.0"/>
    <numFmt numFmtId="169" formatCode="#,##0.000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Calibri"/>
      <b val="1"/>
      <color rgb="FF000000"/>
      <sz val="12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b val="1"/>
      <color rgb="FF000000"/>
      <sz val="10"/>
      <u val="single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07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10" fontId="16" fillId="0" borderId="0" pivotButton="0" quotePrefix="0" xfId="0"/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21" fillId="0" borderId="1" applyAlignment="1" pivotButton="0" quotePrefix="0" xfId="0">
      <alignment vertical="center" wrapText="1"/>
    </xf>
    <xf numFmtId="43" fontId="2" fillId="0" borderId="1" applyAlignment="1" pivotButton="0" quotePrefix="0" xfId="0">
      <alignment vertical="center" wrapText="1"/>
    </xf>
    <xf numFmtId="2" fontId="16" fillId="0" borderId="0" pivotButton="0" quotePrefix="0" xfId="0"/>
    <xf numFmtId="10" fontId="0" fillId="0" borderId="0" pivotButton="0" quotePrefix="0" xfId="0"/>
    <xf numFmtId="49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0" fontId="2" fillId="0" borderId="1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center"/>
    </xf>
    <xf numFmtId="4" fontId="1" fillId="4" borderId="1" applyAlignment="1" pivotButton="0" quotePrefix="0" xfId="0">
      <alignment horizontal="right" vertical="center"/>
    </xf>
    <xf numFmtId="0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center" wrapText="1"/>
    </xf>
    <xf numFmtId="1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4" fillId="0" borderId="1" pivotButton="0" quotePrefix="0" xfId="0"/>
    <xf numFmtId="4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left" vertical="center" wrapText="1"/>
    </xf>
    <xf numFmtId="0" fontId="4" fillId="0" borderId="1" applyAlignment="1" pivotButton="0" quotePrefix="0" xfId="0">
      <alignment horizontal="left" vertical="center"/>
    </xf>
    <xf numFmtId="10" fontId="1" fillId="0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right" vertical="center"/>
    </xf>
    <xf numFmtId="4" fontId="1" fillId="0" borderId="1" applyAlignment="1" pivotButton="0" quotePrefix="0" xfId="0">
      <alignment horizontal="right" vertical="center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/>
    </xf>
    <xf numFmtId="2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2" fontId="2" fillId="0" borderId="1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2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10" fontId="18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0" fontId="20" fillId="0" borderId="1" applyAlignment="1" pivotButton="0" quotePrefix="0" xfId="0">
      <alignment vertical="center"/>
    </xf>
    <xf numFmtId="4" fontId="20" fillId="0" borderId="1" applyAlignment="1" pivotButton="0" quotePrefix="0" xfId="0">
      <alignment vertical="center"/>
    </xf>
    <xf numFmtId="14" fontId="16" fillId="0" borderId="1" applyAlignment="1" pivotButton="0" quotePrefix="0" xfId="0">
      <alignment vertical="center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pivotButton="0" quotePrefix="0" xfId="0">
      <alignment horizontal="right" vertical="center" wrapText="1"/>
    </xf>
    <xf numFmtId="49" fontId="16" fillId="0" borderId="0" pivotButton="0" quotePrefix="0" xfId="0"/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67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3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right" vertical="top" wrapText="1"/>
    </xf>
    <xf numFmtId="49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49" fontId="1" fillId="4" borderId="1" applyAlignment="1" pivotButton="0" quotePrefix="0" xfId="0">
      <alignment horizontal="center" vertical="top" wrapText="1"/>
    </xf>
    <xf numFmtId="0" fontId="1" fillId="4" borderId="1" applyAlignment="1" pivotButton="0" quotePrefix="0" xfId="0">
      <alignment horizontal="left" vertical="top" wrapText="1"/>
    </xf>
    <xf numFmtId="0" fontId="1" fillId="4" borderId="1" applyAlignment="1" pivotButton="0" quotePrefix="0" xfId="0">
      <alignment horizontal="center" vertical="top" wrapText="1"/>
    </xf>
    <xf numFmtId="167" fontId="1" fillId="4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2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2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2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center" wrapText="1"/>
    </xf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4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 wrapText="1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2" applyAlignment="1" pivotButton="0" quotePrefix="0" xfId="0">
      <alignment horizontal="center" vertical="center" wrapText="1"/>
    </xf>
    <xf numFmtId="0" fontId="16" fillId="0" borderId="6" applyAlignment="1" pivotButton="0" quotePrefix="0" xfId="0">
      <alignment horizontal="center" vertical="center" wrapText="1"/>
    </xf>
    <xf numFmtId="0" fontId="21" fillId="0" borderId="2" applyAlignment="1" pivotButton="0" quotePrefix="0" xfId="0">
      <alignment horizontal="center" vertical="center" wrapText="1"/>
    </xf>
    <xf numFmtId="0" fontId="21" fillId="0" borderId="6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20" fillId="0" borderId="7" applyAlignment="1" pivotButton="0" quotePrefix="0" xfId="0">
      <alignment vertical="top"/>
    </xf>
    <xf numFmtId="0" fontId="20" fillId="0" borderId="0" applyAlignment="1" pivotButton="0" quotePrefix="0" xfId="0">
      <alignment vertical="top"/>
    </xf>
    <xf numFmtId="0" fontId="20" fillId="0" borderId="8" applyAlignment="1" pivotButton="0" quotePrefix="0" xfId="0">
      <alignment vertical="top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10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10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4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9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1" applyAlignment="1" pivotButton="0" quotePrefix="0" xfId="0">
      <alignment horizontal="center" vertical="center"/>
    </xf>
    <xf numFmtId="0" fontId="20" fillId="0" borderId="11" applyAlignment="1" pivotButton="0" quotePrefix="0" xfId="0">
      <alignment vertical="center" wrapText="1"/>
    </xf>
    <xf numFmtId="0" fontId="16" fillId="0" borderId="11" applyAlignment="1" pivotButton="0" quotePrefix="0" xfId="0">
      <alignment horizontal="center" vertical="center" wrapText="1"/>
    </xf>
    <xf numFmtId="4" fontId="20" fillId="0" borderId="11" applyAlignment="1" pivotButton="0" quotePrefix="0" xfId="0">
      <alignment horizontal="center" vertical="center"/>
    </xf>
    <xf numFmtId="0" fontId="16" fillId="0" borderId="11" applyAlignment="1" pivotButton="0" quotePrefix="0" xfId="0">
      <alignment horizontal="left" vertical="center" wrapText="1"/>
    </xf>
    <xf numFmtId="0" fontId="0" fillId="0" borderId="9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4" pivotButton="0" quotePrefix="0" xfId="0"/>
    <xf numFmtId="0" fontId="21" fillId="0" borderId="1" applyAlignment="1" pivotButton="0" quotePrefix="0" xfId="0">
      <alignment horizontal="center" vertical="center" wrapText="1"/>
    </xf>
    <xf numFmtId="43" fontId="2" fillId="0" borderId="1" applyAlignment="1" pivotButton="0" quotePrefix="0" xfId="0">
      <alignment vertical="center" wrapText="1"/>
    </xf>
    <xf numFmtId="167" fontId="1" fillId="4" borderId="1" applyAlignment="1" pivotButton="0" quotePrefix="0" xfId="0">
      <alignment horizontal="center" vertical="top" wrapText="1"/>
    </xf>
    <xf numFmtId="167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0" fontId="20" fillId="0" borderId="10" applyAlignment="1" pivotButton="0" quotePrefix="0" xfId="0">
      <alignment vertical="top"/>
    </xf>
    <xf numFmtId="0" fontId="0" fillId="0" borderId="8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tabSelected="1" view="pageBreakPreview" topLeftCell="A18" zoomScale="60" zoomScaleNormal="55" workbookViewId="0">
      <selection activeCell="D29" sqref="D29"/>
    </sheetView>
  </sheetViews>
  <sheetFormatPr baseColWidth="8" defaultColWidth="9.140625" defaultRowHeight="15.75"/>
  <cols>
    <col width="9.140625" customWidth="1" style="267" min="1" max="2"/>
    <col width="51.7109375" customWidth="1" style="267" min="3" max="3"/>
    <col width="47" customWidth="1" style="267" min="4" max="4"/>
    <col width="37.42578125" customWidth="1" style="267" min="5" max="5"/>
    <col width="9.140625" customWidth="1" style="267" min="6" max="6"/>
  </cols>
  <sheetData>
    <row r="3">
      <c r="B3" s="290" t="inlineStr">
        <is>
          <t>Приложение № 1</t>
        </is>
      </c>
    </row>
    <row r="4">
      <c r="B4" s="291" t="inlineStr">
        <is>
          <t>Сравнительная таблица отбора объекта-представителя</t>
        </is>
      </c>
    </row>
    <row r="5" ht="84" customHeight="1" s="265">
      <c r="B5" s="294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65">
      <c r="B6" s="159" t="n"/>
      <c r="C6" s="159" t="n"/>
      <c r="D6" s="159" t="n"/>
    </row>
    <row r="7" ht="64.5" customHeight="1" s="265">
      <c r="B7" s="292" t="inlineStr">
        <is>
          <t>Наименование разрабатываемого показателя УНЦ - Демонтаж БСК 110-750кВ</t>
        </is>
      </c>
    </row>
    <row r="8" ht="31.5" customHeight="1" s="265">
      <c r="B8" s="293" t="inlineStr">
        <is>
          <t>Сопоставимый уровень цен: 4 квартал 2018</t>
        </is>
      </c>
    </row>
    <row r="9" ht="15.75" customHeight="1" s="265">
      <c r="B9" s="293" t="inlineStr">
        <is>
          <t>Единица измерения  — 1 ячейка</t>
        </is>
      </c>
    </row>
    <row r="10">
      <c r="B10" s="293" t="n"/>
    </row>
    <row r="11">
      <c r="B11" s="296" t="inlineStr">
        <is>
          <t>№ п/п</t>
        </is>
      </c>
      <c r="C11" s="296" t="inlineStr">
        <is>
          <t>Параметр</t>
        </is>
      </c>
      <c r="D11" s="296" t="inlineStr">
        <is>
          <t xml:space="preserve">Объект-представитель </t>
        </is>
      </c>
      <c r="E11" s="145" t="n"/>
    </row>
    <row r="12" ht="96.75" customHeight="1" s="265">
      <c r="B12" s="296" t="n">
        <v>1</v>
      </c>
      <c r="C12" s="304" t="inlineStr">
        <is>
          <t>Наименование объекта-представителя</t>
        </is>
      </c>
      <c r="D12" s="296" t="inlineStr">
        <is>
          <t>ПС 500 кВ Белобережская (МЭС Сибири)</t>
        </is>
      </c>
    </row>
    <row r="13">
      <c r="B13" s="296" t="n">
        <v>2</v>
      </c>
      <c r="C13" s="304" t="inlineStr">
        <is>
          <t>Наименование субъекта Российской Федерации</t>
        </is>
      </c>
      <c r="D13" s="296" t="inlineStr">
        <is>
          <t>Брянская область</t>
        </is>
      </c>
    </row>
    <row r="14">
      <c r="B14" s="296" t="n">
        <v>3</v>
      </c>
      <c r="C14" s="304" t="inlineStr">
        <is>
          <t>Климатический район и подрайон</t>
        </is>
      </c>
      <c r="D14" s="296" t="inlineStr">
        <is>
          <t>II</t>
        </is>
      </c>
    </row>
    <row r="15">
      <c r="B15" s="296" t="n">
        <v>4</v>
      </c>
      <c r="C15" s="304" t="inlineStr">
        <is>
          <t>Мощность объекта</t>
        </is>
      </c>
      <c r="D15" s="296" t="n">
        <v>2</v>
      </c>
    </row>
    <row r="16" ht="116.25" customHeight="1" s="265">
      <c r="B16" s="296" t="n">
        <v>5</v>
      </c>
      <c r="C16" s="114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96" t="inlineStr">
        <is>
          <t>Конденсаторная батарея 
КБ-220-100000 УХЛ1 - 2 шт.</t>
        </is>
      </c>
    </row>
    <row r="17" ht="79.5" customHeight="1" s="265">
      <c r="B17" s="296" t="n">
        <v>6</v>
      </c>
      <c r="C17" s="114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13">
        <f>D18+D19</f>
        <v/>
      </c>
      <c r="E17" s="158" t="n"/>
    </row>
    <row r="18">
      <c r="B18" s="144" t="inlineStr">
        <is>
          <t>6.1</t>
        </is>
      </c>
      <c r="C18" s="304" t="inlineStr">
        <is>
          <t>строительно-монтажные работы</t>
        </is>
      </c>
      <c r="D18" s="213">
        <f>'Прил.2 Расч стоим'!F14</f>
        <v/>
      </c>
    </row>
    <row r="19" ht="15.75" customHeight="1" s="265">
      <c r="B19" s="144" t="inlineStr">
        <is>
          <t>6.2</t>
        </is>
      </c>
      <c r="C19" s="304" t="inlineStr">
        <is>
          <t>оборудование и инвентарь</t>
        </is>
      </c>
      <c r="D19" s="213" t="n">
        <v>0</v>
      </c>
    </row>
    <row r="20" ht="16.5" customHeight="1" s="265">
      <c r="B20" s="144" t="inlineStr">
        <is>
          <t>6.3</t>
        </is>
      </c>
      <c r="C20" s="304" t="inlineStr">
        <is>
          <t>пусконаладочные работы</t>
        </is>
      </c>
      <c r="D20" s="213" t="n"/>
    </row>
    <row r="21" ht="35.25" customHeight="1" s="265">
      <c r="B21" s="144" t="inlineStr">
        <is>
          <t>6.4</t>
        </is>
      </c>
      <c r="C21" s="143" t="inlineStr">
        <is>
          <t>прочие и лимитированные затраты</t>
        </is>
      </c>
      <c r="D21" s="213" t="n"/>
    </row>
    <row r="22">
      <c r="B22" s="296" t="n">
        <v>7</v>
      </c>
      <c r="C22" s="143" t="inlineStr">
        <is>
          <t>Сопоставимый уровень цен</t>
        </is>
      </c>
      <c r="D22" s="214" t="inlineStr">
        <is>
          <t>4 квартал 2018</t>
        </is>
      </c>
      <c r="E22" s="141" t="n"/>
    </row>
    <row r="23" ht="123" customHeight="1" s="265">
      <c r="B23" s="296" t="n">
        <v>8</v>
      </c>
      <c r="C23" s="142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13">
        <f>D17</f>
        <v/>
      </c>
      <c r="E23" s="158" t="n"/>
    </row>
    <row r="24" ht="60.75" customHeight="1" s="265">
      <c r="B24" s="296" t="n">
        <v>9</v>
      </c>
      <c r="C24" s="114" t="inlineStr">
        <is>
          <t>Приведенная сметная стоимость на единицу мощности, тыс. руб. (строка 8/строку 4)</t>
        </is>
      </c>
      <c r="D24" s="213">
        <f>D17/D15</f>
        <v/>
      </c>
      <c r="E24" s="141" t="n"/>
    </row>
    <row r="25" ht="48" customHeight="1" s="265">
      <c r="B25" s="296" t="n">
        <v>10</v>
      </c>
      <c r="C25" s="304" t="inlineStr">
        <is>
          <t>Примечание</t>
        </is>
      </c>
      <c r="D25" s="296" t="n"/>
    </row>
    <row r="26">
      <c r="B26" s="140" t="n"/>
      <c r="C26" s="139" t="n"/>
      <c r="D26" s="139" t="n"/>
    </row>
    <row r="27" ht="37.5" customHeight="1" s="265">
      <c r="B27" s="138" t="n"/>
    </row>
    <row r="28">
      <c r="B28" s="267" t="inlineStr">
        <is>
          <t>Составил ______________________    Е. М. Добровольская</t>
        </is>
      </c>
    </row>
    <row r="29">
      <c r="B29" s="138" t="inlineStr">
        <is>
          <t xml:space="preserve">                         (подпись, инициалы, фамилия)</t>
        </is>
      </c>
    </row>
    <row r="31">
      <c r="B31" s="267" t="inlineStr">
        <is>
          <t>Проверил ______________________        А.В. Костянецкая</t>
        </is>
      </c>
    </row>
    <row r="32">
      <c r="B32" s="138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8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70" zoomScaleNormal="70" workbookViewId="0">
      <selection activeCell="G21" sqref="G21"/>
    </sheetView>
  </sheetViews>
  <sheetFormatPr baseColWidth="8" defaultColWidth="9.140625" defaultRowHeight="15.75"/>
  <cols>
    <col width="5.5703125" customWidth="1" style="267" min="1" max="1"/>
    <col width="9.140625" customWidth="1" style="267" min="2" max="2"/>
    <col width="35.28515625" customWidth="1" style="267" min="3" max="3"/>
    <col width="13.85546875" customWidth="1" style="267" min="4" max="4"/>
    <col width="24.85546875" customWidth="1" style="267" min="5" max="5"/>
    <col width="15.5703125" customWidth="1" style="267" min="6" max="6"/>
    <col width="14.85546875" customWidth="1" style="267" min="7" max="7"/>
    <col width="16.7109375" customWidth="1" style="267" min="8" max="8"/>
    <col width="13" customWidth="1" style="267" min="9" max="10"/>
    <col width="18" customWidth="1" style="267" min="11" max="11"/>
    <col width="9.140625" customWidth="1" style="267" min="12" max="12"/>
  </cols>
  <sheetData>
    <row r="3">
      <c r="B3" s="290" t="inlineStr">
        <is>
          <t>Приложение № 2</t>
        </is>
      </c>
      <c r="K3" s="138" t="n"/>
    </row>
    <row r="4">
      <c r="B4" s="291" t="inlineStr">
        <is>
          <t>Расчет стоимости основных видов работ для выбора объекта-представителя</t>
        </is>
      </c>
    </row>
    <row r="5">
      <c r="B5" s="146" t="n"/>
      <c r="C5" s="146" t="n"/>
      <c r="D5" s="146" t="n"/>
      <c r="E5" s="146" t="n"/>
      <c r="F5" s="146" t="n"/>
      <c r="G5" s="146" t="n"/>
      <c r="H5" s="146" t="n"/>
      <c r="I5" s="146" t="n"/>
      <c r="J5" s="146" t="n"/>
      <c r="K5" s="146" t="n"/>
    </row>
    <row r="6" ht="29.25" customHeight="1" s="265">
      <c r="B6" s="293">
        <f>'Прил.1 Сравнит табл'!B7:D7</f>
        <v/>
      </c>
    </row>
    <row r="7">
      <c r="B7" s="293">
        <f>'Прил.1 Сравнит табл'!B9:D9</f>
        <v/>
      </c>
    </row>
    <row r="8" ht="18.75" customHeight="1" s="265">
      <c r="B8" s="119" t="n"/>
    </row>
    <row r="9" ht="15.75" customHeight="1" s="265">
      <c r="B9" s="296" t="inlineStr">
        <is>
          <t>№ п/п</t>
        </is>
      </c>
      <c r="C9" s="296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96" t="inlineStr">
        <is>
          <t>Объект-представитель 1</t>
        </is>
      </c>
      <c r="E9" s="390" t="n"/>
      <c r="F9" s="390" t="n"/>
      <c r="G9" s="390" t="n"/>
      <c r="H9" s="390" t="n"/>
      <c r="I9" s="390" t="n"/>
      <c r="J9" s="391" t="n"/>
    </row>
    <row r="10" ht="15.75" customHeight="1" s="265">
      <c r="B10" s="392" t="n"/>
      <c r="C10" s="392" t="n"/>
      <c r="D10" s="296" t="inlineStr">
        <is>
          <t>Номер сметы</t>
        </is>
      </c>
      <c r="E10" s="296" t="inlineStr">
        <is>
          <t>Наименование сметы</t>
        </is>
      </c>
      <c r="F10" s="296" t="inlineStr">
        <is>
          <t>Сметная стоимость в уровне цен 4 кв. 2018г., тыс. руб.</t>
        </is>
      </c>
      <c r="G10" s="390" t="n"/>
      <c r="H10" s="390" t="n"/>
      <c r="I10" s="390" t="n"/>
      <c r="J10" s="391" t="n"/>
    </row>
    <row r="11" ht="31.5" customHeight="1" s="265">
      <c r="B11" s="393" t="n"/>
      <c r="C11" s="393" t="n"/>
      <c r="D11" s="393" t="n"/>
      <c r="E11" s="393" t="n"/>
      <c r="F11" s="296" t="inlineStr">
        <is>
          <t>Строительные работы</t>
        </is>
      </c>
      <c r="G11" s="296" t="inlineStr">
        <is>
          <t>Монтажные работы</t>
        </is>
      </c>
      <c r="H11" s="296" t="inlineStr">
        <is>
          <t>Оборудование</t>
        </is>
      </c>
      <c r="I11" s="296" t="inlineStr">
        <is>
          <t>Прочее</t>
        </is>
      </c>
      <c r="J11" s="296" t="inlineStr">
        <is>
          <t>Всего</t>
        </is>
      </c>
    </row>
    <row r="12" ht="31.5" customHeight="1" s="265">
      <c r="B12" s="296" t="n"/>
      <c r="C12" s="213" t="inlineStr">
        <is>
          <t>Демонтаж БСК 110-750кВ</t>
        </is>
      </c>
      <c r="D12" s="296" t="n"/>
      <c r="E12" s="296" t="n"/>
      <c r="F12" s="296" t="n">
        <v>1333.6939972</v>
      </c>
      <c r="G12" s="391" t="n"/>
      <c r="H12" s="296" t="n">
        <v>0</v>
      </c>
      <c r="I12" s="296" t="n"/>
      <c r="J12" s="296" t="n">
        <v>1333.6939972</v>
      </c>
    </row>
    <row r="13" ht="15.75" customHeight="1" s="265">
      <c r="B13" s="295" t="inlineStr">
        <is>
          <t>Всего по объекту:</t>
        </is>
      </c>
      <c r="C13" s="390" t="n"/>
      <c r="D13" s="390" t="n"/>
      <c r="E13" s="391" t="n"/>
      <c r="F13" s="160" t="n"/>
      <c r="G13" s="160" t="n"/>
      <c r="H13" s="160" t="n"/>
      <c r="I13" s="160" t="n"/>
      <c r="J13" s="160" t="n"/>
    </row>
    <row r="14">
      <c r="B14" s="295" t="inlineStr">
        <is>
          <t>Всего по объекту в сопоставимом уровне цен 4кв. 2018г:</t>
        </is>
      </c>
      <c r="C14" s="390" t="n"/>
      <c r="D14" s="390" t="n"/>
      <c r="E14" s="391" t="n"/>
      <c r="F14" s="394">
        <f>F12</f>
        <v/>
      </c>
      <c r="G14" s="391" t="n"/>
      <c r="H14" s="160">
        <f>H12</f>
        <v/>
      </c>
      <c r="I14" s="160" t="n"/>
      <c r="J14" s="160">
        <f>J12</f>
        <v/>
      </c>
    </row>
    <row r="15" ht="15" customHeight="1" s="265"/>
    <row r="16" ht="15" customHeight="1" s="265"/>
    <row r="17" ht="15" customHeight="1" s="265"/>
    <row r="18" ht="15" customHeight="1" s="265">
      <c r="C18" s="264" t="inlineStr">
        <is>
          <t>Составил ______________________     Е. М. Добровольская</t>
        </is>
      </c>
      <c r="D18" s="262" t="n"/>
      <c r="E18" s="262" t="n"/>
    </row>
    <row r="19" ht="15" customHeight="1" s="265">
      <c r="C19" s="261" t="inlineStr">
        <is>
          <t xml:space="preserve">                         (подпись, инициалы, фамилия)</t>
        </is>
      </c>
      <c r="D19" s="262" t="n"/>
      <c r="E19" s="262" t="n"/>
    </row>
    <row r="20" ht="15" customHeight="1" s="265">
      <c r="C20" s="264" t="n"/>
      <c r="D20" s="262" t="n"/>
      <c r="E20" s="262" t="n"/>
    </row>
    <row r="21" ht="15" customHeight="1" s="265">
      <c r="C21" s="264" t="inlineStr">
        <is>
          <t>Проверил ______________________        А.В. Костянецкая</t>
        </is>
      </c>
      <c r="D21" s="262" t="n"/>
      <c r="E21" s="262" t="n"/>
    </row>
    <row r="22" ht="15" customHeight="1" s="265">
      <c r="C22" s="261" t="inlineStr">
        <is>
          <t xml:space="preserve">                        (подпись, инициалы, фамилия)</t>
        </is>
      </c>
      <c r="D22" s="262" t="n"/>
      <c r="E22" s="262" t="n"/>
    </row>
    <row r="23" ht="15" customHeight="1" s="265"/>
    <row r="24" ht="15" customHeight="1" s="265"/>
    <row r="25" ht="15" customHeight="1" s="265"/>
    <row r="26" ht="15" customHeight="1" s="265"/>
    <row r="27" ht="15" customHeight="1" s="265"/>
    <row r="28" ht="15" customHeight="1" s="265"/>
  </sheetData>
  <mergeCells count="14">
    <mergeCell ref="F12:G12"/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F14:G14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161"/>
  <sheetViews>
    <sheetView view="pageBreakPreview" zoomScale="70" workbookViewId="0">
      <selection activeCell="E168" sqref="E168"/>
    </sheetView>
  </sheetViews>
  <sheetFormatPr baseColWidth="8" defaultColWidth="9.140625" defaultRowHeight="15.75"/>
  <cols>
    <col width="9.140625" customWidth="1" style="267" min="1" max="1"/>
    <col width="12.5703125" customWidth="1" style="267" min="2" max="2"/>
    <col width="22.42578125" customWidth="1" style="267" min="3" max="3"/>
    <col width="49.7109375" customWidth="1" style="267" min="4" max="4"/>
    <col width="10.140625" customWidth="1" style="267" min="5" max="5"/>
    <col width="20.7109375" customWidth="1" style="267" min="6" max="6"/>
    <col width="20" customWidth="1" style="267" min="7" max="7"/>
    <col width="16.7109375" customWidth="1" style="267" min="8" max="8"/>
    <col width="7.5703125" customWidth="1" style="267" min="9" max="9"/>
    <col width="11.85546875" customWidth="1" style="267" min="10" max="10"/>
    <col width="15" customWidth="1" style="267" min="11" max="11"/>
    <col width="9.140625" customWidth="1" style="267" min="12" max="12"/>
  </cols>
  <sheetData>
    <row r="2">
      <c r="A2" s="290" t="inlineStr">
        <is>
          <t xml:space="preserve">Приложение № 3 </t>
        </is>
      </c>
    </row>
    <row r="3">
      <c r="A3" s="291" t="inlineStr">
        <is>
          <t>Объектная ресурсная ведомость</t>
        </is>
      </c>
    </row>
    <row r="4">
      <c r="A4" s="312" t="n"/>
    </row>
    <row r="5">
      <c r="A5" s="293" t="n"/>
    </row>
    <row r="6">
      <c r="A6" s="311" t="inlineStr">
        <is>
          <t>Наименование разрабатываемого показателя УНЦ -  Демонтаж БСК 110-750кВ</t>
        </is>
      </c>
    </row>
    <row r="7">
      <c r="A7" s="311" t="n"/>
      <c r="B7" s="311" t="n"/>
      <c r="C7" s="311" t="n"/>
      <c r="D7" s="311" t="n"/>
      <c r="E7" s="311" t="n"/>
      <c r="F7" s="311" t="n"/>
      <c r="G7" s="311" t="n"/>
      <c r="H7" s="311" t="n"/>
    </row>
    <row r="8" ht="30" customHeight="1" s="265">
      <c r="A8" s="296" t="inlineStr">
        <is>
          <t>п/п</t>
        </is>
      </c>
      <c r="B8" s="296" t="inlineStr">
        <is>
          <t>№ЛСР</t>
        </is>
      </c>
      <c r="C8" s="296" t="inlineStr">
        <is>
          <t>Код ресурса</t>
        </is>
      </c>
      <c r="D8" s="296" t="inlineStr">
        <is>
          <t>Наименование ресурса</t>
        </is>
      </c>
      <c r="E8" s="296" t="inlineStr">
        <is>
          <t>Ед. изм.</t>
        </is>
      </c>
      <c r="F8" s="296" t="inlineStr">
        <is>
          <t>Кол-во единиц по данным объекта-представителя</t>
        </is>
      </c>
      <c r="G8" s="296" t="inlineStr">
        <is>
          <t>Сметная стоимость в ценах на 01.01.2000 (руб.)</t>
        </is>
      </c>
      <c r="H8" s="391" t="n"/>
    </row>
    <row r="9">
      <c r="A9" s="393" t="n"/>
      <c r="B9" s="393" t="n"/>
      <c r="C9" s="393" t="n"/>
      <c r="D9" s="393" t="n"/>
      <c r="E9" s="393" t="n"/>
      <c r="F9" s="393" t="n"/>
      <c r="G9" s="296" t="inlineStr">
        <is>
          <t>на ед.изм.</t>
        </is>
      </c>
      <c r="H9" s="296" t="inlineStr">
        <is>
          <t>общая</t>
        </is>
      </c>
    </row>
    <row r="10">
      <c r="A10" s="280" t="n">
        <v>1</v>
      </c>
      <c r="B10" s="280" t="n"/>
      <c r="C10" s="280" t="n">
        <v>2</v>
      </c>
      <c r="D10" s="280" t="inlineStr">
        <is>
          <t>З</t>
        </is>
      </c>
      <c r="E10" s="280" t="n">
        <v>4</v>
      </c>
      <c r="F10" s="280" t="n">
        <v>5</v>
      </c>
      <c r="G10" s="280" t="n">
        <v>6</v>
      </c>
      <c r="H10" s="280" t="n">
        <v>7</v>
      </c>
    </row>
    <row r="11" customFormat="1" s="148">
      <c r="A11" s="305" t="inlineStr">
        <is>
          <t>Затраты труда рабочих</t>
        </is>
      </c>
      <c r="B11" s="390" t="n"/>
      <c r="C11" s="390" t="n"/>
      <c r="D11" s="390" t="n"/>
      <c r="E11" s="391" t="n"/>
      <c r="F11" s="395" t="n">
        <v>7669.32</v>
      </c>
      <c r="G11" s="10" t="n"/>
      <c r="H11" s="395">
        <f>SUM(H12:H30)</f>
        <v/>
      </c>
    </row>
    <row r="12">
      <c r="A12" s="171" t="n">
        <v>1</v>
      </c>
      <c r="B12" s="207" t="n"/>
      <c r="C12" s="235" t="inlineStr">
        <is>
          <t>1-3-0</t>
        </is>
      </c>
      <c r="D12" s="236" t="inlineStr">
        <is>
          <t>Затраты труда рабочих (ср 3)</t>
        </is>
      </c>
      <c r="E12" s="237" t="inlineStr">
        <is>
          <t>чел.-ч</t>
        </is>
      </c>
      <c r="F12" s="396" t="n">
        <v>2273.08</v>
      </c>
      <c r="G12" s="239" t="n">
        <v>8.529999999999999</v>
      </c>
      <c r="H12" s="248">
        <f>ROUND(F12*G12,2)</f>
        <v/>
      </c>
      <c r="J12" s="212" t="n"/>
    </row>
    <row r="13">
      <c r="A13" s="171" t="n">
        <v>2</v>
      </c>
      <c r="B13" s="207" t="n"/>
      <c r="C13" s="235" t="inlineStr">
        <is>
          <t>1-4-0</t>
        </is>
      </c>
      <c r="D13" s="236" t="inlineStr">
        <is>
          <t>Затраты труда рабочих (ср 4)</t>
        </is>
      </c>
      <c r="E13" s="237" t="inlineStr">
        <is>
          <t>чел.-ч</t>
        </is>
      </c>
      <c r="F13" s="396" t="n">
        <v>1543.2</v>
      </c>
      <c r="G13" s="239" t="n">
        <v>9.619999999999999</v>
      </c>
      <c r="H13" s="248">
        <f>ROUND(F13*G13,2)</f>
        <v/>
      </c>
      <c r="J13" s="212" t="n"/>
    </row>
    <row r="14">
      <c r="A14" s="171" t="n">
        <v>3</v>
      </c>
      <c r="B14" s="207" t="n"/>
      <c r="C14" s="235" t="inlineStr">
        <is>
          <t>1-4-9</t>
        </is>
      </c>
      <c r="D14" s="236" t="inlineStr">
        <is>
          <t>Затраты труда рабочих (ср 4,9)</t>
        </is>
      </c>
      <c r="E14" s="237" t="inlineStr">
        <is>
          <t>чел.-ч</t>
        </is>
      </c>
      <c r="F14" s="396" t="n">
        <v>1344.3</v>
      </c>
      <c r="G14" s="239" t="n">
        <v>10.94</v>
      </c>
      <c r="H14" s="248">
        <f>ROUND(F14*G14,2)</f>
        <v/>
      </c>
      <c r="J14" s="212" t="n"/>
    </row>
    <row r="15">
      <c r="A15" s="171" t="n">
        <v>4</v>
      </c>
      <c r="B15" s="207" t="n"/>
      <c r="C15" s="235" t="inlineStr">
        <is>
          <t>1-2-5</t>
        </is>
      </c>
      <c r="D15" s="236" t="inlineStr">
        <is>
          <t>Затраты труда рабочих (ср 2,5)</t>
        </is>
      </c>
      <c r="E15" s="237" t="inlineStr">
        <is>
          <t>чел.-ч</t>
        </is>
      </c>
      <c r="F15" s="396" t="n">
        <v>655</v>
      </c>
      <c r="G15" s="239" t="n">
        <v>8.17</v>
      </c>
      <c r="H15" s="248">
        <f>ROUND(F15*G15,2)</f>
        <v/>
      </c>
      <c r="J15" s="212" t="n"/>
    </row>
    <row r="16">
      <c r="A16" s="171" t="n">
        <v>5</v>
      </c>
      <c r="B16" s="207" t="n"/>
      <c r="C16" s="235" t="inlineStr">
        <is>
          <t>1-3-5</t>
        </is>
      </c>
      <c r="D16" s="236" t="inlineStr">
        <is>
          <t>Затраты труда рабочих (ср 3,5)</t>
        </is>
      </c>
      <c r="E16" s="237" t="inlineStr">
        <is>
          <t>чел.-ч</t>
        </is>
      </c>
      <c r="F16" s="396" t="n">
        <v>382.38</v>
      </c>
      <c r="G16" s="239" t="n">
        <v>9.07</v>
      </c>
      <c r="H16" s="248">
        <f>ROUND(F16*G16,2)</f>
        <v/>
      </c>
      <c r="J16" s="212" t="n"/>
    </row>
    <row r="17">
      <c r="A17" s="171" t="n">
        <v>6</v>
      </c>
      <c r="B17" s="207" t="n"/>
      <c r="C17" s="235" t="inlineStr">
        <is>
          <t>1-3-3</t>
        </is>
      </c>
      <c r="D17" s="236" t="inlineStr">
        <is>
          <t>Затраты труда рабочих (ср 3,3)</t>
        </is>
      </c>
      <c r="E17" s="237" t="inlineStr">
        <is>
          <t>чел.-ч</t>
        </is>
      </c>
      <c r="F17" s="396" t="n">
        <v>367.72</v>
      </c>
      <c r="G17" s="239" t="n">
        <v>8.859999999999999</v>
      </c>
      <c r="H17" s="248">
        <f>ROUND(F17*G17,2)</f>
        <v/>
      </c>
      <c r="J17" s="212" t="n"/>
    </row>
    <row r="18">
      <c r="A18" s="171" t="n">
        <v>7</v>
      </c>
      <c r="B18" s="207" t="n"/>
      <c r="C18" s="235" t="inlineStr">
        <is>
          <t>1-3-9</t>
        </is>
      </c>
      <c r="D18" s="236" t="inlineStr">
        <is>
          <t>Затраты труда рабочих (ср 3,9)</t>
        </is>
      </c>
      <c r="E18" s="237" t="inlineStr">
        <is>
          <t>чел.-ч</t>
        </is>
      </c>
      <c r="F18" s="396" t="n">
        <v>251.44</v>
      </c>
      <c r="G18" s="239" t="n">
        <v>9.51</v>
      </c>
      <c r="H18" s="248">
        <f>ROUND(F18*G18,2)</f>
        <v/>
      </c>
      <c r="J18" s="212" t="n"/>
    </row>
    <row r="19">
      <c r="A19" s="171" t="n">
        <v>8</v>
      </c>
      <c r="B19" s="207" t="n"/>
      <c r="C19" s="235" t="inlineStr">
        <is>
          <t>1-4-5</t>
        </is>
      </c>
      <c r="D19" s="236" t="inlineStr">
        <is>
          <t>Затраты труда рабочих (ср 4,5)</t>
        </is>
      </c>
      <c r="E19" s="237" t="inlineStr">
        <is>
          <t>чел.-ч</t>
        </is>
      </c>
      <c r="F19" s="396" t="n">
        <v>185.38</v>
      </c>
      <c r="G19" s="239" t="n">
        <v>10.35</v>
      </c>
      <c r="H19" s="248">
        <f>ROUND(F19*G19,2)</f>
        <v/>
      </c>
      <c r="J19" s="212" t="n"/>
    </row>
    <row r="20">
      <c r="A20" s="171" t="n">
        <v>9</v>
      </c>
      <c r="B20" s="207" t="n"/>
      <c r="C20" s="235" t="inlineStr">
        <is>
          <t>1-2-9</t>
        </is>
      </c>
      <c r="D20" s="236" t="inlineStr">
        <is>
          <t>Затраты труда рабочих (ср 2,9)</t>
        </is>
      </c>
      <c r="E20" s="237" t="inlineStr">
        <is>
          <t>чел.-ч</t>
        </is>
      </c>
      <c r="F20" s="396" t="n">
        <v>160.32</v>
      </c>
      <c r="G20" s="239" t="n">
        <v>8.460000000000001</v>
      </c>
      <c r="H20" s="248">
        <f>ROUND(F20*G20,2)</f>
        <v/>
      </c>
      <c r="J20" s="212" t="n"/>
    </row>
    <row r="21">
      <c r="A21" s="171" t="n">
        <v>10</v>
      </c>
      <c r="B21" s="207" t="n"/>
      <c r="C21" s="235" t="inlineStr">
        <is>
          <t>1-2-0</t>
        </is>
      </c>
      <c r="D21" s="236" t="inlineStr">
        <is>
          <t>Затраты труда рабочих (ср 2)</t>
        </is>
      </c>
      <c r="E21" s="237" t="inlineStr">
        <is>
          <t>чел.-ч</t>
        </is>
      </c>
      <c r="F21" s="396" t="n">
        <v>162.94</v>
      </c>
      <c r="G21" s="239" t="n">
        <v>7.8</v>
      </c>
      <c r="H21" s="248">
        <f>ROUND(F21*G21,2)</f>
        <v/>
      </c>
      <c r="J21" s="212" t="n"/>
    </row>
    <row r="22">
      <c r="A22" s="171" t="n">
        <v>11</v>
      </c>
      <c r="B22" s="207" t="n"/>
      <c r="C22" s="235" t="inlineStr">
        <is>
          <t>1-1-5</t>
        </is>
      </c>
      <c r="D22" s="236" t="inlineStr">
        <is>
          <t>Затраты труда рабочих (ср 1,5)</t>
        </is>
      </c>
      <c r="E22" s="237" t="inlineStr">
        <is>
          <t>чел.-ч</t>
        </is>
      </c>
      <c r="F22" s="396" t="n">
        <v>96.8</v>
      </c>
      <c r="G22" s="239" t="n">
        <v>7.5</v>
      </c>
      <c r="H22" s="248">
        <f>ROUND(F22*G22,2)</f>
        <v/>
      </c>
      <c r="J22" s="212" t="n"/>
    </row>
    <row r="23">
      <c r="A23" s="171" t="n">
        <v>12</v>
      </c>
      <c r="B23" s="207" t="n"/>
      <c r="C23" s="235" t="inlineStr">
        <is>
          <t>1-4-1</t>
        </is>
      </c>
      <c r="D23" s="236" t="inlineStr">
        <is>
          <t>Затраты труда рабочих (ср 4,1)</t>
        </is>
      </c>
      <c r="E23" s="237" t="inlineStr">
        <is>
          <t>чел.-ч</t>
        </is>
      </c>
      <c r="F23" s="396" t="n">
        <v>64.42</v>
      </c>
      <c r="G23" s="239" t="n">
        <v>9.76</v>
      </c>
      <c r="H23" s="248">
        <f>ROUND(F23*G23,2)</f>
        <v/>
      </c>
      <c r="J23" s="212" t="n"/>
    </row>
    <row r="24">
      <c r="A24" s="171" t="n">
        <v>13</v>
      </c>
      <c r="B24" s="207" t="n"/>
      <c r="C24" s="235" t="inlineStr">
        <is>
          <t>1-4-6</t>
        </is>
      </c>
      <c r="D24" s="236" t="inlineStr">
        <is>
          <t>Затраты труда рабочих (ср 4,6)</t>
        </is>
      </c>
      <c r="E24" s="237" t="inlineStr">
        <is>
          <t>чел.-ч</t>
        </is>
      </c>
      <c r="F24" s="396" t="n">
        <v>48.46</v>
      </c>
      <c r="G24" s="239" t="n">
        <v>10.5</v>
      </c>
      <c r="H24" s="248">
        <f>ROUND(F24*G24,2)</f>
        <v/>
      </c>
      <c r="J24" s="212" t="n"/>
    </row>
    <row r="25">
      <c r="A25" s="171" t="n">
        <v>14</v>
      </c>
      <c r="B25" s="207" t="n"/>
      <c r="C25" s="235" t="inlineStr">
        <is>
          <t>1-3-8</t>
        </is>
      </c>
      <c r="D25" s="236" t="inlineStr">
        <is>
          <t>Затраты труда рабочих (ср 3,8)</t>
        </is>
      </c>
      <c r="E25" s="237" t="inlineStr">
        <is>
          <t>чел.-ч</t>
        </is>
      </c>
      <c r="F25" s="396" t="n">
        <v>44.22</v>
      </c>
      <c r="G25" s="239" t="n">
        <v>9.4</v>
      </c>
      <c r="H25" s="248">
        <f>ROUND(F25*G25,2)</f>
        <v/>
      </c>
      <c r="J25" s="212" t="n"/>
    </row>
    <row r="26">
      <c r="A26" s="171" t="n">
        <v>15</v>
      </c>
      <c r="B26" s="207" t="n"/>
      <c r="C26" s="235" t="inlineStr">
        <is>
          <t>1-2-8</t>
        </is>
      </c>
      <c r="D26" s="236" t="inlineStr">
        <is>
          <t>Затраты труда рабочих (ср 2,8)</t>
        </is>
      </c>
      <c r="E26" s="237" t="inlineStr">
        <is>
          <t>чел.-ч</t>
        </is>
      </c>
      <c r="F26" s="396" t="n">
        <v>39.88</v>
      </c>
      <c r="G26" s="239" t="n">
        <v>8.380000000000001</v>
      </c>
      <c r="H26" s="248">
        <f>ROUND(F26*G26,2)</f>
        <v/>
      </c>
      <c r="J26" s="212" t="n"/>
    </row>
    <row r="27">
      <c r="A27" s="171" t="n">
        <v>16</v>
      </c>
      <c r="B27" s="207" t="n"/>
      <c r="C27" s="235" t="inlineStr">
        <is>
          <t>1-3-4</t>
        </is>
      </c>
      <c r="D27" s="236" t="inlineStr">
        <is>
          <t>Затраты труда рабочих (ср 3,4)</t>
        </is>
      </c>
      <c r="E27" s="237" t="inlineStr">
        <is>
          <t>чел.-ч</t>
        </is>
      </c>
      <c r="F27" s="396" t="n">
        <v>19.22</v>
      </c>
      <c r="G27" s="239" t="n">
        <v>8.970000000000001</v>
      </c>
      <c r="H27" s="248">
        <f>ROUND(F27*G27,2)</f>
        <v/>
      </c>
      <c r="J27" s="212" t="n"/>
    </row>
    <row r="28">
      <c r="A28" s="171" t="n">
        <v>17</v>
      </c>
      <c r="B28" s="207" t="n"/>
      <c r="C28" s="235" t="inlineStr">
        <is>
          <t>1-3-1</t>
        </is>
      </c>
      <c r="D28" s="236" t="inlineStr">
        <is>
          <t>Затраты труда рабочих (ср 3,1)</t>
        </is>
      </c>
      <c r="E28" s="237" t="inlineStr">
        <is>
          <t>чел.-ч</t>
        </is>
      </c>
      <c r="F28" s="396" t="n">
        <v>13.76</v>
      </c>
      <c r="G28" s="239" t="n">
        <v>8.640000000000001</v>
      </c>
      <c r="H28" s="248">
        <f>ROUND(F28*G28,2)</f>
        <v/>
      </c>
      <c r="J28" s="212" t="n"/>
    </row>
    <row r="29">
      <c r="A29" s="171" t="n">
        <v>18</v>
      </c>
      <c r="B29" s="207" t="n"/>
      <c r="C29" s="235" t="inlineStr">
        <is>
          <t>1-4-7</t>
        </is>
      </c>
      <c r="D29" s="236" t="inlineStr">
        <is>
          <t>Затраты труда рабочих (ср 4,7)</t>
        </is>
      </c>
      <c r="E29" s="237" t="inlineStr">
        <is>
          <t>чел.-ч</t>
        </is>
      </c>
      <c r="F29" s="396" t="n">
        <v>10.62</v>
      </c>
      <c r="G29" s="239" t="n">
        <v>10.65</v>
      </c>
      <c r="H29" s="248">
        <f>ROUND(F29*G29,2)</f>
        <v/>
      </c>
      <c r="J29" s="212" t="n"/>
    </row>
    <row r="30">
      <c r="A30" s="171" t="n">
        <v>19</v>
      </c>
      <c r="B30" s="207" t="n"/>
      <c r="C30" s="235" t="inlineStr">
        <is>
          <t>1-3-2</t>
        </is>
      </c>
      <c r="D30" s="236" t="inlineStr">
        <is>
          <t>Затраты труда рабочих (ср 3,2)</t>
        </is>
      </c>
      <c r="E30" s="237" t="inlineStr">
        <is>
          <t>чел.-ч</t>
        </is>
      </c>
      <c r="F30" s="396" t="n">
        <v>6.18</v>
      </c>
      <c r="G30" s="239" t="n">
        <v>8.74</v>
      </c>
      <c r="H30" s="248">
        <f>ROUND(F30*G30,2)</f>
        <v/>
      </c>
      <c r="J30" s="212" t="n"/>
    </row>
    <row r="31">
      <c r="A31" s="301" t="inlineStr">
        <is>
          <t>Затраты труда машинистов</t>
        </is>
      </c>
      <c r="B31" s="390" t="n"/>
      <c r="C31" s="390" t="n"/>
      <c r="D31" s="390" t="n"/>
      <c r="E31" s="391" t="n"/>
      <c r="F31" s="305" t="n"/>
      <c r="G31" s="149" t="n"/>
      <c r="H31" s="395">
        <f>H32</f>
        <v/>
      </c>
    </row>
    <row r="32">
      <c r="A32" s="316" t="n">
        <v>20</v>
      </c>
      <c r="B32" s="303" t="n"/>
      <c r="C32" s="243" t="n">
        <v>2</v>
      </c>
      <c r="D32" s="240" t="inlineStr">
        <is>
          <t>Затраты труда машинистов</t>
        </is>
      </c>
      <c r="E32" s="336" t="inlineStr">
        <is>
          <t>чел.-ч</t>
        </is>
      </c>
      <c r="F32" s="397" t="n">
        <v>1273.35</v>
      </c>
      <c r="G32" s="220" t="n">
        <v>0</v>
      </c>
      <c r="H32" s="398" t="n">
        <v>21555.34</v>
      </c>
      <c r="J32" s="212" t="n"/>
    </row>
    <row r="33" customFormat="1" s="148">
      <c r="A33" s="399" t="inlineStr">
        <is>
          <t>Машины и механизмы</t>
        </is>
      </c>
      <c r="E33" s="400" t="n"/>
      <c r="F33" s="305" t="n"/>
      <c r="G33" s="149" t="n"/>
      <c r="H33" s="395">
        <f>SUM(H34:H70)</f>
        <v/>
      </c>
    </row>
    <row r="34">
      <c r="A34" s="316" t="n">
        <v>21</v>
      </c>
      <c r="B34" s="303" t="n"/>
      <c r="C34" s="243" t="inlineStr">
        <is>
          <t>91.21.22-447</t>
        </is>
      </c>
      <c r="D34" s="240" t="inlineStr">
        <is>
          <t>Установки электрометаллизационные</t>
        </is>
      </c>
      <c r="E34" s="336" t="inlineStr">
        <is>
          <t>маш.-ч</t>
        </is>
      </c>
      <c r="F34" s="244" t="n">
        <v>415.1</v>
      </c>
      <c r="G34" s="245" t="n">
        <v>74.23999999999999</v>
      </c>
      <c r="H34" s="248">
        <f>ROUND(F34*G34,2)</f>
        <v/>
      </c>
      <c r="I34" s="152" t="n"/>
      <c r="J34" s="162" t="n"/>
      <c r="L34" s="152" t="n"/>
    </row>
    <row r="35" ht="38.25" customFormat="1" customHeight="1" s="148">
      <c r="A35" s="316" t="n">
        <v>22</v>
      </c>
      <c r="B35" s="303" t="n"/>
      <c r="C35" s="243" t="inlineStr">
        <is>
          <t>91.18.01-007</t>
        </is>
      </c>
      <c r="D35" s="240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E35" s="336" t="inlineStr">
        <is>
          <t>маш.-ч</t>
        </is>
      </c>
      <c r="F35" s="244" t="n">
        <v>178.3</v>
      </c>
      <c r="G35" s="245" t="n">
        <v>90</v>
      </c>
      <c r="H35" s="248">
        <f>ROUND(F35*G35,2)</f>
        <v/>
      </c>
      <c r="I35" s="152" t="n"/>
      <c r="L35" s="152" t="n"/>
    </row>
    <row r="36" ht="25.5" customHeight="1" s="265">
      <c r="A36" s="316" t="n">
        <v>23</v>
      </c>
      <c r="B36" s="303" t="n"/>
      <c r="C36" s="243" t="inlineStr">
        <is>
          <t>91.01.05-085</t>
        </is>
      </c>
      <c r="D36" s="240" t="inlineStr">
        <is>
          <t>Экскаваторы одноковшовые дизельные на гусеничном ходу, емкость ковша 0,5 м3</t>
        </is>
      </c>
      <c r="E36" s="336" t="inlineStr">
        <is>
          <t>маш.-ч</t>
        </is>
      </c>
      <c r="F36" s="244" t="n">
        <v>102.2</v>
      </c>
      <c r="G36" s="245" t="n">
        <v>100</v>
      </c>
      <c r="H36" s="248">
        <f>ROUND(F36*G36,2)</f>
        <v/>
      </c>
      <c r="I36" s="152" t="n"/>
      <c r="L36" s="152" t="n"/>
    </row>
    <row r="37">
      <c r="A37" s="316" t="n">
        <v>24</v>
      </c>
      <c r="B37" s="303" t="n"/>
      <c r="C37" s="243" t="inlineStr">
        <is>
          <t>91.05.01-017</t>
        </is>
      </c>
      <c r="D37" s="240" t="inlineStr">
        <is>
          <t>Краны башенные, грузоподъемность 8 т</t>
        </is>
      </c>
      <c r="E37" s="336" t="inlineStr">
        <is>
          <t>маш.-ч</t>
        </is>
      </c>
      <c r="F37" s="244" t="n">
        <v>70.5</v>
      </c>
      <c r="G37" s="245" t="n">
        <v>86.40000000000001</v>
      </c>
      <c r="H37" s="248">
        <f>ROUND(F37*G37,2)</f>
        <v/>
      </c>
      <c r="I37" s="152" t="n"/>
      <c r="L37" s="152" t="n"/>
    </row>
    <row r="38" ht="25.5" customHeight="1" s="265">
      <c r="A38" s="316" t="n">
        <v>25</v>
      </c>
      <c r="B38" s="303" t="n"/>
      <c r="C38" s="243" t="inlineStr">
        <is>
          <t>91.01.05-084</t>
        </is>
      </c>
      <c r="D38" s="240" t="inlineStr">
        <is>
          <t>Экскаваторы одноковшовые дизельные на гусеничном ходу, емкость ковша 0,4 м3</t>
        </is>
      </c>
      <c r="E38" s="336" t="inlineStr">
        <is>
          <t>маш.-ч</t>
        </is>
      </c>
      <c r="F38" s="244" t="n">
        <v>108.88</v>
      </c>
      <c r="G38" s="245" t="n">
        <v>54.81</v>
      </c>
      <c r="H38" s="248">
        <f>ROUND(F38*G38,2)</f>
        <v/>
      </c>
      <c r="I38" s="152" t="n"/>
      <c r="L38" s="152" t="n"/>
    </row>
    <row r="39" ht="25.5" customHeight="1" s="265">
      <c r="A39" s="316" t="n">
        <v>26</v>
      </c>
      <c r="B39" s="303" t="n"/>
      <c r="C39" s="243" t="inlineStr">
        <is>
          <t>91.05.05-014</t>
        </is>
      </c>
      <c r="D39" s="240" t="inlineStr">
        <is>
          <t>Краны на автомобильном ходу, грузоподъемность 10 т</t>
        </is>
      </c>
      <c r="E39" s="336" t="inlineStr">
        <is>
          <t>маш.-ч</t>
        </is>
      </c>
      <c r="F39" s="244" t="n">
        <v>46.52</v>
      </c>
      <c r="G39" s="245" t="n">
        <v>111.99</v>
      </c>
      <c r="H39" s="248">
        <f>ROUND(F39*G39,2)</f>
        <v/>
      </c>
      <c r="I39" s="152" t="n"/>
      <c r="L39" s="152" t="n"/>
    </row>
    <row r="40">
      <c r="A40" s="316" t="n">
        <v>27</v>
      </c>
      <c r="B40" s="303" t="n"/>
      <c r="C40" s="243" t="inlineStr">
        <is>
          <t>91.05.06-009</t>
        </is>
      </c>
      <c r="D40" s="240" t="inlineStr">
        <is>
          <t>Краны на гусеничном ходу, грузоподъемность 50-63 т</t>
        </is>
      </c>
      <c r="E40" s="336" t="inlineStr">
        <is>
          <t>маш.-ч</t>
        </is>
      </c>
      <c r="F40" s="244" t="n">
        <v>11.72</v>
      </c>
      <c r="G40" s="245" t="n">
        <v>290.01</v>
      </c>
      <c r="H40" s="248">
        <f>ROUND(F40*G40,2)</f>
        <v/>
      </c>
      <c r="I40" s="152" t="n"/>
    </row>
    <row r="41" ht="25.5" customHeight="1" s="265">
      <c r="A41" s="316" t="n">
        <v>28</v>
      </c>
      <c r="B41" s="303" t="n"/>
      <c r="C41" s="243" t="inlineStr">
        <is>
          <t>91.05.08-007</t>
        </is>
      </c>
      <c r="D41" s="240" t="inlineStr">
        <is>
          <t>Краны на пневмоколесном ходу, грузоподъемность 25 т</t>
        </is>
      </c>
      <c r="E41" s="336" t="inlineStr">
        <is>
          <t>маш.-ч</t>
        </is>
      </c>
      <c r="F41" s="244" t="n">
        <v>31.04</v>
      </c>
      <c r="G41" s="245" t="n">
        <v>102.51</v>
      </c>
      <c r="H41" s="248">
        <f>ROUND(F41*G41,2)</f>
        <v/>
      </c>
      <c r="I41" s="152" t="n"/>
    </row>
    <row r="42">
      <c r="A42" s="316" t="n">
        <v>29</v>
      </c>
      <c r="B42" s="303" t="n"/>
      <c r="C42" s="243" t="inlineStr">
        <is>
          <t>91.21.22-447</t>
        </is>
      </c>
      <c r="D42" s="240" t="inlineStr">
        <is>
          <t>Установки электрометаллизационные</t>
        </is>
      </c>
      <c r="E42" s="336" t="inlineStr">
        <is>
          <t>маш.-ч</t>
        </is>
      </c>
      <c r="F42" s="244" t="n">
        <v>42.19</v>
      </c>
      <c r="G42" s="245" t="n">
        <v>74.23999999999999</v>
      </c>
      <c r="H42" s="248">
        <f>ROUND(F42*G42,2)</f>
        <v/>
      </c>
      <c r="I42" s="152" t="n"/>
    </row>
    <row r="43">
      <c r="A43" s="316" t="n">
        <v>30</v>
      </c>
      <c r="B43" s="303" t="n"/>
      <c r="C43" s="243" t="inlineStr">
        <is>
          <t>91.01.01-035</t>
        </is>
      </c>
      <c r="D43" s="240" t="inlineStr">
        <is>
          <t>Бульдозеры, мощность 79 кВт (108 л.с.)</t>
        </is>
      </c>
      <c r="E43" s="336" t="inlineStr">
        <is>
          <t>маш.-ч</t>
        </is>
      </c>
      <c r="F43" s="244" t="n">
        <v>39.4</v>
      </c>
      <c r="G43" s="245" t="n">
        <v>79.06999999999999</v>
      </c>
      <c r="H43" s="248">
        <f>ROUND(F43*G43,2)</f>
        <v/>
      </c>
      <c r="I43" s="152" t="n"/>
    </row>
    <row r="44" customFormat="1" s="148">
      <c r="A44" s="316" t="n">
        <v>31</v>
      </c>
      <c r="B44" s="303" t="n"/>
      <c r="C44" s="243" t="inlineStr">
        <is>
          <t>91.14.02-001</t>
        </is>
      </c>
      <c r="D44" s="240" t="inlineStr">
        <is>
          <t>Автомобили бортовые, грузоподъемность: до 5 т</t>
        </is>
      </c>
      <c r="E44" s="336" t="inlineStr">
        <is>
          <t>маш.-ч</t>
        </is>
      </c>
      <c r="F44" s="244" t="n">
        <v>41.63</v>
      </c>
      <c r="G44" s="245" t="n">
        <v>65.70999999999999</v>
      </c>
      <c r="H44" s="248">
        <f>ROUND(F44*G44,2)</f>
        <v/>
      </c>
      <c r="I44" s="152" t="n"/>
      <c r="L44" s="152" t="n"/>
    </row>
    <row r="45" ht="25.5" customHeight="1" s="265">
      <c r="A45" s="316" t="n">
        <v>32</v>
      </c>
      <c r="B45" s="303" t="n"/>
      <c r="C45" s="243" t="inlineStr">
        <is>
          <t>91.06.03-058</t>
        </is>
      </c>
      <c r="D45" s="240" t="inlineStr">
        <is>
          <t>Лебедки электрические тяговым усилием: 156,96 кН (16 т)</t>
        </is>
      </c>
      <c r="E45" s="336" t="inlineStr">
        <is>
          <t>маш.-ч</t>
        </is>
      </c>
      <c r="F45" s="244" t="n">
        <v>18.1</v>
      </c>
      <c r="G45" s="245" t="n">
        <v>131.44</v>
      </c>
      <c r="H45" s="248">
        <f>ROUND(F45*G45,2)</f>
        <v/>
      </c>
      <c r="I45" s="152" t="n"/>
      <c r="L45" s="152" t="n"/>
    </row>
    <row r="46">
      <c r="A46" s="316" t="n">
        <v>33</v>
      </c>
      <c r="B46" s="303" t="n"/>
      <c r="C46" s="243" t="inlineStr">
        <is>
          <t>91.10.01-002</t>
        </is>
      </c>
      <c r="D46" s="240" t="inlineStr">
        <is>
          <t>Агрегаты наполнительно-опрессовочные: до 300 м3/ч</t>
        </is>
      </c>
      <c r="E46" s="336" t="inlineStr">
        <is>
          <t>маш.-ч</t>
        </is>
      </c>
      <c r="F46" s="244" t="n">
        <v>7.66</v>
      </c>
      <c r="G46" s="245" t="n">
        <v>287.99</v>
      </c>
      <c r="H46" s="248">
        <f>ROUND(F46*G46,2)</f>
        <v/>
      </c>
      <c r="I46" s="152" t="n"/>
      <c r="L46" s="152" t="n"/>
    </row>
    <row r="47">
      <c r="A47" s="316" t="n">
        <v>34</v>
      </c>
      <c r="B47" s="303" t="n"/>
      <c r="C47" s="243" t="inlineStr">
        <is>
          <t>91.01.01-034</t>
        </is>
      </c>
      <c r="D47" s="240" t="inlineStr">
        <is>
          <t>Бульдозеры, мощность 59 кВт (80 л.с.)</t>
        </is>
      </c>
      <c r="E47" s="336" t="inlineStr">
        <is>
          <t>маш.-ч</t>
        </is>
      </c>
      <c r="F47" s="244" t="n">
        <v>33.9</v>
      </c>
      <c r="G47" s="245" t="n">
        <v>59.47</v>
      </c>
      <c r="H47" s="248">
        <f>ROUND(F47*G47,2)</f>
        <v/>
      </c>
      <c r="I47" s="152" t="n"/>
      <c r="L47" s="152" t="n"/>
    </row>
    <row r="48" ht="25.5" customHeight="1" s="265">
      <c r="A48" s="316" t="n">
        <v>35</v>
      </c>
      <c r="B48" s="303" t="n"/>
      <c r="C48" s="243" t="inlineStr">
        <is>
          <t>91.06.05-057</t>
        </is>
      </c>
      <c r="D48" s="240" t="inlineStr">
        <is>
          <t>Погрузчики одноковшовые универсальные фронтальные пневмоколесные, грузоподъемность 3 т</t>
        </is>
      </c>
      <c r="E48" s="336" t="inlineStr">
        <is>
          <t>маш.-ч</t>
        </is>
      </c>
      <c r="F48" s="244" t="n">
        <v>20.96</v>
      </c>
      <c r="G48" s="245" t="n">
        <v>90.40000000000001</v>
      </c>
      <c r="H48" s="248">
        <f>ROUND(F48*G48,2)</f>
        <v/>
      </c>
      <c r="I48" s="152" t="n"/>
      <c r="L48" s="152" t="n"/>
    </row>
    <row r="49">
      <c r="A49" s="316" t="n">
        <v>36</v>
      </c>
      <c r="B49" s="303" t="n"/>
      <c r="C49" s="243" t="inlineStr">
        <is>
          <t>91.14.02-001</t>
        </is>
      </c>
      <c r="D49" s="240" t="inlineStr">
        <is>
          <t>Автомобили бортовые, грузоподъемность до 5 т</t>
        </is>
      </c>
      <c r="E49" s="336" t="inlineStr">
        <is>
          <t>маш.-ч</t>
        </is>
      </c>
      <c r="F49" s="244" t="n">
        <v>26.5</v>
      </c>
      <c r="G49" s="245" t="n">
        <v>65.70999999999999</v>
      </c>
      <c r="H49" s="248">
        <f>ROUND(F49*G49,2)</f>
        <v/>
      </c>
      <c r="I49" s="152" t="n"/>
    </row>
    <row r="50">
      <c r="A50" s="316" t="n">
        <v>37</v>
      </c>
      <c r="B50" s="303" t="n"/>
      <c r="C50" s="243" t="inlineStr">
        <is>
          <t>91.01.01-036</t>
        </is>
      </c>
      <c r="D50" s="240" t="inlineStr">
        <is>
          <t>Бульдозеры, мощность 96 кВт (130 л.с.)</t>
        </is>
      </c>
      <c r="E50" s="336" t="inlineStr">
        <is>
          <t>маш.-ч</t>
        </is>
      </c>
      <c r="F50" s="244" t="n">
        <v>16.38</v>
      </c>
      <c r="G50" s="245" t="n">
        <v>94.05</v>
      </c>
      <c r="H50" s="248">
        <f>ROUND(F50*G50,2)</f>
        <v/>
      </c>
      <c r="I50" s="152" t="n"/>
    </row>
    <row r="51">
      <c r="A51" s="316" t="n">
        <v>38</v>
      </c>
      <c r="B51" s="303" t="n"/>
      <c r="C51" s="243" t="inlineStr">
        <is>
          <t>91.06.06-042</t>
        </is>
      </c>
      <c r="D51" s="240" t="inlineStr">
        <is>
          <t>Подъемники гидравлические высотой подъема: 10 м</t>
        </is>
      </c>
      <c r="E51" s="336" t="inlineStr">
        <is>
          <t>маш.-ч</t>
        </is>
      </c>
      <c r="F51" s="244" t="n">
        <v>51.67</v>
      </c>
      <c r="G51" s="245" t="n">
        <v>29.6</v>
      </c>
      <c r="H51" s="248">
        <f>ROUND(F51*G51,2)</f>
        <v/>
      </c>
      <c r="I51" s="152" t="n"/>
    </row>
    <row r="52" ht="25.5" customHeight="1" s="265">
      <c r="A52" s="316" t="n">
        <v>39</v>
      </c>
      <c r="B52" s="303" t="n"/>
      <c r="C52" s="243" t="inlineStr">
        <is>
          <t>91.17.04-233</t>
        </is>
      </c>
      <c r="D52" s="240" t="inlineStr">
        <is>
          <t>Установки для сварки: ручной дуговой (постоянного тока)</t>
        </is>
      </c>
      <c r="E52" s="336" t="inlineStr">
        <is>
          <t>маш.-ч</t>
        </is>
      </c>
      <c r="F52" s="244" t="n">
        <v>109.34</v>
      </c>
      <c r="G52" s="245" t="n">
        <v>8.1</v>
      </c>
      <c r="H52" s="248">
        <f>ROUND(F52*G52,2)</f>
        <v/>
      </c>
      <c r="I52" s="152" t="n"/>
    </row>
    <row r="53" customFormat="1" s="148">
      <c r="A53" s="316" t="n">
        <v>40</v>
      </c>
      <c r="B53" s="303" t="n"/>
      <c r="C53" s="243" t="inlineStr">
        <is>
          <t>91.08.04-021</t>
        </is>
      </c>
      <c r="D53" s="240" t="inlineStr">
        <is>
          <t>Котлы битумные: передвижные 400 л</t>
        </is>
      </c>
      <c r="E53" s="336" t="inlineStr">
        <is>
          <t>маш.-ч</t>
        </is>
      </c>
      <c r="F53" s="244" t="n">
        <v>23.12</v>
      </c>
      <c r="G53" s="245" t="n">
        <v>30</v>
      </c>
      <c r="H53" s="248">
        <f>ROUND(F53*G53,2)</f>
        <v/>
      </c>
      <c r="I53" s="152" t="n"/>
      <c r="L53" s="152" t="n"/>
    </row>
    <row r="54">
      <c r="A54" s="316" t="n">
        <v>41</v>
      </c>
      <c r="B54" s="303" t="n"/>
      <c r="C54" s="243" t="inlineStr">
        <is>
          <t>91.06.05-011</t>
        </is>
      </c>
      <c r="D54" s="240" t="inlineStr">
        <is>
          <t>Погрузчики, грузоподъемность 5 т</t>
        </is>
      </c>
      <c r="E54" s="336" t="inlineStr">
        <is>
          <t>маш.-ч</t>
        </is>
      </c>
      <c r="F54" s="244" t="n">
        <v>4.42</v>
      </c>
      <c r="G54" s="245" t="n">
        <v>89.98999999999999</v>
      </c>
      <c r="H54" s="248">
        <f>ROUND(F54*G54,2)</f>
        <v/>
      </c>
      <c r="I54" s="152" t="n"/>
      <c r="L54" s="152" t="n"/>
    </row>
    <row r="55">
      <c r="A55" s="316" t="n">
        <v>42</v>
      </c>
      <c r="B55" s="303" t="n"/>
      <c r="C55" s="243" t="inlineStr">
        <is>
          <t>91.06.05-011</t>
        </is>
      </c>
      <c r="D55" s="240" t="inlineStr">
        <is>
          <t>Погрузчик, грузоподъемность 5 т</t>
        </is>
      </c>
      <c r="E55" s="336" t="inlineStr">
        <is>
          <t>маш.-ч</t>
        </is>
      </c>
      <c r="F55" s="244" t="n">
        <v>3.56</v>
      </c>
      <c r="G55" s="245" t="n">
        <v>89.98999999999999</v>
      </c>
      <c r="H55" s="248">
        <f>ROUND(F55*G55,2)</f>
        <v/>
      </c>
      <c r="I55" s="152" t="n"/>
      <c r="L55" s="152" t="n"/>
    </row>
    <row r="56" ht="25.5" customHeight="1" s="265">
      <c r="A56" s="316" t="n">
        <v>43</v>
      </c>
      <c r="B56" s="303" t="n"/>
      <c r="C56" s="243" t="inlineStr">
        <is>
          <t>91.17.04-171</t>
        </is>
      </c>
      <c r="D56" s="240" t="inlineStr">
        <is>
          <t>Преобразователи сварочные номинальным сварочным током 315-500 А</t>
        </is>
      </c>
      <c r="E56" s="336" t="inlineStr">
        <is>
          <t>маш.-ч</t>
        </is>
      </c>
      <c r="F56" s="244" t="n">
        <v>24.4</v>
      </c>
      <c r="G56" s="245" t="n">
        <v>12.31</v>
      </c>
      <c r="H56" s="248">
        <f>ROUND(F56*G56,2)</f>
        <v/>
      </c>
      <c r="I56" s="152" t="n"/>
      <c r="L56" s="152" t="n"/>
    </row>
    <row r="57" ht="25.5" customHeight="1" s="265">
      <c r="A57" s="316" t="n">
        <v>44</v>
      </c>
      <c r="B57" s="303" t="n"/>
      <c r="C57" s="243" t="inlineStr">
        <is>
          <t>91.08.09-023</t>
        </is>
      </c>
      <c r="D57" s="240" t="inlineStr">
        <is>
          <t>Трамбовки пневматические при работе от: передвижных компрессорных станций</t>
        </is>
      </c>
      <c r="E57" s="336" t="inlineStr">
        <is>
          <t>маш.-ч</t>
        </is>
      </c>
      <c r="F57" s="244" t="n">
        <v>467.14</v>
      </c>
      <c r="G57" s="245" t="n">
        <v>0.55</v>
      </c>
      <c r="H57" s="248">
        <f>ROUND(F57*G57,2)</f>
        <v/>
      </c>
      <c r="I57" s="152" t="n"/>
      <c r="L57" s="152" t="n"/>
    </row>
    <row r="58" ht="25.5" customHeight="1" s="265">
      <c r="A58" s="316" t="n">
        <v>45</v>
      </c>
      <c r="B58" s="303" t="n"/>
      <c r="C58" s="243" t="inlineStr">
        <is>
          <t>91.17.04-036</t>
        </is>
      </c>
      <c r="D58" s="240" t="inlineStr">
        <is>
          <t>Агрегаты сварочные передвижные номинальным сварочным током 250-400 А: с дизельным двигателем</t>
        </is>
      </c>
      <c r="E58" s="336" t="inlineStr">
        <is>
          <t>маш.-ч</t>
        </is>
      </c>
      <c r="F58" s="244" t="n">
        <v>16.68</v>
      </c>
      <c r="G58" s="245" t="n">
        <v>14</v>
      </c>
      <c r="H58" s="248">
        <f>ROUND(F58*G58,2)</f>
        <v/>
      </c>
      <c r="I58" s="152" t="n"/>
    </row>
    <row r="59">
      <c r="A59" s="316" t="n">
        <v>46</v>
      </c>
      <c r="B59" s="303" t="n"/>
      <c r="C59" s="243" t="inlineStr">
        <is>
          <t>91.05.06-007</t>
        </is>
      </c>
      <c r="D59" s="240" t="inlineStr">
        <is>
          <t>Краны на гусеничном ходу, грузоподъемность 25 т</t>
        </is>
      </c>
      <c r="E59" s="336" t="inlineStr">
        <is>
          <t>маш.-ч</t>
        </is>
      </c>
      <c r="F59" s="244" t="n">
        <v>1.94</v>
      </c>
      <c r="G59" s="245" t="n">
        <v>120.04</v>
      </c>
      <c r="H59" s="248">
        <f>ROUND(F59*G59,2)</f>
        <v/>
      </c>
      <c r="I59" s="152" t="n"/>
    </row>
    <row r="60" ht="25.5" customHeight="1" s="265">
      <c r="A60" s="316" t="n">
        <v>47</v>
      </c>
      <c r="B60" s="303" t="n"/>
      <c r="C60" s="243" t="inlineStr">
        <is>
          <t>91.06.03-062</t>
        </is>
      </c>
      <c r="D60" s="240" t="inlineStr">
        <is>
          <t>Лебедки электрические тяговым усилием: до 31,39 кН (3,2 т)</t>
        </is>
      </c>
      <c r="E60" s="336" t="inlineStr">
        <is>
          <t>маш.-ч</t>
        </is>
      </c>
      <c r="F60" s="244" t="n">
        <v>17.24</v>
      </c>
      <c r="G60" s="245" t="n">
        <v>6.9</v>
      </c>
      <c r="H60" s="248">
        <f>ROUND(F60*G60,2)</f>
        <v/>
      </c>
      <c r="I60" s="152" t="n"/>
    </row>
    <row r="61" customFormat="1" s="148">
      <c r="A61" s="316" t="n">
        <v>48</v>
      </c>
      <c r="B61" s="303" t="n"/>
      <c r="C61" s="243" t="inlineStr">
        <is>
          <t>91.07.04-001</t>
        </is>
      </c>
      <c r="D61" s="240" t="inlineStr">
        <is>
          <t>Вибратор глубинный</t>
        </is>
      </c>
      <c r="E61" s="336" t="inlineStr">
        <is>
          <t>маш.-ч</t>
        </is>
      </c>
      <c r="F61" s="244" t="n">
        <v>57.12</v>
      </c>
      <c r="G61" s="245" t="n">
        <v>1.9</v>
      </c>
      <c r="H61" s="248">
        <f>ROUND(F61*G61,2)</f>
        <v/>
      </c>
      <c r="I61" s="152" t="n"/>
      <c r="L61" s="152" t="n"/>
    </row>
    <row r="62">
      <c r="A62" s="316" t="n">
        <v>49</v>
      </c>
      <c r="B62" s="303" t="n"/>
      <c r="C62" s="243" t="inlineStr">
        <is>
          <t>91.08.03-015</t>
        </is>
      </c>
      <c r="D62" s="240" t="inlineStr">
        <is>
          <t>Катки дорожные самоходные гладкие, масса 5 т</t>
        </is>
      </c>
      <c r="E62" s="336" t="inlineStr">
        <is>
          <t>маш.-ч</t>
        </is>
      </c>
      <c r="F62" s="244" t="n">
        <v>0.46</v>
      </c>
      <c r="G62" s="245" t="n">
        <v>176.03</v>
      </c>
      <c r="H62" s="248">
        <f>ROUND(F62*G62,2)</f>
        <v/>
      </c>
      <c r="I62" s="152" t="n"/>
      <c r="L62" s="152" t="n"/>
    </row>
    <row r="63" ht="25.5" customHeight="1" s="265">
      <c r="A63" s="316" t="n">
        <v>50</v>
      </c>
      <c r="B63" s="303" t="n"/>
      <c r="C63" s="243" t="inlineStr">
        <is>
          <t>91.21.01-012</t>
        </is>
      </c>
      <c r="D63" s="240" t="inlineStr">
        <is>
          <t>Агрегаты окрасочные высокого давления для окраски поверхностей конструкций, мощность 1 кВт</t>
        </is>
      </c>
      <c r="E63" s="336" t="inlineStr">
        <is>
          <t>маш.-ч</t>
        </is>
      </c>
      <c r="F63" s="244" t="n">
        <v>11.04</v>
      </c>
      <c r="G63" s="245" t="n">
        <v>6.82</v>
      </c>
      <c r="H63" s="248">
        <f>ROUND(F63*G63,2)</f>
        <v/>
      </c>
      <c r="I63" s="152" t="n"/>
      <c r="L63" s="152" t="n"/>
    </row>
    <row r="64">
      <c r="A64" s="316" t="n">
        <v>51</v>
      </c>
      <c r="B64" s="303" t="n"/>
      <c r="C64" s="243" t="inlineStr">
        <is>
          <t>91.08.04-024</t>
        </is>
      </c>
      <c r="D64" s="240" t="inlineStr">
        <is>
          <t>Котлы битумные: электрические 1000 л</t>
        </is>
      </c>
      <c r="E64" s="336" t="inlineStr">
        <is>
          <t>маш.-ч</t>
        </is>
      </c>
      <c r="F64" s="244" t="n">
        <v>2.14</v>
      </c>
      <c r="G64" s="245" t="n">
        <v>28.87</v>
      </c>
      <c r="H64" s="248">
        <f>ROUND(F64*G64,2)</f>
        <v/>
      </c>
      <c r="I64" s="152" t="n"/>
      <c r="L64" s="152" t="n"/>
    </row>
    <row r="65" ht="25.5" customHeight="1" s="265">
      <c r="A65" s="316" t="n">
        <v>52</v>
      </c>
      <c r="B65" s="303" t="n"/>
      <c r="C65" s="243" t="inlineStr">
        <is>
          <t>91.06.01-003</t>
        </is>
      </c>
      <c r="D65" s="240" t="inlineStr">
        <is>
          <t>Домкраты гидравлические, грузоподъемность 63-100 т</t>
        </is>
      </c>
      <c r="E65" s="336" t="inlineStr">
        <is>
          <t>маш.-ч</t>
        </is>
      </c>
      <c r="F65" s="244" t="n">
        <v>27.08</v>
      </c>
      <c r="G65" s="245" t="n">
        <v>0.9</v>
      </c>
      <c r="H65" s="248">
        <f>ROUND(F65*G65,2)</f>
        <v/>
      </c>
      <c r="I65" s="152" t="n"/>
      <c r="L65" s="152" t="n"/>
    </row>
    <row r="66">
      <c r="A66" s="316" t="n">
        <v>53</v>
      </c>
      <c r="B66" s="303" t="n"/>
      <c r="C66" s="243" t="inlineStr">
        <is>
          <t>91.17.04-042</t>
        </is>
      </c>
      <c r="D66" s="240" t="inlineStr">
        <is>
          <t>Аппарат для газовой сварки и резки</t>
        </is>
      </c>
      <c r="E66" s="336" t="inlineStr">
        <is>
          <t>маш.-ч</t>
        </is>
      </c>
      <c r="F66" s="244" t="n">
        <v>17.76</v>
      </c>
      <c r="G66" s="245" t="n">
        <v>1.2</v>
      </c>
      <c r="H66" s="248">
        <f>ROUND(F66*G66,2)</f>
        <v/>
      </c>
      <c r="I66" s="152" t="n"/>
    </row>
    <row r="67">
      <c r="A67" s="316" t="n">
        <v>54</v>
      </c>
      <c r="B67" s="303" t="n"/>
      <c r="C67" s="243" t="inlineStr">
        <is>
          <t>91.14.03-001</t>
        </is>
      </c>
      <c r="D67" s="240" t="inlineStr">
        <is>
          <t>Автомобиль-самосвал, грузоподъемность: до 7 т</t>
        </is>
      </c>
      <c r="E67" s="336" t="inlineStr">
        <is>
          <t>маш.-ч</t>
        </is>
      </c>
      <c r="F67" s="244" t="n">
        <v>0.16</v>
      </c>
      <c r="G67" s="245" t="n">
        <v>89.54000000000001</v>
      </c>
      <c r="H67" s="248">
        <f>ROUND(F67*G67,2)</f>
        <v/>
      </c>
      <c r="I67" s="152" t="n"/>
    </row>
    <row r="68">
      <c r="A68" s="316" t="n">
        <v>55</v>
      </c>
      <c r="B68" s="303" t="n"/>
      <c r="C68" s="243" t="inlineStr">
        <is>
          <t>91.14.02-002</t>
        </is>
      </c>
      <c r="D68" s="240" t="inlineStr">
        <is>
          <t>Автомобили бортовые, грузоподъемность: до 8 т</t>
        </is>
      </c>
      <c r="E68" s="336" t="inlineStr">
        <is>
          <t>маш.-ч</t>
        </is>
      </c>
      <c r="F68" s="244" t="n">
        <v>0.16</v>
      </c>
      <c r="G68" s="245" t="n">
        <v>85.84</v>
      </c>
      <c r="H68" s="248">
        <f>ROUND(F68*G68,2)</f>
        <v/>
      </c>
      <c r="I68" s="152" t="n"/>
    </row>
    <row r="69">
      <c r="A69" s="316" t="n">
        <v>56</v>
      </c>
      <c r="B69" s="303" t="n"/>
      <c r="C69" s="243" t="inlineStr">
        <is>
          <t>91.07.04-002</t>
        </is>
      </c>
      <c r="D69" s="240" t="inlineStr">
        <is>
          <t>Вибратор поверхностный</t>
        </is>
      </c>
      <c r="E69" s="336" t="inlineStr">
        <is>
          <t>маш.-ч</t>
        </is>
      </c>
      <c r="F69" s="244" t="n">
        <v>14.26</v>
      </c>
      <c r="G69" s="245" t="n">
        <v>0.5</v>
      </c>
      <c r="H69" s="248">
        <f>ROUND(F69*G69,2)</f>
        <v/>
      </c>
      <c r="I69" s="152" t="n"/>
    </row>
    <row r="70" ht="25.5" customFormat="1" customHeight="1" s="148">
      <c r="A70" s="316" t="n">
        <v>57</v>
      </c>
      <c r="B70" s="303" t="n"/>
      <c r="C70" s="243" t="inlineStr">
        <is>
          <t>91.06.03-060</t>
        </is>
      </c>
      <c r="D70" s="240" t="inlineStr">
        <is>
          <t>Лебедки электрические тяговым усилием: до 5,79 кН (0,59 т)</t>
        </is>
      </c>
      <c r="E70" s="336" t="inlineStr">
        <is>
          <t>маш.-ч</t>
        </is>
      </c>
      <c r="F70" s="244" t="n">
        <v>0.1</v>
      </c>
      <c r="G70" s="245" t="n">
        <v>1.7</v>
      </c>
      <c r="H70" s="248">
        <f>ROUND(F70*G70,2)</f>
        <v/>
      </c>
      <c r="I70" s="152" t="n"/>
      <c r="L70" s="152" t="n"/>
    </row>
    <row r="71">
      <c r="A71" s="301" t="inlineStr">
        <is>
          <t>Оборудование</t>
        </is>
      </c>
      <c r="B71" s="390" t="n"/>
      <c r="C71" s="390" t="n"/>
      <c r="D71" s="390" t="n"/>
      <c r="E71" s="391" t="n"/>
      <c r="F71" s="10" t="n"/>
      <c r="G71" s="10" t="n"/>
      <c r="H71" s="10" t="n">
        <v>0</v>
      </c>
    </row>
    <row r="72">
      <c r="A72" s="171" t="n">
        <v>58</v>
      </c>
      <c r="B72" s="301" t="n"/>
      <c r="C72" s="243" t="inlineStr">
        <is>
          <t>Прайс из СД ОП</t>
        </is>
      </c>
      <c r="D72" s="246" t="inlineStr">
        <is>
          <t>Конденсаторная батарея КБ-220-100000 УХЛ1</t>
        </is>
      </c>
      <c r="E72" s="336" t="inlineStr">
        <is>
          <t>компл.</t>
        </is>
      </c>
      <c r="F72" s="247" t="n">
        <v>2</v>
      </c>
      <c r="G72" s="220" t="n"/>
      <c r="H72" s="248">
        <f>ROUND(F72*G72,2)</f>
        <v/>
      </c>
      <c r="I72" s="163" t="n"/>
      <c r="J72" s="401" t="n"/>
    </row>
    <row r="73">
      <c r="A73" s="171" t="n">
        <v>59</v>
      </c>
      <c r="B73" s="301" t="n"/>
      <c r="C73" s="243" t="inlineStr">
        <is>
          <t>Прайс из СД ОП</t>
        </is>
      </c>
      <c r="D73" s="246" t="inlineStr">
        <is>
          <t>Заземлитель однополюсной ЗРО-110 УХЛ1</t>
        </is>
      </c>
      <c r="E73" s="336" t="inlineStr">
        <is>
          <t>компл.</t>
        </is>
      </c>
      <c r="F73" s="247" t="n">
        <v>6</v>
      </c>
      <c r="G73" s="220" t="n"/>
      <c r="H73" s="248">
        <f>ROUND(F73*G73,2)</f>
        <v/>
      </c>
      <c r="I73" s="163" t="n"/>
      <c r="J73" s="401" t="n"/>
    </row>
    <row r="74">
      <c r="A74" s="302" t="inlineStr">
        <is>
          <t>Материалы</t>
        </is>
      </c>
      <c r="B74" s="390" t="n"/>
      <c r="C74" s="390" t="n"/>
      <c r="D74" s="390" t="n"/>
      <c r="E74" s="391" t="n"/>
      <c r="F74" s="302" t="n"/>
      <c r="G74" s="206" t="n"/>
      <c r="H74" s="395">
        <f>SUM(H75:H154)</f>
        <v/>
      </c>
    </row>
    <row r="75" ht="25.5" customHeight="1" s="265">
      <c r="A75" s="171" t="n">
        <v>60</v>
      </c>
      <c r="B75" s="303" t="n"/>
      <c r="C75" s="243" t="inlineStr">
        <is>
          <t>04.1.02.05-0060</t>
        </is>
      </c>
      <c r="D75" s="240" t="inlineStr">
        <is>
          <t>Бетон тяжелый, крупность заполнителя 40 мм, класс В 15 (М200)</t>
        </is>
      </c>
      <c r="E75" s="336" t="inlineStr">
        <is>
          <t>м3</t>
        </is>
      </c>
      <c r="F75" s="243" t="n">
        <v>257.2568</v>
      </c>
      <c r="G75" s="220" t="n">
        <v>665</v>
      </c>
      <c r="H75" s="248">
        <f>ROUND(F75*G75,2)</f>
        <v/>
      </c>
      <c r="I75" s="163" t="n"/>
      <c r="K75" s="152" t="n"/>
    </row>
    <row r="76" ht="51" customHeight="1" s="265">
      <c r="A76" s="171" t="n">
        <v>61</v>
      </c>
      <c r="B76" s="303" t="n"/>
      <c r="C76" s="243" t="inlineStr">
        <is>
          <t>07.2.07.12-0019</t>
        </is>
      </c>
      <c r="D76" s="240" t="inlineStr">
        <is>
          <t>Отдельные конструктивные элементы зданий и сооружений с преобладанием горячекатаных профилей, средняя масса сборочной единицы до 0,1 т  С245</t>
        </is>
      </c>
      <c r="E76" s="336" t="inlineStr">
        <is>
          <t>т</t>
        </is>
      </c>
      <c r="F76" s="243" t="n">
        <v>7.65</v>
      </c>
      <c r="G76" s="220" t="n">
        <v>8060</v>
      </c>
      <c r="H76" s="248">
        <f>ROUND(F76*G76,2)</f>
        <v/>
      </c>
      <c r="I76" s="163" t="n"/>
      <c r="K76" s="152" t="n"/>
    </row>
    <row r="77" ht="51" customHeight="1" s="265">
      <c r="A77" s="171" t="n">
        <v>62</v>
      </c>
      <c r="B77" s="303" t="n"/>
      <c r="C77" s="243" t="inlineStr">
        <is>
          <t>07.2.07.12-0019</t>
        </is>
      </c>
      <c r="D77" s="240" t="inlineStr">
        <is>
          <t>Отдельные конструктивные элементы зданий и сооружений с преобладанием горячекатаных профилей, средняя масса сборочной единицы до 0,1 т  С255</t>
        </is>
      </c>
      <c r="E77" s="336" t="inlineStr">
        <is>
          <t>т</t>
        </is>
      </c>
      <c r="F77" s="243" t="n">
        <v>7.65</v>
      </c>
      <c r="G77" s="220" t="n">
        <v>8060</v>
      </c>
      <c r="H77" s="248">
        <f>ROUND(F77*G77,2)</f>
        <v/>
      </c>
      <c r="I77" s="163" t="n"/>
      <c r="K77" s="152" t="n"/>
    </row>
    <row r="78" ht="25.5" customHeight="1" s="265">
      <c r="A78" s="171" t="n">
        <v>63</v>
      </c>
      <c r="B78" s="303" t="n"/>
      <c r="C78" s="243" t="inlineStr">
        <is>
          <t>07.2.05.01-0032</t>
        </is>
      </c>
      <c r="D78" s="240" t="inlineStr">
        <is>
          <t>Ограждение лестничных проемов, лестничные марши, пожарные лестницы</t>
        </is>
      </c>
      <c r="E78" s="336" t="inlineStr">
        <is>
          <t>т</t>
        </is>
      </c>
      <c r="F78" s="243" t="n">
        <v>3.9</v>
      </c>
      <c r="G78" s="220" t="n">
        <v>7571</v>
      </c>
      <c r="H78" s="248">
        <f>ROUND(F78*G78,2)</f>
        <v/>
      </c>
      <c r="I78" s="163" t="n"/>
    </row>
    <row r="79" ht="25.5" customHeight="1" s="265">
      <c r="A79" s="171" t="n">
        <v>64</v>
      </c>
      <c r="B79" s="303" t="n"/>
      <c r="C79" s="243" t="inlineStr">
        <is>
          <t>08.4.03.03-0032</t>
        </is>
      </c>
      <c r="D79" s="240" t="inlineStr">
        <is>
          <t>Горячекатаная арматурная сталь периодического профиля класса А-III диаметром 12 мм</t>
        </is>
      </c>
      <c r="E79" s="336" t="inlineStr">
        <is>
          <t>т</t>
        </is>
      </c>
      <c r="F79" s="243" t="n">
        <v>3.662</v>
      </c>
      <c r="G79" s="220" t="n">
        <v>7997.23</v>
      </c>
      <c r="H79" s="248">
        <f>ROUND(F79*G79,2)</f>
        <v/>
      </c>
      <c r="I79" s="163" t="n"/>
    </row>
    <row r="80">
      <c r="A80" s="171" t="n">
        <v>65</v>
      </c>
      <c r="B80" s="303" t="n"/>
      <c r="C80" s="243" t="inlineStr">
        <is>
          <t>02.2.05.04-1577</t>
        </is>
      </c>
      <c r="D80" s="240" t="inlineStr">
        <is>
          <t>Щебень М 800, фракция 5(3)-10 мм, группа 2</t>
        </is>
      </c>
      <c r="E80" s="336" t="inlineStr">
        <is>
          <t>м3</t>
        </is>
      </c>
      <c r="F80" s="243" t="n">
        <v>180.91</v>
      </c>
      <c r="G80" s="220" t="n">
        <v>155.94</v>
      </c>
      <c r="H80" s="248">
        <f>ROUND(F80*G80,2)</f>
        <v/>
      </c>
      <c r="I80" s="163" t="n"/>
    </row>
    <row r="81">
      <c r="A81" s="171" t="n">
        <v>66</v>
      </c>
      <c r="B81" s="303" t="n"/>
      <c r="C81" s="243" t="inlineStr">
        <is>
          <t>22.2.01.03-0003</t>
        </is>
      </c>
      <c r="D81" s="240" t="inlineStr">
        <is>
          <t>Изоляторы линейные подвесные стеклянные ПСД-70Е</t>
        </is>
      </c>
      <c r="E81" s="336" t="inlineStr">
        <is>
          <t>шт</t>
        </is>
      </c>
      <c r="F81" s="243" t="n">
        <v>120</v>
      </c>
      <c r="G81" s="220" t="n">
        <v>169.25</v>
      </c>
      <c r="H81" s="248">
        <f>ROUND(F81*G81,2)</f>
        <v/>
      </c>
      <c r="I81" s="163" t="n"/>
    </row>
    <row r="82" ht="25.5" customHeight="1" s="265">
      <c r="A82" s="171" t="n">
        <v>67</v>
      </c>
      <c r="B82" s="303" t="n"/>
      <c r="C82" s="243" t="inlineStr">
        <is>
          <t>10.1.02.03-0001</t>
        </is>
      </c>
      <c r="D82" s="240" t="inlineStr">
        <is>
          <t>Проволока алюминиевая, марка АМЦ, диаметр 1,4-1,8 мм</t>
        </is>
      </c>
      <c r="E82" s="336" t="inlineStr">
        <is>
          <t>т</t>
        </is>
      </c>
      <c r="F82" s="243" t="n">
        <v>0.666816</v>
      </c>
      <c r="G82" s="220" t="n">
        <v>30090</v>
      </c>
      <c r="H82" s="248">
        <f>ROUND(F82*G82,2)</f>
        <v/>
      </c>
      <c r="I82" s="163" t="n"/>
    </row>
    <row r="83" ht="38.25" customHeight="1" s="265">
      <c r="A83" s="171" t="n">
        <v>68</v>
      </c>
      <c r="B83" s="303" t="n"/>
      <c r="C83" s="243" t="inlineStr">
        <is>
          <t>08.4.01.01-0022</t>
        </is>
      </c>
      <c r="D83" s="240" t="inlineStr">
        <is>
          <t>Анкерные детали из прямых или гнутых круглых стержней с резьбой (в комплекте с шайбами и гайками или без них),: поставляемые отдельно</t>
        </is>
      </c>
      <c r="E83" s="336" t="inlineStr">
        <is>
          <t>т</t>
        </is>
      </c>
      <c r="F83" s="243" t="n">
        <v>1.656</v>
      </c>
      <c r="G83" s="220" t="n">
        <v>10100</v>
      </c>
      <c r="H83" s="248">
        <f>ROUND(F83*G83,2)</f>
        <v/>
      </c>
      <c r="I83" s="163" t="n"/>
    </row>
    <row r="84">
      <c r="A84" s="171" t="n">
        <v>69</v>
      </c>
      <c r="B84" s="303" t="n"/>
      <c r="C84" s="243" t="inlineStr">
        <is>
          <t>08.4.01.02-0001</t>
        </is>
      </c>
      <c r="D84" s="240" t="inlineStr">
        <is>
          <t>Детали закладные весом до 1 килограмма</t>
        </is>
      </c>
      <c r="E84" s="336" t="inlineStr">
        <is>
          <t>т</t>
        </is>
      </c>
      <c r="F84" s="243" t="n">
        <v>1.239</v>
      </c>
      <c r="G84" s="220" t="n">
        <v>11684</v>
      </c>
      <c r="H84" s="248">
        <f>ROUND(F84*G84,2)</f>
        <v/>
      </c>
      <c r="I84" s="163" t="n"/>
    </row>
    <row r="85">
      <c r="A85" s="171" t="n">
        <v>70</v>
      </c>
      <c r="B85" s="303" t="n"/>
      <c r="C85" s="243" t="inlineStr">
        <is>
          <t>22.2.01.05-0054</t>
        </is>
      </c>
      <c r="D85" s="240" t="inlineStr">
        <is>
          <t>Изоляторы опорные ИОС-110-600 УХЛ</t>
        </is>
      </c>
      <c r="E85" s="336" t="inlineStr">
        <is>
          <t>шт</t>
        </is>
      </c>
      <c r="F85" s="243" t="n">
        <v>6</v>
      </c>
      <c r="G85" s="220" t="n">
        <v>2185.05</v>
      </c>
      <c r="H85" s="248">
        <f>ROUND(F85*G85,2)</f>
        <v/>
      </c>
      <c r="I85" s="163" t="n"/>
    </row>
    <row r="86" ht="25.5" customHeight="1" s="265">
      <c r="A86" s="171" t="n">
        <v>71</v>
      </c>
      <c r="B86" s="303" t="n"/>
      <c r="C86" s="243" t="inlineStr">
        <is>
          <t>04.1.02.05-0057</t>
        </is>
      </c>
      <c r="D86" s="240" t="inlineStr">
        <is>
          <t>Бетон тяжелый, крупность заполнителя 40 мм, класс В 7,5 (М100)</t>
        </is>
      </c>
      <c r="E86" s="336" t="inlineStr">
        <is>
          <t>м3</t>
        </is>
      </c>
      <c r="F86" s="243" t="n">
        <v>23.05</v>
      </c>
      <c r="G86" s="220" t="n">
        <v>562.74</v>
      </c>
      <c r="H86" s="248">
        <f>ROUND(F86*G86,2)</f>
        <v/>
      </c>
      <c r="I86" s="163" t="n"/>
    </row>
    <row r="87" ht="25.5" customHeight="1" s="265">
      <c r="A87" s="171" t="n">
        <v>72</v>
      </c>
      <c r="B87" s="303" t="n"/>
      <c r="C87" s="243" t="inlineStr">
        <is>
          <t>08.4.03.03-0035</t>
        </is>
      </c>
      <c r="D87" s="240" t="inlineStr">
        <is>
          <t>Горячекатаная арматурная сталь периодического профиля класса А-III диаметром 20 мм</t>
        </is>
      </c>
      <c r="E87" s="336" t="inlineStr">
        <is>
          <t>т</t>
        </is>
      </c>
      <c r="F87" s="243" t="n">
        <v>1.3088</v>
      </c>
      <c r="G87" s="220" t="n">
        <v>7917</v>
      </c>
      <c r="H87" s="248">
        <f>ROUND(F87*G87,2)</f>
        <v/>
      </c>
      <c r="I87" s="163" t="n"/>
    </row>
    <row r="88" customFormat="1" s="148">
      <c r="A88" s="171" t="n">
        <v>73</v>
      </c>
      <c r="B88" s="303" t="n"/>
      <c r="C88" s="243" t="inlineStr">
        <is>
          <t>01.2.03.03-0013</t>
        </is>
      </c>
      <c r="D88" s="240" t="inlineStr">
        <is>
          <t>Мастика битумная кровельная горячая</t>
        </is>
      </c>
      <c r="E88" s="336" t="inlineStr">
        <is>
          <t>т</t>
        </is>
      </c>
      <c r="F88" s="243" t="n">
        <v>2.846</v>
      </c>
      <c r="G88" s="220" t="n">
        <v>3390</v>
      </c>
      <c r="H88" s="248">
        <f>ROUND(F88*G88,2)</f>
        <v/>
      </c>
      <c r="I88" s="163" t="n"/>
    </row>
    <row r="89" ht="25.5" customHeight="1" s="265">
      <c r="A89" s="171" t="n">
        <v>74</v>
      </c>
      <c r="B89" s="303" t="n"/>
      <c r="C89" s="243" t="inlineStr">
        <is>
          <t>08.4.03.02-0001</t>
        </is>
      </c>
      <c r="D89" s="240" t="inlineStr">
        <is>
          <t>Горячекатаная арматурная сталь гладкая класса А-I диаметром 6 мм</t>
        </is>
      </c>
      <c r="E89" s="336" t="inlineStr">
        <is>
          <t>т</t>
        </is>
      </c>
      <c r="F89" s="243" t="n">
        <v>1.1604</v>
      </c>
      <c r="G89" s="220" t="n">
        <v>7418.82</v>
      </c>
      <c r="H89" s="248">
        <f>ROUND(F89*G89,2)</f>
        <v/>
      </c>
      <c r="I89" s="163" t="n"/>
    </row>
    <row r="90" ht="51" customHeight="1" s="265">
      <c r="A90" s="171" t="n">
        <v>75</v>
      </c>
      <c r="B90" s="303" t="n"/>
      <c r="C90" s="243" t="inlineStr">
        <is>
          <t>21.2.01.02-0089</t>
        </is>
      </c>
      <c r="D90" s="240" t="inlineStr">
        <is>
          <t>Провода неизолированные для воздушных линий электропередачи из стальных оцинкованных проволок 1 группы и алюминиевых проволок марки: АС, сечением 120/19 мм2</t>
        </is>
      </c>
      <c r="E90" s="336" t="inlineStr">
        <is>
          <t>т</t>
        </is>
      </c>
      <c r="F90" s="243" t="n">
        <v>0.136267</v>
      </c>
      <c r="G90" s="220" t="n">
        <v>32007.25</v>
      </c>
      <c r="H90" s="248">
        <f>ROUND(F90*G90,2)</f>
        <v/>
      </c>
      <c r="I90" s="163" t="n"/>
      <c r="K90" s="152" t="n"/>
    </row>
    <row r="91" ht="25.5" customHeight="1" s="265">
      <c r="A91" s="171" t="n">
        <v>76</v>
      </c>
      <c r="B91" s="303" t="n"/>
      <c r="C91" s="243" t="inlineStr">
        <is>
          <t>08.4.03.02-0004</t>
        </is>
      </c>
      <c r="D91" s="240" t="inlineStr">
        <is>
          <t>Горячекатаная арматурная сталь гладкая класса А-I диаметром 12 мм</t>
        </is>
      </c>
      <c r="E91" s="336" t="inlineStr">
        <is>
          <t>т</t>
        </is>
      </c>
      <c r="F91" s="243" t="n">
        <v>0.5639999999999999</v>
      </c>
      <c r="G91" s="220" t="n">
        <v>6508.75</v>
      </c>
      <c r="H91" s="248">
        <f>ROUND(F91*G91,2)</f>
        <v/>
      </c>
      <c r="I91" s="163" t="n"/>
      <c r="K91" s="152" t="n"/>
    </row>
    <row r="92">
      <c r="A92" s="171" t="n">
        <v>77</v>
      </c>
      <c r="B92" s="303" t="n"/>
      <c r="C92" s="243" t="inlineStr">
        <is>
          <t>11.2.13.04-0011</t>
        </is>
      </c>
      <c r="D92" s="240" t="inlineStr">
        <is>
          <t>Щиты: из досок толщиной 25 мм</t>
        </is>
      </c>
      <c r="E92" s="336" t="inlineStr">
        <is>
          <t>м2</t>
        </is>
      </c>
      <c r="F92" s="243" t="n">
        <v>86.5</v>
      </c>
      <c r="G92" s="220" t="n">
        <v>35.53</v>
      </c>
      <c r="H92" s="248">
        <f>ROUND(F92*G92,2)</f>
        <v/>
      </c>
      <c r="I92" s="163" t="n"/>
      <c r="K92" s="152" t="n"/>
    </row>
    <row r="93">
      <c r="A93" s="171" t="n">
        <v>78</v>
      </c>
      <c r="B93" s="303" t="n"/>
      <c r="C93" s="243" t="inlineStr">
        <is>
          <t>20.2.04.04-0052</t>
        </is>
      </c>
      <c r="D93" s="240" t="inlineStr">
        <is>
          <t>Короб электротехнический стальной: КП-0,1/0,2-2У1</t>
        </is>
      </c>
      <c r="E93" s="336" t="inlineStr">
        <is>
          <t>шт</t>
        </is>
      </c>
      <c r="F93" s="243" t="n">
        <v>8</v>
      </c>
      <c r="G93" s="220" t="n">
        <v>317.02</v>
      </c>
      <c r="H93" s="248">
        <f>ROUND(F93*G93,2)</f>
        <v/>
      </c>
      <c r="I93" s="163" t="n"/>
      <c r="K93" s="152" t="n"/>
    </row>
    <row r="94" ht="25.5" customHeight="1" s="265">
      <c r="A94" s="171" t="n">
        <v>79</v>
      </c>
      <c r="B94" s="303" t="n"/>
      <c r="C94" s="243" t="inlineStr">
        <is>
          <t>10.1.02.03-0001</t>
        </is>
      </c>
      <c r="D94" s="240" t="inlineStr">
        <is>
          <t>Проволока алюминиевая (АМЦ) диаметром 1,4-1,8 мм</t>
        </is>
      </c>
      <c r="E94" s="336" t="inlineStr">
        <is>
          <t>т</t>
        </is>
      </c>
      <c r="F94" s="243" t="n">
        <v>0.066</v>
      </c>
      <c r="G94" s="220" t="n">
        <v>30090</v>
      </c>
      <c r="H94" s="248">
        <f>ROUND(F94*G94,2)</f>
        <v/>
      </c>
    </row>
    <row r="95">
      <c r="A95" s="171" t="n">
        <v>80</v>
      </c>
      <c r="B95" s="303" t="n"/>
      <c r="C95" s="243" t="inlineStr">
        <is>
          <t>20.1.01.02-0060</t>
        </is>
      </c>
      <c r="D95" s="240" t="inlineStr">
        <is>
          <t>Зажим аппаратный прессуемый: А4А-120-2</t>
        </is>
      </c>
      <c r="E95" s="336" t="inlineStr">
        <is>
          <t>100 шт</t>
        </is>
      </c>
      <c r="F95" s="243" t="n">
        <v>0.65</v>
      </c>
      <c r="G95" s="220" t="n">
        <v>2551</v>
      </c>
      <c r="H95" s="248">
        <f>ROUND(F95*G95,2)</f>
        <v/>
      </c>
    </row>
    <row r="96">
      <c r="A96" s="171" t="n">
        <v>81</v>
      </c>
      <c r="B96" s="303" t="n"/>
      <c r="C96" s="243" t="inlineStr">
        <is>
          <t>14.5.09.11-0102</t>
        </is>
      </c>
      <c r="D96" s="240" t="inlineStr">
        <is>
          <t>Уайт-спирит</t>
        </is>
      </c>
      <c r="E96" s="336" t="inlineStr">
        <is>
          <t>кг</t>
        </is>
      </c>
      <c r="F96" s="243" t="n">
        <v>220.8</v>
      </c>
      <c r="G96" s="220" t="n">
        <v>6.67</v>
      </c>
      <c r="H96" s="248">
        <f>ROUND(F96*G96,2)</f>
        <v/>
      </c>
      <c r="I96" s="163" t="n"/>
    </row>
    <row r="97">
      <c r="A97" s="171" t="n">
        <v>82</v>
      </c>
      <c r="B97" s="303" t="n"/>
      <c r="C97" s="243" t="inlineStr">
        <is>
          <t>20.5.04.04-0001</t>
        </is>
      </c>
      <c r="D97" s="240" t="inlineStr">
        <is>
          <t>Зажим натяжной болтовый НБ-2-6</t>
        </is>
      </c>
      <c r="E97" s="336" t="inlineStr">
        <is>
          <t>шт</t>
        </is>
      </c>
      <c r="F97" s="243" t="n">
        <v>14</v>
      </c>
      <c r="G97" s="220" t="n">
        <v>89.44</v>
      </c>
      <c r="H97" s="248">
        <f>ROUND(F97*G97,2)</f>
        <v/>
      </c>
      <c r="I97" s="163" t="n"/>
    </row>
    <row r="98" ht="38.25" customHeight="1" s="265">
      <c r="A98" s="171" t="n">
        <v>83</v>
      </c>
      <c r="B98" s="303" t="n"/>
      <c r="C98" s="243" t="inlineStr">
        <is>
          <t>11.1.03.06-0095</t>
        </is>
      </c>
      <c r="D98" s="240" t="inlineStr">
        <is>
          <t>Доски обрезные хвойных пород длиной: 4-6,5 м, шириной 75-150 мм, толщиной 44 мм и более, III сорта</t>
        </is>
      </c>
      <c r="E98" s="336" t="inlineStr">
        <is>
          <t>м3</t>
        </is>
      </c>
      <c r="F98" s="243" t="n">
        <v>1.1756</v>
      </c>
      <c r="G98" s="220" t="n">
        <v>1056</v>
      </c>
      <c r="H98" s="248">
        <f>ROUND(F98*G98,2)</f>
        <v/>
      </c>
      <c r="I98" s="163" t="n"/>
    </row>
    <row r="99">
      <c r="A99" s="171" t="n">
        <v>84</v>
      </c>
      <c r="B99" s="303" t="n"/>
      <c r="C99" s="243" t="inlineStr">
        <is>
          <t>01.7.07.12-0024</t>
        </is>
      </c>
      <c r="D99" s="240" t="inlineStr">
        <is>
          <t>Пленка полиэтиленовая толщиной: 0,15 мм</t>
        </is>
      </c>
      <c r="E99" s="336" t="inlineStr">
        <is>
          <t>м2</t>
        </is>
      </c>
      <c r="F99" s="243" t="n">
        <v>321.46</v>
      </c>
      <c r="G99" s="220" t="n">
        <v>3.62</v>
      </c>
      <c r="H99" s="248">
        <f>ROUND(F99*G99,2)</f>
        <v/>
      </c>
      <c r="I99" s="163" t="n"/>
    </row>
    <row r="100">
      <c r="A100" s="171" t="n">
        <v>85</v>
      </c>
      <c r="B100" s="303" t="n"/>
      <c r="C100" s="243" t="inlineStr">
        <is>
          <t>14.4.01.01-0003</t>
        </is>
      </c>
      <c r="D100" s="240" t="inlineStr">
        <is>
          <t>Грунтовка: ГФ-021 красно-коричневая</t>
        </is>
      </c>
      <c r="E100" s="336" t="inlineStr">
        <is>
          <t>т</t>
        </is>
      </c>
      <c r="F100" s="243" t="n">
        <v>0.0742</v>
      </c>
      <c r="G100" s="220" t="n">
        <v>15620</v>
      </c>
      <c r="H100" s="248">
        <f>ROUND(F100*G100,2)</f>
        <v/>
      </c>
      <c r="I100" s="163" t="n"/>
      <c r="K100" s="152" t="n"/>
    </row>
    <row r="101" ht="25.5" customHeight="1" s="265">
      <c r="A101" s="171" t="n">
        <v>86</v>
      </c>
      <c r="B101" s="303" t="n"/>
      <c r="C101" s="243" t="inlineStr">
        <is>
          <t>11.1.02.04-0031</t>
        </is>
      </c>
      <c r="D101" s="240" t="inlineStr">
        <is>
          <t>Лесоматериалы круглые хвойных пород для строительства диаметром 14-24 см, длиной 3-6,5 м</t>
        </is>
      </c>
      <c r="E101" s="336" t="inlineStr">
        <is>
          <t>м3</t>
        </is>
      </c>
      <c r="F101" s="243" t="n">
        <v>1.952</v>
      </c>
      <c r="G101" s="220" t="n">
        <v>558.33</v>
      </c>
      <c r="H101" s="248">
        <f>ROUND(F101*G101,2)</f>
        <v/>
      </c>
      <c r="I101" s="163" t="n"/>
    </row>
    <row r="102">
      <c r="A102" s="171" t="n">
        <v>87</v>
      </c>
      <c r="B102" s="303" t="n"/>
      <c r="C102" s="243" t="inlineStr">
        <is>
          <t>14.4.02.09-0301</t>
        </is>
      </c>
      <c r="D102" s="240" t="inlineStr">
        <is>
          <t>Краска "Цинол"</t>
        </is>
      </c>
      <c r="E102" s="336" t="inlineStr">
        <is>
          <t>кг</t>
        </is>
      </c>
      <c r="F102" s="243" t="n">
        <v>4.355</v>
      </c>
      <c r="G102" s="220" t="n">
        <v>238.48</v>
      </c>
      <c r="H102" s="248">
        <f>ROUND(F102*G102,2)</f>
        <v/>
      </c>
      <c r="I102" s="163" t="n"/>
    </row>
    <row r="103">
      <c r="A103" s="171" t="n">
        <v>88</v>
      </c>
      <c r="B103" s="303" t="n"/>
      <c r="C103" s="243" t="inlineStr">
        <is>
          <t>14.4.04.08-0003</t>
        </is>
      </c>
      <c r="D103" s="240" t="inlineStr">
        <is>
          <t>Эмаль ПФ-115 серая</t>
        </is>
      </c>
      <c r="E103" s="336" t="inlineStr">
        <is>
          <t>т</t>
        </is>
      </c>
      <c r="F103" s="243" t="n">
        <v>0.06900000000000001</v>
      </c>
      <c r="G103" s="220" t="n">
        <v>14312.87</v>
      </c>
      <c r="H103" s="248">
        <f>ROUND(F103*G103,2)</f>
        <v/>
      </c>
      <c r="I103" s="163" t="n"/>
    </row>
    <row r="104" ht="25.5" customHeight="1" s="265">
      <c r="A104" s="171" t="n">
        <v>89</v>
      </c>
      <c r="B104" s="303" t="n"/>
      <c r="C104" s="243" t="inlineStr">
        <is>
          <t>11.1.03.05-0086</t>
        </is>
      </c>
      <c r="D104" s="240" t="inlineStr">
        <is>
          <t>Доски необрезные хвойных пород длиной: 4-6,5 м, все ширины, толщиной 44 мм и более, IV сорта</t>
        </is>
      </c>
      <c r="E104" s="336" t="inlineStr">
        <is>
          <t>м3</t>
        </is>
      </c>
      <c r="F104" s="243" t="n">
        <v>1.728</v>
      </c>
      <c r="G104" s="220" t="n">
        <v>550</v>
      </c>
      <c r="H104" s="248">
        <f>ROUND(F104*G104,2)</f>
        <v/>
      </c>
      <c r="I104" s="163" t="n"/>
    </row>
    <row r="105" ht="25.5" customHeight="1" s="265">
      <c r="A105" s="171" t="n">
        <v>90</v>
      </c>
      <c r="B105" s="303" t="n"/>
      <c r="C105" s="243" t="inlineStr">
        <is>
          <t>08.4.03.02-0005</t>
        </is>
      </c>
      <c r="D105" s="240" t="inlineStr">
        <is>
          <t>Горячекатаная арматурная сталь гладкая класса А-I, диаметром: 14 мм</t>
        </is>
      </c>
      <c r="E105" s="336" t="inlineStr">
        <is>
          <t>т</t>
        </is>
      </c>
      <c r="F105" s="243" t="n">
        <v>0.149</v>
      </c>
      <c r="G105" s="220" t="n">
        <v>6210</v>
      </c>
      <c r="H105" s="248">
        <f>ROUND(F105*G105,2)</f>
        <v/>
      </c>
      <c r="I105" s="163" t="n"/>
    </row>
    <row r="106">
      <c r="A106" s="171" t="n">
        <v>91</v>
      </c>
      <c r="B106" s="303" t="n"/>
      <c r="C106" s="243" t="inlineStr">
        <is>
          <t>11.2.13.04-0012</t>
        </is>
      </c>
      <c r="D106" s="240" t="inlineStr">
        <is>
          <t>Щиты: из досок толщиной 40 мм</t>
        </is>
      </c>
      <c r="E106" s="336" t="inlineStr">
        <is>
          <t>м2</t>
        </is>
      </c>
      <c r="F106" s="243" t="n">
        <v>15.378</v>
      </c>
      <c r="G106" s="220" t="n">
        <v>57.63</v>
      </c>
      <c r="H106" s="248">
        <f>ROUND(F106*G106,2)</f>
        <v/>
      </c>
      <c r="I106" s="163" t="n"/>
    </row>
    <row r="107">
      <c r="A107" s="171" t="n">
        <v>92</v>
      </c>
      <c r="B107" s="303" t="n"/>
      <c r="C107" s="243" t="inlineStr">
        <is>
          <t>14.5.09.11-0102</t>
        </is>
      </c>
      <c r="D107" s="240" t="inlineStr">
        <is>
          <t>Уайт-спирит</t>
        </is>
      </c>
      <c r="E107" s="336" t="inlineStr">
        <is>
          <t>кг</t>
        </is>
      </c>
      <c r="F107" s="243" t="n">
        <v>123.2</v>
      </c>
      <c r="G107" s="220" t="n">
        <v>6.67</v>
      </c>
      <c r="H107" s="248">
        <f>ROUND(F107*G107,2)</f>
        <v/>
      </c>
      <c r="I107" s="163" t="n"/>
    </row>
    <row r="108">
      <c r="A108" s="171" t="n">
        <v>93</v>
      </c>
      <c r="B108" s="303" t="n"/>
      <c r="C108" s="243" t="inlineStr">
        <is>
          <t>01.7.15.03-0042</t>
        </is>
      </c>
      <c r="D108" s="240" t="inlineStr">
        <is>
          <t>Болты с гайками и шайбами строительные</t>
        </is>
      </c>
      <c r="E108" s="336" t="inlineStr">
        <is>
          <t>кг</t>
        </is>
      </c>
      <c r="F108" s="243" t="n">
        <v>86.55500000000001</v>
      </c>
      <c r="G108" s="220" t="n">
        <v>9.039999999999999</v>
      </c>
      <c r="H108" s="248">
        <f>ROUND(F108*G108,2)</f>
        <v/>
      </c>
      <c r="I108" s="163" t="n"/>
    </row>
    <row r="109">
      <c r="A109" s="171" t="n">
        <v>94</v>
      </c>
      <c r="B109" s="303" t="n"/>
      <c r="C109" s="243" t="inlineStr">
        <is>
          <t>01.3.01.03-0002</t>
        </is>
      </c>
      <c r="D109" s="240" t="inlineStr">
        <is>
          <t>Керосин для технических целей марок КТ-1, КТ-2</t>
        </is>
      </c>
      <c r="E109" s="336" t="inlineStr">
        <is>
          <t>т</t>
        </is>
      </c>
      <c r="F109" s="243" t="n">
        <v>0.2846</v>
      </c>
      <c r="G109" s="220" t="n">
        <v>2606.9</v>
      </c>
      <c r="H109" s="248">
        <f>ROUND(F109*G109,2)</f>
        <v/>
      </c>
      <c r="I109" s="163" t="n"/>
    </row>
    <row r="110">
      <c r="A110" s="171" t="n">
        <v>95</v>
      </c>
      <c r="B110" s="303" t="n"/>
      <c r="C110" s="243" t="inlineStr">
        <is>
          <t>01.7.15.06-0111</t>
        </is>
      </c>
      <c r="D110" s="240" t="inlineStr">
        <is>
          <t>Гвозди строительные</t>
        </is>
      </c>
      <c r="E110" s="336" t="inlineStr">
        <is>
          <t>т</t>
        </is>
      </c>
      <c r="F110" s="243" t="n">
        <v>0.0536</v>
      </c>
      <c r="G110" s="220" t="n">
        <v>11978</v>
      </c>
      <c r="H110" s="248">
        <f>ROUND(F110*G110,2)</f>
        <v/>
      </c>
      <c r="I110" s="163" t="n"/>
    </row>
    <row r="111" customFormat="1" s="148">
      <c r="A111" s="171" t="n">
        <v>96</v>
      </c>
      <c r="B111" s="303" t="n"/>
      <c r="C111" s="243" t="inlineStr">
        <is>
          <t>01.7.11.07-0034</t>
        </is>
      </c>
      <c r="D111" s="240" t="inlineStr">
        <is>
          <t>Электроды диаметром: 4 мм Э42А</t>
        </is>
      </c>
      <c r="E111" s="336" t="inlineStr">
        <is>
          <t>кг</t>
        </is>
      </c>
      <c r="F111" s="243" t="n">
        <v>56.2272</v>
      </c>
      <c r="G111" s="220" t="n">
        <v>10.57</v>
      </c>
      <c r="H111" s="248">
        <f>ROUND(F111*G111,2)</f>
        <v/>
      </c>
      <c r="I111" s="163" t="n"/>
    </row>
    <row r="112">
      <c r="A112" s="171" t="n">
        <v>97</v>
      </c>
      <c r="B112" s="303" t="n"/>
      <c r="C112" s="243" t="inlineStr">
        <is>
          <t>20.1.02.22-0005</t>
        </is>
      </c>
      <c r="D112" s="240" t="inlineStr">
        <is>
          <t>Ушко однолапчатое У1-7-16</t>
        </is>
      </c>
      <c r="E112" s="336" t="inlineStr">
        <is>
          <t>шт</t>
        </is>
      </c>
      <c r="F112" s="243" t="n">
        <v>14</v>
      </c>
      <c r="G112" s="220" t="n">
        <v>39.32</v>
      </c>
      <c r="H112" s="248">
        <f>ROUND(F112*G112,2)</f>
        <v/>
      </c>
      <c r="I112" s="163" t="n"/>
    </row>
    <row r="113">
      <c r="A113" s="171" t="n">
        <v>98</v>
      </c>
      <c r="B113" s="303" t="n"/>
      <c r="C113" s="243" t="inlineStr">
        <is>
          <t>01.7.11.07-0032</t>
        </is>
      </c>
      <c r="D113" s="240" t="inlineStr">
        <is>
          <t>Электроды диаметром: 4 мм Э42</t>
        </is>
      </c>
      <c r="E113" s="336" t="inlineStr">
        <is>
          <t>т</t>
        </is>
      </c>
      <c r="F113" s="243" t="n">
        <v>0.0416</v>
      </c>
      <c r="G113" s="220" t="n">
        <v>10315.01</v>
      </c>
      <c r="H113" s="248">
        <f>ROUND(F113*G113,2)</f>
        <v/>
      </c>
      <c r="I113" s="163" t="n"/>
      <c r="K113" s="152" t="n"/>
    </row>
    <row r="114">
      <c r="A114" s="171" t="n">
        <v>99</v>
      </c>
      <c r="B114" s="303" t="n"/>
      <c r="C114" s="243" t="inlineStr">
        <is>
          <t>14.4.02.09-0001</t>
        </is>
      </c>
      <c r="D114" s="240" t="inlineStr">
        <is>
          <t>Краска</t>
        </is>
      </c>
      <c r="E114" s="336" t="inlineStr">
        <is>
          <t>кг</t>
        </is>
      </c>
      <c r="F114" s="243" t="n">
        <v>13.304</v>
      </c>
      <c r="G114" s="220" t="n">
        <v>28.6</v>
      </c>
      <c r="H114" s="248">
        <f>ROUND(F114*G114,2)</f>
        <v/>
      </c>
      <c r="I114" s="163" t="n"/>
      <c r="K114" s="152" t="n"/>
    </row>
    <row r="115">
      <c r="A115" s="171" t="n">
        <v>100</v>
      </c>
      <c r="B115" s="303" t="n"/>
      <c r="C115" s="243" t="inlineStr">
        <is>
          <t>20.1.02.21-0043</t>
        </is>
      </c>
      <c r="D115" s="240" t="inlineStr">
        <is>
          <t>Узел крепления КГП-7-3</t>
        </is>
      </c>
      <c r="E115" s="336" t="inlineStr">
        <is>
          <t>шт</t>
        </is>
      </c>
      <c r="F115" s="243" t="n">
        <v>14</v>
      </c>
      <c r="G115" s="220" t="n">
        <v>25.55</v>
      </c>
      <c r="H115" s="248">
        <f>ROUND(F115*G115,2)</f>
        <v/>
      </c>
      <c r="I115" s="163" t="n"/>
      <c r="K115" s="152" t="n"/>
    </row>
    <row r="116">
      <c r="A116" s="171" t="n">
        <v>101</v>
      </c>
      <c r="B116" s="303" t="n"/>
      <c r="C116" s="243" t="inlineStr">
        <is>
          <t>20.5.04.03-0011</t>
        </is>
      </c>
      <c r="D116" s="240" t="inlineStr">
        <is>
          <t>Зажимы наборные</t>
        </is>
      </c>
      <c r="E116" s="336" t="inlineStr">
        <is>
          <t>шт</t>
        </is>
      </c>
      <c r="F116" s="243" t="n">
        <v>89.76000000000001</v>
      </c>
      <c r="G116" s="220" t="n">
        <v>3.5</v>
      </c>
      <c r="H116" s="248">
        <f>ROUND(F116*G116,2)</f>
        <v/>
      </c>
      <c r="I116" s="163" t="n"/>
      <c r="K116" s="152" t="n"/>
    </row>
    <row r="117" ht="25.5" customHeight="1" s="265">
      <c r="A117" s="171" t="n">
        <v>102</v>
      </c>
      <c r="B117" s="303" t="n"/>
      <c r="C117" s="243" t="inlineStr">
        <is>
          <t>999-9950</t>
        </is>
      </c>
      <c r="D117" s="240" t="inlineStr">
        <is>
          <t>Вспомогательные ненормируемые ресурсы (2% от Оплаты труда рабочих)</t>
        </is>
      </c>
      <c r="E117" s="336" t="inlineStr">
        <is>
          <t>руб.</t>
        </is>
      </c>
      <c r="F117" s="243" t="n">
        <v>290.472</v>
      </c>
      <c r="G117" s="220" t="n">
        <v>1</v>
      </c>
      <c r="H117" s="248">
        <f>ROUND(F117*G117,2)</f>
        <v/>
      </c>
    </row>
    <row r="118">
      <c r="A118" s="171" t="n">
        <v>103</v>
      </c>
      <c r="B118" s="303" t="n"/>
      <c r="C118" s="243" t="inlineStr">
        <is>
          <t>01.2.01.02-0054</t>
        </is>
      </c>
      <c r="D118" s="240" t="inlineStr">
        <is>
          <t>Битумы нефтяные строительные марки: БН-90/10</t>
        </is>
      </c>
      <c r="E118" s="336" t="inlineStr">
        <is>
          <t>т</t>
        </is>
      </c>
      <c r="F118" s="243" t="n">
        <v>0.1898</v>
      </c>
      <c r="G118" s="220" t="n">
        <v>1383.1</v>
      </c>
      <c r="H118" s="248">
        <f>ROUND(F118*G118,2)</f>
        <v/>
      </c>
      <c r="I118" s="163" t="n"/>
    </row>
    <row r="119" ht="25.5" customHeight="1" s="265">
      <c r="A119" s="171" t="n">
        <v>104</v>
      </c>
      <c r="B119" s="303" t="n"/>
      <c r="C119" s="243" t="inlineStr">
        <is>
          <t>08.3.07.01-0076</t>
        </is>
      </c>
      <c r="D119" s="240" t="inlineStr">
        <is>
          <t>Сталь полосовая, марка стали: Ст3сп шириной 50-200 мм толщиной 4-5 мм</t>
        </is>
      </c>
      <c r="E119" s="336" t="inlineStr">
        <is>
          <t>т</t>
        </is>
      </c>
      <c r="F119" s="243" t="n">
        <v>0.0506</v>
      </c>
      <c r="G119" s="220" t="n">
        <v>5000</v>
      </c>
      <c r="H119" s="248">
        <f>ROUND(F119*G119,2)</f>
        <v/>
      </c>
      <c r="I119" s="163" t="n"/>
    </row>
    <row r="120" ht="25.5" customHeight="1" s="265">
      <c r="A120" s="171" t="n">
        <v>105</v>
      </c>
      <c r="B120" s="303" t="n"/>
      <c r="C120" s="243" t="inlineStr">
        <is>
          <t>11.1.03.06-0087</t>
        </is>
      </c>
      <c r="D120" s="240" t="inlineStr">
        <is>
          <t>Доски обрезные хвойных пород длиной: 4-6,5 м, шириной 75-150 мм, толщиной 25 мм, III сорта</t>
        </is>
      </c>
      <c r="E120" s="336" t="inlineStr">
        <is>
          <t>м3</t>
        </is>
      </c>
      <c r="F120" s="243" t="n">
        <v>0.2248</v>
      </c>
      <c r="G120" s="220" t="n">
        <v>1100</v>
      </c>
      <c r="H120" s="248">
        <f>ROUND(F120*G120,2)</f>
        <v/>
      </c>
      <c r="I120" s="163" t="n"/>
    </row>
    <row r="121" ht="25.5" customHeight="1" s="265">
      <c r="A121" s="171" t="n">
        <v>106</v>
      </c>
      <c r="B121" s="303" t="n"/>
      <c r="C121" s="243" t="inlineStr">
        <is>
          <t>07.2.07.04-0007</t>
        </is>
      </c>
      <c r="D121" s="240" t="inlineStr">
        <is>
          <t>Конструкции стальные индивидуальные: решетчатые сварные массой до 0,1 т</t>
        </is>
      </c>
      <c r="E121" s="336" t="inlineStr">
        <is>
          <t>т</t>
        </is>
      </c>
      <c r="F121" s="243" t="n">
        <v>0.021</v>
      </c>
      <c r="G121" s="220" t="n">
        <v>11500</v>
      </c>
      <c r="H121" s="248">
        <f>ROUND(F121*G121,2)</f>
        <v/>
      </c>
      <c r="I121" s="163" t="n"/>
    </row>
    <row r="122" ht="25.5" customHeight="1" s="265">
      <c r="A122" s="171" t="n">
        <v>107</v>
      </c>
      <c r="B122" s="303" t="n"/>
      <c r="C122" s="243" t="inlineStr">
        <is>
          <t>08.3.03.06-0002</t>
        </is>
      </c>
      <c r="D122" s="240" t="inlineStr">
        <is>
          <t>Проволока горячекатаная в мотках, диаметром 6,3-6,5 мм</t>
        </is>
      </c>
      <c r="E122" s="336" t="inlineStr">
        <is>
          <t>т</t>
        </is>
      </c>
      <c r="F122" s="243" t="n">
        <v>0.0512</v>
      </c>
      <c r="G122" s="220" t="n">
        <v>4455.2</v>
      </c>
      <c r="H122" s="248">
        <f>ROUND(F122*G122,2)</f>
        <v/>
      </c>
      <c r="I122" s="163" t="n"/>
    </row>
    <row r="123" ht="51" customHeight="1" s="265">
      <c r="A123" s="171" t="n">
        <v>108</v>
      </c>
      <c r="B123" s="303" t="n"/>
      <c r="C123" s="243" t="inlineStr">
        <is>
          <t>07.2.07.12-0020</t>
        </is>
      </c>
      <c r="D123" s="240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E123" s="336" t="inlineStr">
        <is>
          <t>т</t>
        </is>
      </c>
      <c r="F123" s="243" t="n">
        <v>0.0276</v>
      </c>
      <c r="G123" s="220" t="n">
        <v>7712</v>
      </c>
      <c r="H123" s="248">
        <f>ROUND(F123*G123,2)</f>
        <v/>
      </c>
      <c r="I123" s="163" t="n"/>
    </row>
    <row r="124" customFormat="1" s="148">
      <c r="A124" s="171" t="n">
        <v>109</v>
      </c>
      <c r="B124" s="303" t="n"/>
      <c r="C124" s="243" t="inlineStr">
        <is>
          <t>01.7.11.07-0035</t>
        </is>
      </c>
      <c r="D124" s="240" t="inlineStr">
        <is>
          <t>Электроды диаметром: 4 мм Э46</t>
        </is>
      </c>
      <c r="E124" s="336" t="inlineStr">
        <is>
          <t>т</t>
        </is>
      </c>
      <c r="F124" s="243" t="n">
        <v>0.0172</v>
      </c>
      <c r="G124" s="220" t="n">
        <v>10749</v>
      </c>
      <c r="H124" s="248">
        <f>ROUND(F124*G124,2)</f>
        <v/>
      </c>
      <c r="I124" s="163" t="n"/>
    </row>
    <row r="125">
      <c r="A125" s="171" t="n">
        <v>110</v>
      </c>
      <c r="B125" s="303" t="n"/>
      <c r="C125" s="243" t="inlineStr">
        <is>
          <t>20.1.02.14-1022</t>
        </is>
      </c>
      <c r="D125" s="240" t="inlineStr">
        <is>
          <t>Серьга СРС-7-16</t>
        </is>
      </c>
      <c r="E125" s="336" t="inlineStr">
        <is>
          <t>шт</t>
        </is>
      </c>
      <c r="F125" s="243" t="n">
        <v>14</v>
      </c>
      <c r="G125" s="220" t="n">
        <v>10.03</v>
      </c>
      <c r="H125" s="248">
        <f>ROUND(F125*G125,2)</f>
        <v/>
      </c>
      <c r="I125" s="163" t="n"/>
    </row>
    <row r="126">
      <c r="A126" s="171" t="n">
        <v>111</v>
      </c>
      <c r="B126" s="303" t="n"/>
      <c r="C126" s="243" t="inlineStr">
        <is>
          <t>20.5.04.05-0012</t>
        </is>
      </c>
      <c r="D126" s="240" t="inlineStr">
        <is>
          <t>Зажим ответвительный ОА 120-1</t>
        </is>
      </c>
      <c r="E126" s="336" t="inlineStr">
        <is>
          <t>100 шт</t>
        </is>
      </c>
      <c r="F126" s="243" t="n">
        <v>0.09</v>
      </c>
      <c r="G126" s="220" t="n">
        <v>1261</v>
      </c>
      <c r="H126" s="248">
        <f>ROUND(F126*G126,2)</f>
        <v/>
      </c>
      <c r="I126" s="163" t="n"/>
      <c r="K126" s="152" t="n"/>
    </row>
    <row r="127" ht="25.5" customHeight="1" s="265">
      <c r="A127" s="171" t="n">
        <v>112</v>
      </c>
      <c r="B127" s="303" t="n"/>
      <c r="C127" s="243" t="inlineStr">
        <is>
          <t>20.5.04.05-0013</t>
        </is>
      </c>
      <c r="D127" s="240" t="inlineStr">
        <is>
          <t>Зажим ответвительный ОА 120-2 (прим. Зажим ответвительный ОА-120Т-2 )</t>
        </is>
      </c>
      <c r="E127" s="336" t="inlineStr">
        <is>
          <t>100 шт</t>
        </is>
      </c>
      <c r="F127" s="243" t="n">
        <v>0.03</v>
      </c>
      <c r="G127" s="220" t="n">
        <v>3782</v>
      </c>
      <c r="H127" s="248">
        <f>ROUND(F127*G127,2)</f>
        <v/>
      </c>
      <c r="I127" s="163" t="n"/>
      <c r="K127" s="152" t="n"/>
    </row>
    <row r="128">
      <c r="A128" s="171" t="n">
        <v>113</v>
      </c>
      <c r="B128" s="303" t="n"/>
      <c r="C128" s="243" t="inlineStr">
        <is>
          <t>08.3.11.01-0091</t>
        </is>
      </c>
      <c r="D128" s="240" t="inlineStr">
        <is>
          <t>Швеллеры № 40 из стали марки: Ст0</t>
        </is>
      </c>
      <c r="E128" s="336" t="inlineStr">
        <is>
          <t>т</t>
        </is>
      </c>
      <c r="F128" s="243" t="n">
        <v>0.022</v>
      </c>
      <c r="G128" s="220" t="n">
        <v>4920</v>
      </c>
      <c r="H128" s="248">
        <f>ROUND(F128*G128,2)</f>
        <v/>
      </c>
      <c r="I128" s="163" t="n"/>
      <c r="K128" s="152" t="n"/>
    </row>
    <row r="129">
      <c r="A129" s="171" t="n">
        <v>114</v>
      </c>
      <c r="B129" s="303" t="n"/>
      <c r="C129" s="243" t="inlineStr">
        <is>
          <t>01.7.03.01-0001</t>
        </is>
      </c>
      <c r="D129" s="240" t="inlineStr">
        <is>
          <t>Вода</t>
        </is>
      </c>
      <c r="E129" s="336" t="inlineStr">
        <is>
          <t>м3</t>
        </is>
      </c>
      <c r="F129" s="243" t="n">
        <v>41.243</v>
      </c>
      <c r="G129" s="220" t="n">
        <v>2.44</v>
      </c>
      <c r="H129" s="248">
        <f>ROUND(F129*G129,2)</f>
        <v/>
      </c>
      <c r="I129" s="163" t="n"/>
      <c r="K129" s="152" t="n"/>
    </row>
    <row r="130">
      <c r="A130" s="171" t="n">
        <v>115</v>
      </c>
      <c r="B130" s="303" t="n"/>
      <c r="C130" s="243" t="inlineStr">
        <is>
          <t>08.3.03.04-0012</t>
        </is>
      </c>
      <c r="D130" s="240" t="inlineStr">
        <is>
          <t>Проволока светлая диаметром: 1,1 мм</t>
        </is>
      </c>
      <c r="E130" s="336" t="inlineStr">
        <is>
          <t>т</t>
        </is>
      </c>
      <c r="F130" s="243" t="n">
        <v>0.009599999999999999</v>
      </c>
      <c r="G130" s="220" t="n">
        <v>10200</v>
      </c>
      <c r="H130" s="248">
        <f>ROUND(F130*G130,2)</f>
        <v/>
      </c>
    </row>
    <row r="131">
      <c r="A131" s="171" t="n">
        <v>116</v>
      </c>
      <c r="B131" s="303" t="n"/>
      <c r="C131" s="243" t="inlineStr">
        <is>
          <t>01.3.01.01-0001</t>
        </is>
      </c>
      <c r="D131" s="240" t="inlineStr">
        <is>
          <t>Бензин авиационный Б-70</t>
        </is>
      </c>
      <c r="E131" s="336" t="inlineStr">
        <is>
          <t>т</t>
        </is>
      </c>
      <c r="F131" s="243" t="n">
        <v>0.0218</v>
      </c>
      <c r="G131" s="220" t="n">
        <v>4488.4</v>
      </c>
      <c r="H131" s="248">
        <f>ROUND(F131*G131,2)</f>
        <v/>
      </c>
    </row>
    <row r="132" ht="25.5" customHeight="1" s="265">
      <c r="A132" s="171" t="n">
        <v>117</v>
      </c>
      <c r="B132" s="303" t="n"/>
      <c r="C132" s="243" t="inlineStr">
        <is>
          <t>01.2.01.02-0031</t>
        </is>
      </c>
      <c r="D132" s="240" t="inlineStr">
        <is>
          <t>Битумы нефтяные строительные изоляционные БНИ-IV-3, БНИ-IV, БНИ-V</t>
        </is>
      </c>
      <c r="E132" s="336" t="inlineStr">
        <is>
          <t>т</t>
        </is>
      </c>
      <c r="F132" s="243" t="n">
        <v>0.06519999999999999</v>
      </c>
      <c r="G132" s="220" t="n">
        <v>1412.5</v>
      </c>
      <c r="H132" s="248">
        <f>ROUND(F132*G132,2)</f>
        <v/>
      </c>
      <c r="I132" s="163" t="n"/>
    </row>
    <row r="133">
      <c r="A133" s="171" t="n">
        <v>118</v>
      </c>
      <c r="B133" s="303" t="n"/>
      <c r="C133" s="243" t="inlineStr">
        <is>
          <t>01.3.02.08-0001</t>
        </is>
      </c>
      <c r="D133" s="240" t="inlineStr">
        <is>
          <t>Кислород технический: газообразный</t>
        </is>
      </c>
      <c r="E133" s="336" t="inlineStr">
        <is>
          <t>м3</t>
        </is>
      </c>
      <c r="F133" s="243" t="n">
        <v>14.548</v>
      </c>
      <c r="G133" s="220" t="n">
        <v>6.22</v>
      </c>
      <c r="H133" s="248">
        <f>ROUND(F133*G133,2)</f>
        <v/>
      </c>
      <c r="I133" s="163" t="n"/>
    </row>
    <row r="134">
      <c r="A134" s="171" t="n">
        <v>119</v>
      </c>
      <c r="B134" s="303" t="n"/>
      <c r="C134" s="243" t="inlineStr">
        <is>
          <t>14.5.09.07-0029</t>
        </is>
      </c>
      <c r="D134" s="240" t="inlineStr">
        <is>
          <t>Растворитель марки: Р-4</t>
        </is>
      </c>
      <c r="E134" s="336" t="inlineStr">
        <is>
          <t>т</t>
        </is>
      </c>
      <c r="F134" s="243" t="n">
        <v>0.0068</v>
      </c>
      <c r="G134" s="220" t="n">
        <v>9420</v>
      </c>
      <c r="H134" s="248">
        <f>ROUND(F134*G134,2)</f>
        <v/>
      </c>
      <c r="I134" s="163" t="n"/>
    </row>
    <row r="135" ht="25.5" customHeight="1" s="265">
      <c r="A135" s="171" t="n">
        <v>120</v>
      </c>
      <c r="B135" s="303" t="n"/>
      <c r="C135" s="243" t="inlineStr">
        <is>
          <t>01.3.01.06-0050</t>
        </is>
      </c>
      <c r="D135" s="240" t="inlineStr">
        <is>
          <t>Смазка универсальная тугоплавкая УТ (консталин жировой)</t>
        </is>
      </c>
      <c r="E135" s="336" t="inlineStr">
        <is>
          <t>т</t>
        </is>
      </c>
      <c r="F135" s="243" t="n">
        <v>0.0032</v>
      </c>
      <c r="G135" s="220" t="n">
        <v>17500</v>
      </c>
      <c r="H135" s="248">
        <f>ROUND(F135*G135,2)</f>
        <v/>
      </c>
      <c r="I135" s="163" t="n"/>
    </row>
    <row r="136">
      <c r="A136" s="171" t="n">
        <v>121</v>
      </c>
      <c r="B136" s="303" t="n"/>
      <c r="C136" s="243" t="inlineStr">
        <is>
          <t>01.2.01.02-0052</t>
        </is>
      </c>
      <c r="D136" s="240" t="inlineStr">
        <is>
          <t>Битумы нефтяные строительные марки: БН-70/30</t>
        </is>
      </c>
      <c r="E136" s="336" t="inlineStr">
        <is>
          <t>т</t>
        </is>
      </c>
      <c r="F136" s="243" t="n">
        <v>0.0326</v>
      </c>
      <c r="G136" s="220" t="n">
        <v>1525.5</v>
      </c>
      <c r="H136" s="248">
        <f>ROUND(F136*G136,2)</f>
        <v/>
      </c>
      <c r="I136" s="163" t="n"/>
      <c r="K136" s="152" t="n"/>
    </row>
    <row r="137">
      <c r="A137" s="171" t="n">
        <v>122</v>
      </c>
      <c r="B137" s="303" t="n"/>
      <c r="C137" s="243" t="inlineStr">
        <is>
          <t>01.7.20.08-0071</t>
        </is>
      </c>
      <c r="D137" s="240" t="inlineStr">
        <is>
          <t>Канаты пеньковые пропитанные</t>
        </is>
      </c>
      <c r="E137" s="336" t="inlineStr">
        <is>
          <t>т</t>
        </is>
      </c>
      <c r="F137" s="243" t="n">
        <v>0.0012</v>
      </c>
      <c r="G137" s="220" t="n">
        <v>37900</v>
      </c>
      <c r="H137" s="248">
        <f>ROUND(F137*G137,2)</f>
        <v/>
      </c>
      <c r="I137" s="163" t="n"/>
    </row>
    <row r="138" ht="25.5" customHeight="1" s="265">
      <c r="A138" s="171" t="n">
        <v>123</v>
      </c>
      <c r="B138" s="303" t="n"/>
      <c r="C138" s="243" t="inlineStr">
        <is>
          <t>08.3.05.02-0101</t>
        </is>
      </c>
      <c r="D138" s="240" t="inlineStr">
        <is>
          <t>Сталь листовая углеродистая обыкновенного качества марки ВСт3пс5 толщиной: 4-6 мм</t>
        </is>
      </c>
      <c r="E138" s="336" t="inlineStr">
        <is>
          <t>т</t>
        </is>
      </c>
      <c r="F138" s="243" t="n">
        <v>0.0074</v>
      </c>
      <c r="G138" s="220" t="n">
        <v>5763</v>
      </c>
      <c r="H138" s="248">
        <f>ROUND(F138*G138,2)</f>
        <v/>
      </c>
      <c r="I138" s="163" t="n"/>
    </row>
    <row r="139">
      <c r="A139" s="171" t="n">
        <v>124</v>
      </c>
      <c r="B139" s="303" t="n"/>
      <c r="C139" s="243" t="inlineStr">
        <is>
          <t>03.1.02.03-0011</t>
        </is>
      </c>
      <c r="D139" s="240" t="inlineStr">
        <is>
          <t>Известь строительная: негашеная комовая, сорт I</t>
        </is>
      </c>
      <c r="E139" s="336" t="inlineStr">
        <is>
          <t>т</t>
        </is>
      </c>
      <c r="F139" s="243" t="n">
        <v>0.0506</v>
      </c>
      <c r="G139" s="220" t="n">
        <v>734.5</v>
      </c>
      <c r="H139" s="248">
        <f>ROUND(F139*G139,2)</f>
        <v/>
      </c>
      <c r="I139" s="163" t="n"/>
    </row>
    <row r="140">
      <c r="A140" s="171" t="n">
        <v>125</v>
      </c>
      <c r="B140" s="303" t="n"/>
      <c r="C140" s="243" t="inlineStr">
        <is>
          <t>14.5.09.02-0002</t>
        </is>
      </c>
      <c r="D140" s="240" t="inlineStr">
        <is>
          <t>Ксилол нефтяной марки А</t>
        </is>
      </c>
      <c r="E140" s="336" t="inlineStr">
        <is>
          <t>т</t>
        </is>
      </c>
      <c r="F140" s="243" t="n">
        <v>0.004</v>
      </c>
      <c r="G140" s="220" t="n">
        <v>7640</v>
      </c>
      <c r="H140" s="248">
        <f>ROUND(F140*G140,2)</f>
        <v/>
      </c>
      <c r="I140" s="163" t="n"/>
    </row>
    <row r="141">
      <c r="A141" s="171" t="n">
        <v>126</v>
      </c>
      <c r="B141" s="303" t="n"/>
      <c r="C141" s="243" t="inlineStr">
        <is>
          <t>02.2.05.04-1777</t>
        </is>
      </c>
      <c r="D141" s="240" t="inlineStr">
        <is>
          <t>Щебень М 800, фракция 20-40 мм, группа 2</t>
        </is>
      </c>
      <c r="E141" s="336" t="inlineStr">
        <is>
          <t>м3</t>
        </is>
      </c>
      <c r="F141" s="243" t="n">
        <v>0.2514</v>
      </c>
      <c r="G141" s="220" t="n">
        <v>108.4</v>
      </c>
      <c r="H141" s="248">
        <f>ROUND(F141*G141,2)</f>
        <v/>
      </c>
      <c r="I141" s="163" t="n"/>
    </row>
    <row r="142">
      <c r="A142" s="171" t="n">
        <v>127</v>
      </c>
      <c r="B142" s="303" t="n"/>
      <c r="C142" s="243" t="inlineStr">
        <is>
          <t>01.3.02.09-0022</t>
        </is>
      </c>
      <c r="D142" s="240" t="inlineStr">
        <is>
          <t>Пропан-бутан, смесь техническая</t>
        </is>
      </c>
      <c r="E142" s="336" t="inlineStr">
        <is>
          <t>кг</t>
        </is>
      </c>
      <c r="F142" s="243" t="n">
        <v>4.402</v>
      </c>
      <c r="G142" s="220" t="n">
        <v>6.09</v>
      </c>
      <c r="H142" s="248">
        <f>ROUND(F142*G142,2)</f>
        <v/>
      </c>
      <c r="I142" s="163" t="n"/>
    </row>
    <row r="143">
      <c r="A143" s="171" t="n">
        <v>128</v>
      </c>
      <c r="B143" s="303" t="n"/>
      <c r="C143" s="243" t="inlineStr">
        <is>
          <t>01.1.02.10-1022</t>
        </is>
      </c>
      <c r="D143" s="240" t="inlineStr">
        <is>
          <t>Хризотил, группа 6К</t>
        </is>
      </c>
      <c r="E143" s="336" t="inlineStr">
        <is>
          <t>т</t>
        </is>
      </c>
      <c r="F143" s="243" t="n">
        <v>0.021</v>
      </c>
      <c r="G143" s="220" t="n">
        <v>1160</v>
      </c>
      <c r="H143" s="248">
        <f>ROUND(F143*G143,2)</f>
        <v/>
      </c>
      <c r="I143" s="163" t="n"/>
    </row>
    <row r="144" ht="25.5" customHeight="1" s="265">
      <c r="A144" s="171" t="n">
        <v>129</v>
      </c>
      <c r="B144" s="303" t="n"/>
      <c r="C144" s="243" t="inlineStr">
        <is>
          <t>11.1.03.01-0077</t>
        </is>
      </c>
      <c r="D144" s="240" t="inlineStr">
        <is>
          <t>Бруски обрезные хвойных пород длиной: 4-6,5 м, шириной 75-150 мм, толщиной 40-75 мм, I сорта</t>
        </is>
      </c>
      <c r="E144" s="336" t="inlineStr">
        <is>
          <t>м3</t>
        </is>
      </c>
      <c r="F144" s="243" t="n">
        <v>0.0116</v>
      </c>
      <c r="G144" s="220" t="n">
        <v>1700</v>
      </c>
      <c r="H144" s="248">
        <f>ROUND(F144*G144,2)</f>
        <v/>
      </c>
      <c r="I144" s="163" t="n"/>
    </row>
    <row r="145">
      <c r="A145" s="171" t="n">
        <v>130</v>
      </c>
      <c r="B145" s="303" t="n"/>
      <c r="C145" s="243" t="inlineStr">
        <is>
          <t>20.2.08.07-0033</t>
        </is>
      </c>
      <c r="D145" s="240" t="inlineStr">
        <is>
          <t>Скоба: У1078</t>
        </is>
      </c>
      <c r="E145" s="336" t="inlineStr">
        <is>
          <t>100 шт</t>
        </is>
      </c>
      <c r="F145" s="243" t="n">
        <v>0.0176</v>
      </c>
      <c r="G145" s="220" t="n">
        <v>617</v>
      </c>
      <c r="H145" s="248">
        <f>ROUND(F145*G145,2)</f>
        <v/>
      </c>
      <c r="I145" s="163" t="n"/>
    </row>
    <row r="146" ht="51" customHeight="1" s="265">
      <c r="A146" s="171" t="n">
        <v>131</v>
      </c>
      <c r="B146" s="303" t="n"/>
      <c r="C146" s="243" t="inlineStr">
        <is>
          <t>08.2.02.11-0007</t>
        </is>
      </c>
      <c r="D146" s="240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E146" s="336" t="inlineStr">
        <is>
          <t>10 м</t>
        </is>
      </c>
      <c r="F146" s="243" t="n">
        <v>0.2124</v>
      </c>
      <c r="G146" s="220" t="n">
        <v>50.24</v>
      </c>
      <c r="H146" s="248">
        <f>ROUND(F146*G146,2)</f>
        <v/>
      </c>
      <c r="I146" s="163" t="n"/>
    </row>
    <row r="147" customFormat="1" s="148">
      <c r="A147" s="171" t="n">
        <v>132</v>
      </c>
      <c r="B147" s="303" t="n"/>
      <c r="C147" s="243" t="inlineStr">
        <is>
          <t>01.7.20.08-0051</t>
        </is>
      </c>
      <c r="D147" s="240" t="inlineStr">
        <is>
          <t>Ветошь</t>
        </is>
      </c>
      <c r="E147" s="336" t="inlineStr">
        <is>
          <t>кг</t>
        </is>
      </c>
      <c r="F147" s="243" t="n">
        <v>4.586</v>
      </c>
      <c r="G147" s="220" t="n">
        <v>1.82</v>
      </c>
      <c r="H147" s="248">
        <f>ROUND(F147*G147,2)</f>
        <v/>
      </c>
      <c r="I147" s="163" t="n"/>
    </row>
    <row r="148">
      <c r="A148" s="171" t="n">
        <v>133</v>
      </c>
      <c r="B148" s="303" t="n"/>
      <c r="C148" s="243" t="inlineStr">
        <is>
          <t>01.7.15.07-0014</t>
        </is>
      </c>
      <c r="D148" s="240" t="inlineStr">
        <is>
          <t>Дюбели распорные полипропиленовые</t>
        </is>
      </c>
      <c r="E148" s="336" t="inlineStr">
        <is>
          <t>100 шт</t>
        </is>
      </c>
      <c r="F148" s="243" t="n">
        <v>0.064</v>
      </c>
      <c r="G148" s="220" t="n">
        <v>86</v>
      </c>
      <c r="H148" s="248">
        <f>ROUND(F148*G148,2)</f>
        <v/>
      </c>
      <c r="I148" s="163" t="n"/>
    </row>
    <row r="149">
      <c r="A149" s="171" t="n">
        <v>134</v>
      </c>
      <c r="B149" s="303" t="n"/>
      <c r="C149" s="243" t="inlineStr">
        <is>
          <t>02.2.02.03-0021</t>
        </is>
      </c>
      <c r="D149" s="240" t="inlineStr">
        <is>
          <t>Порошок минеральный</t>
        </is>
      </c>
      <c r="E149" s="336" t="inlineStr">
        <is>
          <t>т</t>
        </is>
      </c>
      <c r="F149" s="243" t="n">
        <v>0.021</v>
      </c>
      <c r="G149" s="220" t="n">
        <v>150</v>
      </c>
      <c r="H149" s="248">
        <f>ROUND(F149*G149,2)</f>
        <v/>
      </c>
      <c r="I149" s="163" t="n"/>
      <c r="K149" s="152" t="n"/>
    </row>
    <row r="150">
      <c r="A150" s="171" t="n">
        <v>135</v>
      </c>
      <c r="B150" s="303" t="n"/>
      <c r="C150" s="243" t="inlineStr">
        <is>
          <t>07.2.07.02-0001</t>
        </is>
      </c>
      <c r="D150" s="240" t="inlineStr">
        <is>
          <t>Кондуктор инвентарный металлический</t>
        </is>
      </c>
      <c r="E150" s="336" t="inlineStr">
        <is>
          <t>шт</t>
        </is>
      </c>
      <c r="F150" s="243" t="n">
        <v>0.0083</v>
      </c>
      <c r="G150" s="220" t="n">
        <v>346</v>
      </c>
      <c r="H150" s="248">
        <f>ROUND(F150*G150,2)</f>
        <v/>
      </c>
      <c r="I150" s="163" t="n"/>
      <c r="K150" s="152" t="n"/>
    </row>
    <row r="151">
      <c r="A151" s="171" t="n">
        <v>136</v>
      </c>
      <c r="B151" s="303" t="n"/>
      <c r="C151" s="243" t="inlineStr">
        <is>
          <t>01.7.15.07-0031</t>
        </is>
      </c>
      <c r="D151" s="240" t="inlineStr">
        <is>
          <t>Дюбели распорные с гайкой</t>
        </is>
      </c>
      <c r="E151" s="336" t="inlineStr">
        <is>
          <t>100 шт</t>
        </is>
      </c>
      <c r="F151" s="243" t="n">
        <v>0.0168</v>
      </c>
      <c r="G151" s="220" t="n">
        <v>110</v>
      </c>
      <c r="H151" s="248">
        <f>ROUND(F151*G151,2)</f>
        <v/>
      </c>
      <c r="I151" s="163" t="n"/>
      <c r="K151" s="152" t="n"/>
    </row>
    <row r="152" ht="25.5" customHeight="1" s="265">
      <c r="A152" s="171" t="n">
        <v>137</v>
      </c>
      <c r="B152" s="303" t="n"/>
      <c r="C152" s="243" t="inlineStr">
        <is>
          <t>03.2.01.01-0003</t>
        </is>
      </c>
      <c r="D152" s="240" t="inlineStr">
        <is>
          <t>Портландцемент общестроительного назначения бездобавочный, марки: 500</t>
        </is>
      </c>
      <c r="E152" s="336" t="inlineStr">
        <is>
          <t>т</t>
        </is>
      </c>
      <c r="F152" s="243" t="n">
        <v>0.0038</v>
      </c>
      <c r="G152" s="220" t="n">
        <v>480</v>
      </c>
      <c r="H152" s="248">
        <f>ROUND(F152*G152,2)</f>
        <v/>
      </c>
      <c r="I152" s="163" t="n"/>
      <c r="K152" s="152" t="n"/>
    </row>
    <row r="153">
      <c r="A153" s="171" t="n">
        <v>138</v>
      </c>
      <c r="B153" s="303" t="n"/>
      <c r="C153" s="243" t="inlineStr">
        <is>
          <t>01.7.20.08-0031</t>
        </is>
      </c>
      <c r="D153" s="240" t="inlineStr">
        <is>
          <t>Бязь суровая арт. 6804</t>
        </is>
      </c>
      <c r="E153" s="336" t="inlineStr">
        <is>
          <t>10 м2</t>
        </is>
      </c>
      <c r="F153" s="243" t="n">
        <v>0.018</v>
      </c>
      <c r="G153" s="220" t="n">
        <v>79.09999999999999</v>
      </c>
      <c r="H153" s="248">
        <f>ROUND(F153*G153,2)</f>
        <v/>
      </c>
    </row>
    <row r="154" ht="25.5" customHeight="1" s="265">
      <c r="A154" s="171" t="n">
        <v>139</v>
      </c>
      <c r="B154" s="303" t="n"/>
      <c r="C154" s="243" t="inlineStr">
        <is>
          <t>02.3.01.02-1020</t>
        </is>
      </c>
      <c r="D154" s="240" t="inlineStr">
        <is>
          <t>Песок природный II класс, повышенной крупности, круглые сита</t>
        </is>
      </c>
      <c r="E154" s="336" t="inlineStr">
        <is>
          <t>м3</t>
        </is>
      </c>
      <c r="F154" s="243" t="n">
        <v>0.0032</v>
      </c>
      <c r="G154" s="220" t="n">
        <v>59.99</v>
      </c>
      <c r="H154" s="248">
        <f>ROUND(F154*G154,2)</f>
        <v/>
      </c>
    </row>
    <row r="157">
      <c r="B157" s="267" t="inlineStr">
        <is>
          <t>Составил ______________________    Е. М. Добровольская</t>
        </is>
      </c>
    </row>
    <row r="158">
      <c r="B158" s="138" t="inlineStr">
        <is>
          <t xml:space="preserve">                         (подпись, инициалы, фамилия)</t>
        </is>
      </c>
    </row>
    <row r="160">
      <c r="B160" s="267" t="inlineStr">
        <is>
          <t>Проверил ______________________        А.В. Костянецкая</t>
        </is>
      </c>
    </row>
    <row r="161">
      <c r="B161" s="138" t="inlineStr">
        <is>
          <t xml:space="preserve">                        (подпись, инициалы, фамилия)</t>
        </is>
      </c>
    </row>
  </sheetData>
  <mergeCells count="16">
    <mergeCell ref="A4:H4"/>
    <mergeCell ref="A3:H3"/>
    <mergeCell ref="A8:A9"/>
    <mergeCell ref="E8:E9"/>
    <mergeCell ref="C8:C9"/>
    <mergeCell ref="F8:F9"/>
    <mergeCell ref="A2:H2"/>
    <mergeCell ref="A33:E33"/>
    <mergeCell ref="A11:E11"/>
    <mergeCell ref="D8:D9"/>
    <mergeCell ref="B8:B9"/>
    <mergeCell ref="A71:E71"/>
    <mergeCell ref="A31:E31"/>
    <mergeCell ref="G8:H8"/>
    <mergeCell ref="A74:E74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5" workbookViewId="0">
      <selection activeCell="D44" sqref="D44"/>
    </sheetView>
  </sheetViews>
  <sheetFormatPr baseColWidth="8" defaultColWidth="9.140625" defaultRowHeight="15"/>
  <cols>
    <col width="4.140625" customWidth="1" style="265" min="1" max="1"/>
    <col width="36.28515625" customWidth="1" style="265" min="2" max="2"/>
    <col width="18.85546875" customWidth="1" style="265" min="3" max="3"/>
    <col width="18.28515625" customWidth="1" style="265" min="4" max="4"/>
    <col width="18.85546875" customWidth="1" style="265" min="5" max="5"/>
    <col width="13.42578125" customWidth="1" style="265" min="7" max="7"/>
    <col width="13.5703125" customWidth="1" style="265" min="12" max="12"/>
  </cols>
  <sheetData>
    <row r="1">
      <c r="B1" s="264" t="n"/>
      <c r="C1" s="264" t="n"/>
      <c r="D1" s="264" t="n"/>
      <c r="E1" s="264" t="n"/>
    </row>
    <row r="2">
      <c r="B2" s="264" t="n"/>
      <c r="C2" s="264" t="n"/>
      <c r="D2" s="264" t="n"/>
      <c r="E2" s="331" t="inlineStr">
        <is>
          <t>Приложение № 4</t>
        </is>
      </c>
    </row>
    <row r="3">
      <c r="B3" s="264" t="n"/>
      <c r="C3" s="264" t="n"/>
      <c r="D3" s="264" t="n"/>
      <c r="E3" s="264" t="n"/>
    </row>
    <row r="4">
      <c r="B4" s="264" t="n"/>
      <c r="C4" s="264" t="n"/>
      <c r="D4" s="264" t="n"/>
      <c r="E4" s="264" t="n"/>
    </row>
    <row r="5">
      <c r="B5" s="283" t="inlineStr">
        <is>
          <t>Ресурсная модель</t>
        </is>
      </c>
    </row>
    <row r="6">
      <c r="B6" s="157" t="n"/>
      <c r="C6" s="264" t="n"/>
      <c r="D6" s="264" t="n"/>
      <c r="E6" s="264" t="n"/>
    </row>
    <row r="7" ht="25.5" customHeight="1" s="265">
      <c r="B7" s="313" t="inlineStr">
        <is>
          <t>Наименование разрабатываемого показателя УНЦ — Демонтаж БСК 110-750кВ</t>
        </is>
      </c>
    </row>
    <row r="8">
      <c r="B8" s="314" t="inlineStr">
        <is>
          <t>Единица измерения  — 1 ячейка</t>
        </is>
      </c>
    </row>
    <row r="9">
      <c r="B9" s="157" t="n"/>
      <c r="C9" s="264" t="n"/>
      <c r="D9" s="264" t="n"/>
      <c r="E9" s="264" t="n"/>
    </row>
    <row r="10" ht="51" customHeight="1" s="265">
      <c r="B10" s="316" t="inlineStr">
        <is>
          <t>Наименование</t>
        </is>
      </c>
      <c r="C10" s="316" t="inlineStr">
        <is>
          <t>Сметная стоимость в ценах на 01.01.2023
 (руб.)</t>
        </is>
      </c>
      <c r="D10" s="316" t="inlineStr">
        <is>
          <t>Удельный вес, 
(в СМР)</t>
        </is>
      </c>
      <c r="E10" s="316" t="inlineStr">
        <is>
          <t>Удельный вес, % 
(от всего по РМ)</t>
        </is>
      </c>
    </row>
    <row r="11">
      <c r="B11" s="24" t="inlineStr">
        <is>
          <t>Оплата труда рабочих</t>
        </is>
      </c>
      <c r="C11" s="255">
        <f>'Прил.5 Расчет СМР и ОБ'!J15</f>
        <v/>
      </c>
      <c r="D11" s="26">
        <f>C11/$C$24</f>
        <v/>
      </c>
      <c r="E11" s="26">
        <f>C11/$C$40</f>
        <v/>
      </c>
    </row>
    <row r="12">
      <c r="B12" s="24" t="inlineStr">
        <is>
          <t>Эксплуатация машин основных</t>
        </is>
      </c>
      <c r="C12" s="255">
        <f>'Прил.5 Расчет СМР и ОБ'!J34</f>
        <v/>
      </c>
      <c r="D12" s="26">
        <f>C12/$C$24</f>
        <v/>
      </c>
      <c r="E12" s="26">
        <f>C12/$C$40</f>
        <v/>
      </c>
    </row>
    <row r="13">
      <c r="B13" s="24" t="inlineStr">
        <is>
          <t>Эксплуатация машин прочих</t>
        </is>
      </c>
      <c r="C13" s="255">
        <f>'Прил.5 Расчет СМР и ОБ'!J61</f>
        <v/>
      </c>
      <c r="D13" s="26">
        <f>C13/$C$24</f>
        <v/>
      </c>
      <c r="E13" s="26">
        <f>C13/$C$40</f>
        <v/>
      </c>
    </row>
    <row r="14">
      <c r="B14" s="24" t="inlineStr">
        <is>
          <t>ЭКСПЛУАТАЦИЯ МАШИН, ВСЕГО:</t>
        </is>
      </c>
      <c r="C14" s="255">
        <f>'Прил.5 Расчет СМР и ОБ'!J63</f>
        <v/>
      </c>
      <c r="D14" s="26">
        <f>C14/$C$24</f>
        <v/>
      </c>
      <c r="E14" s="26">
        <f>C14/$C$40</f>
        <v/>
      </c>
    </row>
    <row r="15">
      <c r="B15" s="24" t="inlineStr">
        <is>
          <t>в том числе зарплата машинистов</t>
        </is>
      </c>
      <c r="C15" s="255">
        <f>'Прил.5 Расчет СМР и ОБ'!J18</f>
        <v/>
      </c>
      <c r="D15" s="26">
        <f>C15/$C$24</f>
        <v/>
      </c>
      <c r="E15" s="26">
        <f>C15/$C$40</f>
        <v/>
      </c>
    </row>
    <row r="16">
      <c r="B16" s="24" t="inlineStr">
        <is>
          <t>Материалы основные</t>
        </is>
      </c>
      <c r="C16" s="255">
        <f>'Прил.5 Расчет СМР и ОБ'!J72</f>
        <v/>
      </c>
      <c r="D16" s="26">
        <f>C16/$C$24</f>
        <v/>
      </c>
      <c r="E16" s="26">
        <f>C16/$C$40</f>
        <v/>
      </c>
    </row>
    <row r="17">
      <c r="B17" s="24" t="inlineStr">
        <is>
          <t>Материалы прочие</t>
        </is>
      </c>
      <c r="C17" s="255">
        <f>'Прил.5 Расчет СМР и ОБ'!J73</f>
        <v/>
      </c>
      <c r="D17" s="26">
        <f>C17/$C$24</f>
        <v/>
      </c>
      <c r="E17" s="26">
        <f>C17/$C$40</f>
        <v/>
      </c>
      <c r="G17" s="401" t="n"/>
    </row>
    <row r="18">
      <c r="B18" s="24" t="inlineStr">
        <is>
          <t>МАТЕРИАЛЫ, ВСЕГО:</t>
        </is>
      </c>
      <c r="C18" s="255">
        <f>C17+C16</f>
        <v/>
      </c>
      <c r="D18" s="26">
        <f>C18/$C$24</f>
        <v/>
      </c>
      <c r="E18" s="26">
        <f>C18/$C$40</f>
        <v/>
      </c>
    </row>
    <row r="19">
      <c r="B19" s="24" t="inlineStr">
        <is>
          <t>ИТОГО</t>
        </is>
      </c>
      <c r="C19" s="255">
        <f>C18+C14+C11</f>
        <v/>
      </c>
      <c r="D19" s="26" t="n"/>
      <c r="E19" s="24" t="n"/>
    </row>
    <row r="20">
      <c r="B20" s="24" t="inlineStr">
        <is>
          <t>Сметная прибыль, руб.</t>
        </is>
      </c>
      <c r="C20" s="255">
        <f>ROUND(C21*(C11+C15),2)</f>
        <v/>
      </c>
      <c r="D20" s="26">
        <f>C20/$C$24</f>
        <v/>
      </c>
      <c r="E20" s="26">
        <f>C20/$C$40</f>
        <v/>
      </c>
    </row>
    <row r="21">
      <c r="B21" s="24" t="inlineStr">
        <is>
          <t>Сметная прибыль, %</t>
        </is>
      </c>
      <c r="C21" s="183">
        <f>'Прил.5 Расчет СМР и ОБ'!D79</f>
        <v/>
      </c>
      <c r="D21" s="26" t="n"/>
      <c r="E21" s="24" t="n"/>
    </row>
    <row r="22">
      <c r="B22" s="24" t="inlineStr">
        <is>
          <t>Накладные расходы, руб.</t>
        </is>
      </c>
      <c r="C22" s="255">
        <f>ROUND(C23*(C11+C15),2)</f>
        <v/>
      </c>
      <c r="D22" s="26">
        <f>C22/$C$24</f>
        <v/>
      </c>
      <c r="E22" s="26">
        <f>C22/$C$40</f>
        <v/>
      </c>
    </row>
    <row r="23">
      <c r="B23" s="24" t="inlineStr">
        <is>
          <t>Накладные расходы, %</t>
        </is>
      </c>
      <c r="C23" s="183">
        <f>'Прил.5 Расчет СМР и ОБ'!D77</f>
        <v/>
      </c>
      <c r="D23" s="26" t="n"/>
      <c r="E23" s="24" t="n"/>
    </row>
    <row r="24">
      <c r="B24" s="24" t="inlineStr">
        <is>
          <t>ВСЕГО СМР с НР и СП</t>
        </is>
      </c>
      <c r="C24" s="255">
        <f>C19+C20+C22</f>
        <v/>
      </c>
      <c r="D24" s="26">
        <f>C24/$C$24</f>
        <v/>
      </c>
      <c r="E24" s="26">
        <f>C24/$C$40</f>
        <v/>
      </c>
    </row>
    <row r="25" ht="25.5" customHeight="1" s="265">
      <c r="B25" s="24" t="inlineStr">
        <is>
          <t>ВСЕГО стоимость оборудования, в том числе</t>
        </is>
      </c>
      <c r="C25" s="255">
        <f>'Прил.5 Расчет СМР и ОБ'!J68</f>
        <v/>
      </c>
      <c r="D25" s="26" t="n"/>
      <c r="E25" s="26">
        <f>C25/$C$40</f>
        <v/>
      </c>
    </row>
    <row r="26" ht="25.5" customHeight="1" s="265">
      <c r="B26" s="24" t="inlineStr">
        <is>
          <t>стоимость оборудования технологического</t>
        </is>
      </c>
      <c r="C26" s="255">
        <f>'Прил.5 Расчет СМР и ОБ'!J69</f>
        <v/>
      </c>
      <c r="D26" s="26" t="n"/>
      <c r="E26" s="26">
        <f>C26/$C$40</f>
        <v/>
      </c>
    </row>
    <row r="27">
      <c r="B27" s="24" t="inlineStr">
        <is>
          <t>ИТОГО (СМР + ОБОРУДОВАНИЕ)</t>
        </is>
      </c>
      <c r="C27" s="187">
        <f>'Прил.5 Расчет СМР и ОБ'!J82</f>
        <v/>
      </c>
      <c r="D27" s="26" t="n"/>
      <c r="E27" s="26">
        <f>C27/$C$40</f>
        <v/>
      </c>
      <c r="G27" s="155" t="n"/>
    </row>
    <row r="28" ht="33" customHeight="1" s="265">
      <c r="B28" s="24" t="inlineStr">
        <is>
          <t>ПРОЧ. ЗАТР., УЧТЕННЫЕ ПОКАЗАТЕЛЕМ,  в том числе</t>
        </is>
      </c>
      <c r="C28" s="24" t="n"/>
      <c r="D28" s="24" t="n"/>
      <c r="E28" s="24" t="n"/>
    </row>
    <row r="29" ht="25.5" customHeight="1" s="265">
      <c r="B29" s="24" t="inlineStr">
        <is>
          <t>Временные здания и сооружения - 3,9%</t>
        </is>
      </c>
      <c r="C29" s="187">
        <f>ROUND(C24*3.9%,2)</f>
        <v/>
      </c>
      <c r="D29" s="24" t="n"/>
      <c r="E29" s="26" t="n">
        <v>0.039</v>
      </c>
    </row>
    <row r="30" ht="38.25" customHeight="1" s="265">
      <c r="B30" s="24" t="inlineStr">
        <is>
          <t>Дополнительные затраты при производстве строительно-монтажных работ в зимнее время - 2,1%</t>
        </is>
      </c>
      <c r="C30" s="187">
        <f>ROUND((C24+C29)*2.1%,2)</f>
        <v/>
      </c>
      <c r="D30" s="24" t="n"/>
      <c r="E30" s="26" t="n">
        <v>0.021</v>
      </c>
    </row>
    <row r="31">
      <c r="B31" s="24" t="inlineStr">
        <is>
          <t>Пусконаладочные работы</t>
        </is>
      </c>
      <c r="C31" s="168" t="n">
        <v>0</v>
      </c>
      <c r="D31" s="24" t="n"/>
      <c r="E31" s="26">
        <f>C31/$C$40</f>
        <v/>
      </c>
    </row>
    <row r="32" ht="25.5" customHeight="1" s="265">
      <c r="B32" s="24" t="inlineStr">
        <is>
          <t>Затраты по перевозке работников к месту работы и обратно</t>
        </is>
      </c>
      <c r="C32" s="187" t="n">
        <v>0</v>
      </c>
      <c r="D32" s="24" t="n"/>
      <c r="E32" s="26">
        <f>C32/$C$40</f>
        <v/>
      </c>
    </row>
    <row r="33" ht="25.5" customHeight="1" s="265">
      <c r="B33" s="24" t="inlineStr">
        <is>
          <t>Затраты, связанные с осуществлением работ вахтовым методом</t>
        </is>
      </c>
      <c r="C33" s="187">
        <f>ROUND(C27*0%,2)</f>
        <v/>
      </c>
      <c r="D33" s="24" t="n"/>
      <c r="E33" s="26">
        <f>C33/$C$40</f>
        <v/>
      </c>
    </row>
    <row r="34" ht="51" customHeight="1" s="265">
      <c r="B34" s="24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87" t="n">
        <v>0</v>
      </c>
      <c r="D34" s="24" t="n"/>
      <c r="E34" s="26">
        <f>C34/$C$40</f>
        <v/>
      </c>
    </row>
    <row r="35" ht="76.5" customHeight="1" s="265">
      <c r="B35" s="24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87">
        <f>ROUND(C27*0%,2)</f>
        <v/>
      </c>
      <c r="D35" s="24" t="n"/>
      <c r="E35" s="26">
        <f>C35/$C$40</f>
        <v/>
      </c>
    </row>
    <row r="36" ht="25.5" customHeight="1" s="265">
      <c r="B36" s="24" t="inlineStr">
        <is>
          <t>Строительный контроль и содержание службы заказчика - 2,14%</t>
        </is>
      </c>
      <c r="C36" s="187">
        <f>ROUND((C27+C32+C33+C34+C35+C29+C31+C30)*2.14%,2)</f>
        <v/>
      </c>
      <c r="D36" s="24" t="n"/>
      <c r="E36" s="26">
        <f>C36/$C$40</f>
        <v/>
      </c>
      <c r="G36" s="208" t="n"/>
      <c r="L36" s="155" t="n"/>
    </row>
    <row r="37">
      <c r="B37" s="24" t="inlineStr">
        <is>
          <t>Авторский надзор - 0,2%</t>
        </is>
      </c>
      <c r="C37" s="187">
        <f>ROUND((C27+C32+C33+C34+C35+C29+C31+C30)*0.2%,2)</f>
        <v/>
      </c>
      <c r="D37" s="24" t="n"/>
      <c r="E37" s="26">
        <f>C37/$C$40</f>
        <v/>
      </c>
      <c r="G37" s="209" t="n"/>
      <c r="L37" s="155" t="n"/>
    </row>
    <row r="38" ht="38.25" customHeight="1" s="265">
      <c r="B38" s="24" t="inlineStr">
        <is>
          <t>ИТОГО (СМР+ОБОРУДОВАНИЕ+ПРОЧ. ЗАТР., УЧТЕННЫЕ ПОКАЗАТЕЛЕМ)</t>
        </is>
      </c>
      <c r="C38" s="255">
        <f>C27+C32+C33+C34+C35+C29+C31+C30+C36+C37</f>
        <v/>
      </c>
      <c r="D38" s="24" t="n"/>
      <c r="E38" s="26">
        <f>C38/$C$40</f>
        <v/>
      </c>
    </row>
    <row r="39" ht="13.5" customHeight="1" s="265">
      <c r="B39" s="24" t="inlineStr">
        <is>
          <t>Непредвиденные расходы</t>
        </is>
      </c>
      <c r="C39" s="255">
        <f>ROUND(C38*3%,2)</f>
        <v/>
      </c>
      <c r="D39" s="24" t="n"/>
      <c r="E39" s="26">
        <f>C39/$C$38</f>
        <v/>
      </c>
    </row>
    <row r="40">
      <c r="B40" s="24" t="inlineStr">
        <is>
          <t>ВСЕГО:</t>
        </is>
      </c>
      <c r="C40" s="255">
        <f>C39+C38</f>
        <v/>
      </c>
      <c r="D40" s="24" t="n"/>
      <c r="E40" s="26">
        <f>C40/$C$40</f>
        <v/>
      </c>
    </row>
    <row r="41">
      <c r="B41" s="24" t="inlineStr">
        <is>
          <t>ИТОГО ПОКАЗАТЕЛЬ НА ЕД. ИЗМ.</t>
        </is>
      </c>
      <c r="C41" s="255">
        <f>C40/'Прил.5 Расчет СМР и ОБ'!E83</f>
        <v/>
      </c>
      <c r="D41" s="24" t="n"/>
      <c r="E41" s="24" t="n"/>
    </row>
    <row r="42">
      <c r="B42" s="257" t="n"/>
      <c r="C42" s="264" t="n"/>
      <c r="D42" s="264" t="n"/>
      <c r="E42" s="264" t="n"/>
    </row>
    <row r="43">
      <c r="B43" s="257" t="inlineStr">
        <is>
          <t>Составил ____________________________  Е. М. Добровольская</t>
        </is>
      </c>
      <c r="C43" s="264" t="n"/>
      <c r="D43" s="264" t="n"/>
      <c r="E43" s="264" t="n"/>
    </row>
    <row r="44">
      <c r="B44" s="257" t="inlineStr">
        <is>
          <t xml:space="preserve">(должность, подпись, инициалы, фамилия) </t>
        </is>
      </c>
      <c r="C44" s="264" t="n"/>
      <c r="D44" s="264" t="n"/>
      <c r="E44" s="264" t="n"/>
    </row>
    <row r="45">
      <c r="B45" s="257" t="n"/>
      <c r="C45" s="264" t="n"/>
      <c r="D45" s="264" t="n"/>
      <c r="E45" s="264" t="n"/>
    </row>
    <row r="46">
      <c r="B46" s="257" t="inlineStr">
        <is>
          <t>Проверил ____________________________ А.В. Костянецкая</t>
        </is>
      </c>
      <c r="C46" s="264" t="n"/>
      <c r="D46" s="264" t="n"/>
      <c r="E46" s="264" t="n"/>
    </row>
    <row r="47">
      <c r="B47" s="314" t="inlineStr">
        <is>
          <t>(должность, подпись, инициалы, фамилия)</t>
        </is>
      </c>
      <c r="D47" s="264" t="n"/>
      <c r="E47" s="264" t="n"/>
    </row>
    <row r="49">
      <c r="B49" s="264" t="n"/>
      <c r="C49" s="264" t="n"/>
      <c r="D49" s="264" t="n"/>
      <c r="E49" s="264" t="n"/>
    </row>
    <row r="50">
      <c r="B50" s="264" t="n"/>
      <c r="C50" s="264" t="n"/>
      <c r="D50" s="264" t="n"/>
      <c r="E50" s="264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89"/>
  <sheetViews>
    <sheetView view="pageBreakPreview" topLeftCell="A69" zoomScale="70" workbookViewId="0">
      <selection activeCell="C94" sqref="C94:C95"/>
    </sheetView>
  </sheetViews>
  <sheetFormatPr baseColWidth="8" defaultColWidth="9.140625" defaultRowHeight="15" outlineLevelRow="1"/>
  <cols>
    <col width="5.7109375" customWidth="1" style="262" min="1" max="1"/>
    <col width="22.5703125" customWidth="1" style="262" min="2" max="2"/>
    <col width="39.140625" customWidth="1" style="262" min="3" max="3"/>
    <col width="13.5703125" customWidth="1" style="262" min="4" max="4"/>
    <col width="12.7109375" customWidth="1" style="262" min="5" max="5"/>
    <col width="14.5703125" customWidth="1" style="262" min="6" max="6"/>
    <col width="15.85546875" customWidth="1" style="262" min="7" max="7"/>
    <col width="12.7109375" customWidth="1" style="262" min="8" max="8"/>
    <col width="15.85546875" customWidth="1" style="262" min="9" max="9"/>
    <col width="17.5703125" customWidth="1" style="262" min="10" max="10"/>
    <col width="10.85546875" customWidth="1" style="262" min="11" max="11"/>
    <col width="13.85546875" customWidth="1" style="262" min="12" max="12"/>
  </cols>
  <sheetData>
    <row r="1">
      <c r="M1" s="262" t="n"/>
      <c r="N1" s="262" t="n"/>
    </row>
    <row r="2" ht="15.75" customHeight="1" s="265">
      <c r="H2" s="326" t="inlineStr">
        <is>
          <t>Приложение №5</t>
        </is>
      </c>
      <c r="M2" s="262" t="n"/>
      <c r="N2" s="262" t="n"/>
    </row>
    <row r="3" ht="8.25" customHeight="1" s="265">
      <c r="M3" s="262" t="n"/>
      <c r="N3" s="262" t="n"/>
    </row>
    <row r="4" ht="12.75" customFormat="1" customHeight="1" s="264">
      <c r="A4" s="283" t="inlineStr">
        <is>
          <t>Расчет стоимости СМР и оборудования</t>
        </is>
      </c>
    </row>
    <row r="5" ht="12.75" customFormat="1" customHeight="1" s="264">
      <c r="A5" s="283" t="n"/>
      <c r="B5" s="283" t="n"/>
      <c r="C5" s="338" t="n"/>
      <c r="D5" s="283" t="n"/>
      <c r="E5" s="283" t="n"/>
      <c r="F5" s="283" t="n"/>
      <c r="G5" s="283" t="n"/>
      <c r="H5" s="283" t="n"/>
      <c r="I5" s="283" t="n"/>
      <c r="J5" s="283" t="n"/>
    </row>
    <row r="6" ht="12.75" customFormat="1" customHeight="1" s="264">
      <c r="A6" s="136" t="inlineStr">
        <is>
          <t>Наименование разрабатываемого показателя УНЦ</t>
        </is>
      </c>
      <c r="B6" s="135" t="n"/>
      <c r="C6" s="135" t="n"/>
      <c r="D6" s="286" t="inlineStr">
        <is>
          <t>Демонтаж БСК 110-750кВ</t>
        </is>
      </c>
    </row>
    <row r="7" ht="12.75" customFormat="1" customHeight="1" s="264">
      <c r="A7" s="286" t="inlineStr">
        <is>
          <t>Единица измерения  — 1 ячейка</t>
        </is>
      </c>
      <c r="I7" s="313" t="n"/>
      <c r="J7" s="313" t="n"/>
    </row>
    <row r="8" ht="13.5" customFormat="1" customHeight="1" s="264">
      <c r="A8" s="286" t="n"/>
    </row>
    <row r="9" ht="27" customHeight="1" s="265">
      <c r="A9" s="316" t="inlineStr">
        <is>
          <t>№ пп.</t>
        </is>
      </c>
      <c r="B9" s="316" t="inlineStr">
        <is>
          <t>Код ресурса</t>
        </is>
      </c>
      <c r="C9" s="316" t="inlineStr">
        <is>
          <t>Наименование</t>
        </is>
      </c>
      <c r="D9" s="316" t="inlineStr">
        <is>
          <t>Ед. изм.</t>
        </is>
      </c>
      <c r="E9" s="316" t="inlineStr">
        <is>
          <t>Кол-во единиц по проектным данным</t>
        </is>
      </c>
      <c r="F9" s="316" t="inlineStr">
        <is>
          <t>Сметная стоимость в ценах на 01.01.2000 (руб.)</t>
        </is>
      </c>
      <c r="G9" s="391" t="n"/>
      <c r="H9" s="316" t="inlineStr">
        <is>
          <t>Удельный вес, %</t>
        </is>
      </c>
      <c r="I9" s="316" t="inlineStr">
        <is>
          <t>Сметная стоимость в ценах на 01.01.2023 (руб.)</t>
        </is>
      </c>
      <c r="J9" s="391" t="n"/>
      <c r="M9" s="262" t="n"/>
      <c r="N9" s="262" t="n"/>
    </row>
    <row r="10" ht="28.5" customHeight="1" s="265">
      <c r="A10" s="393" t="n"/>
      <c r="B10" s="393" t="n"/>
      <c r="C10" s="393" t="n"/>
      <c r="D10" s="393" t="n"/>
      <c r="E10" s="393" t="n"/>
      <c r="F10" s="316" t="inlineStr">
        <is>
          <t>на ед. изм.</t>
        </is>
      </c>
      <c r="G10" s="316" t="inlineStr">
        <is>
          <t>общая</t>
        </is>
      </c>
      <c r="H10" s="393" t="n"/>
      <c r="I10" s="316" t="inlineStr">
        <is>
          <t>на ед. изм.</t>
        </is>
      </c>
      <c r="J10" s="316" t="inlineStr">
        <is>
          <t>общая</t>
        </is>
      </c>
      <c r="M10" s="262" t="n"/>
      <c r="N10" s="262" t="n"/>
    </row>
    <row r="11">
      <c r="A11" s="316" t="n">
        <v>1</v>
      </c>
      <c r="B11" s="316" t="n">
        <v>2</v>
      </c>
      <c r="C11" s="316" t="n">
        <v>3</v>
      </c>
      <c r="D11" s="316" t="n">
        <v>4</v>
      </c>
      <c r="E11" s="316" t="n">
        <v>5</v>
      </c>
      <c r="F11" s="316" t="n">
        <v>6</v>
      </c>
      <c r="G11" s="316" t="n">
        <v>7</v>
      </c>
      <c r="H11" s="316" t="n">
        <v>8</v>
      </c>
      <c r="I11" s="329" t="n">
        <v>9</v>
      </c>
      <c r="J11" s="329" t="n">
        <v>10</v>
      </c>
      <c r="M11" s="262" t="n"/>
      <c r="N11" s="262" t="n"/>
    </row>
    <row r="12">
      <c r="A12" s="316" t="n"/>
      <c r="B12" s="301" t="inlineStr">
        <is>
          <t>Затраты труда рабочих-строителей</t>
        </is>
      </c>
      <c r="C12" s="390" t="n"/>
      <c r="D12" s="390" t="n"/>
      <c r="E12" s="390" t="n"/>
      <c r="F12" s="390" t="n"/>
      <c r="G12" s="390" t="n"/>
      <c r="H12" s="391" t="n"/>
      <c r="I12" s="179" t="n"/>
      <c r="J12" s="179" t="n"/>
    </row>
    <row r="13" ht="25.5" customHeight="1" s="265">
      <c r="A13" s="316" t="n">
        <v>1</v>
      </c>
      <c r="B13" s="226" t="inlineStr">
        <is>
          <t>1-3-6</t>
        </is>
      </c>
      <c r="C13" s="315" t="inlineStr">
        <is>
          <t>Затраты труда рабочих-строителей среднего разряда (3,6)</t>
        </is>
      </c>
      <c r="D13" s="316" t="inlineStr">
        <is>
          <t>чел.-ч.</t>
        </is>
      </c>
      <c r="E13" s="402">
        <f>G13/F13</f>
        <v/>
      </c>
      <c r="F13" s="248" t="n">
        <v>9.18</v>
      </c>
      <c r="G13" s="248">
        <f>'Прил. 3'!H11</f>
        <v/>
      </c>
      <c r="H13" s="319">
        <f>G13/G14</f>
        <v/>
      </c>
      <c r="I13" s="248">
        <f>'ФОТр.тек.'!E13</f>
        <v/>
      </c>
      <c r="J13" s="248">
        <f>ROUND(I13*E13,2)</f>
        <v/>
      </c>
    </row>
    <row r="14" ht="25.5" customFormat="1" customHeight="1" s="262">
      <c r="A14" s="316" t="n"/>
      <c r="B14" s="316" t="n"/>
      <c r="C14" s="301" t="inlineStr">
        <is>
          <t>Итого по разделу "Затраты труда рабочих-строителей"</t>
        </is>
      </c>
      <c r="D14" s="316" t="inlineStr">
        <is>
          <t>чел.-ч.</t>
        </is>
      </c>
      <c r="E14" s="402">
        <f>SUM(E13:E13)</f>
        <v/>
      </c>
      <c r="F14" s="248" t="n"/>
      <c r="G14" s="248">
        <f>SUM(G13:G13)</f>
        <v/>
      </c>
      <c r="H14" s="320" t="n">
        <v>1</v>
      </c>
      <c r="I14" s="179" t="n"/>
      <c r="J14" s="248">
        <f>SUM(J13:J13)</f>
        <v/>
      </c>
    </row>
    <row r="15" ht="38.25" customFormat="1" customHeight="1" s="262">
      <c r="A15" s="316" t="n"/>
      <c r="B15" s="316" t="n"/>
      <c r="C15" s="301" t="inlineStr">
        <is>
          <t>Итого по разделу "Затраты труда рабочих-строителей" 
(с коэффициентом на демонтаж 0,7)</t>
        </is>
      </c>
      <c r="D15" s="316" t="inlineStr">
        <is>
          <t>чел.-ч.</t>
        </is>
      </c>
      <c r="E15" s="317" t="n"/>
      <c r="F15" s="318" t="n"/>
      <c r="G15" s="248">
        <f>SUM(G14)*0.7</f>
        <v/>
      </c>
      <c r="H15" s="320" t="n">
        <v>1</v>
      </c>
      <c r="I15" s="179" t="n"/>
      <c r="J15" s="248">
        <f>SUM(J13)*0.7</f>
        <v/>
      </c>
    </row>
    <row r="16" ht="14.25" customFormat="1" customHeight="1" s="262">
      <c r="A16" s="316" t="n"/>
      <c r="B16" s="315" t="inlineStr">
        <is>
          <t>Затраты труда машинистов</t>
        </is>
      </c>
      <c r="C16" s="390" t="n"/>
      <c r="D16" s="390" t="n"/>
      <c r="E16" s="390" t="n"/>
      <c r="F16" s="390" t="n"/>
      <c r="G16" s="390" t="n"/>
      <c r="H16" s="391" t="n"/>
      <c r="I16" s="179" t="n"/>
      <c r="J16" s="179" t="n"/>
    </row>
    <row r="17" ht="14.25" customFormat="1" customHeight="1" s="262">
      <c r="A17" s="316" t="n">
        <v>2</v>
      </c>
      <c r="B17" s="316" t="n">
        <v>2</v>
      </c>
      <c r="C17" s="315" t="inlineStr">
        <is>
          <t>Затраты труда машинистов</t>
        </is>
      </c>
      <c r="D17" s="316" t="inlineStr">
        <is>
          <t>чел.-ч.</t>
        </is>
      </c>
      <c r="E17" s="402">
        <f>'Прил. 3'!F32</f>
        <v/>
      </c>
      <c r="F17" s="248">
        <f>G17/E17</f>
        <v/>
      </c>
      <c r="G17" s="248">
        <f>'Прил. 3'!H31</f>
        <v/>
      </c>
      <c r="H17" s="320" t="n">
        <v>1</v>
      </c>
      <c r="I17" s="248">
        <f>ROUND(F17*'Прил. 10'!D11,2)</f>
        <v/>
      </c>
      <c r="J17" s="248">
        <f>ROUND(I17*E17,2)</f>
        <v/>
      </c>
    </row>
    <row r="18" ht="25.5" customFormat="1" customHeight="1" s="262">
      <c r="A18" s="316" t="n"/>
      <c r="B18" s="316" t="n"/>
      <c r="C18" s="188" t="inlineStr">
        <is>
          <t>Затраты труда машинистов 
(с коэффициентом на демонтаж 0,7)</t>
        </is>
      </c>
      <c r="D18" s="182" t="n"/>
      <c r="E18" s="182" t="n"/>
      <c r="F18" s="182" t="n"/>
      <c r="G18" s="187">
        <f>G17*0.7</f>
        <v/>
      </c>
      <c r="H18" s="183">
        <f>H17</f>
        <v/>
      </c>
      <c r="I18" s="184" t="n"/>
      <c r="J18" s="187">
        <f>J17*0.7</f>
        <v/>
      </c>
    </row>
    <row r="19" ht="14.25" customFormat="1" customHeight="1" s="262">
      <c r="A19" s="316" t="n"/>
      <c r="B19" s="301" t="inlineStr">
        <is>
          <t>Машины и механизмы</t>
        </is>
      </c>
      <c r="C19" s="390" t="n"/>
      <c r="D19" s="390" t="n"/>
      <c r="E19" s="390" t="n"/>
      <c r="F19" s="390" t="n"/>
      <c r="G19" s="390" t="n"/>
      <c r="H19" s="391" t="n"/>
      <c r="I19" s="179" t="n"/>
      <c r="J19" s="179" t="n"/>
    </row>
    <row r="20" ht="14.25" customFormat="1" customHeight="1" s="262">
      <c r="A20" s="316" t="n"/>
      <c r="B20" s="315" t="inlineStr">
        <is>
          <t>Основные машины и механизмы</t>
        </is>
      </c>
      <c r="C20" s="390" t="n"/>
      <c r="D20" s="390" t="n"/>
      <c r="E20" s="390" t="n"/>
      <c r="F20" s="390" t="n"/>
      <c r="G20" s="390" t="n"/>
      <c r="H20" s="391" t="n"/>
      <c r="I20" s="179" t="n"/>
      <c r="J20" s="179" t="n"/>
    </row>
    <row r="21" ht="14.25" customFormat="1" customHeight="1" s="262">
      <c r="A21" s="316" t="n">
        <v>3</v>
      </c>
      <c r="B21" s="226" t="inlineStr">
        <is>
          <t>91.21.22-447</t>
        </is>
      </c>
      <c r="C21" s="315" t="inlineStr">
        <is>
          <t>Установки электрометаллизационные</t>
        </is>
      </c>
      <c r="D21" s="316" t="inlineStr">
        <is>
          <t>маш.-ч</t>
        </is>
      </c>
      <c r="E21" s="402" t="n">
        <v>415.1</v>
      </c>
      <c r="F21" s="248" t="n">
        <v>74.23999999999999</v>
      </c>
      <c r="G21" s="248">
        <f>ROUND(E21*F21,2)</f>
        <v/>
      </c>
      <c r="H21" s="319">
        <f>G21/$G$62</f>
        <v/>
      </c>
      <c r="I21" s="248">
        <f>ROUND(F21*'Прил. 10'!$D$12,2)</f>
        <v/>
      </c>
      <c r="J21" s="248">
        <f>ROUND(I21*E21,2)</f>
        <v/>
      </c>
    </row>
    <row r="22" ht="25.5" customFormat="1" customHeight="1" s="262">
      <c r="A22" s="316" t="n">
        <v>4</v>
      </c>
      <c r="B22" s="226" t="inlineStr">
        <is>
          <t>91.18.01-007</t>
        </is>
      </c>
      <c r="C22" s="315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D22" s="316" t="inlineStr">
        <is>
          <t>маш.-ч</t>
        </is>
      </c>
      <c r="E22" s="402" t="n">
        <v>178.3</v>
      </c>
      <c r="F22" s="248" t="n">
        <v>90</v>
      </c>
      <c r="G22" s="248">
        <f>ROUND(E22*F22,2)</f>
        <v/>
      </c>
      <c r="H22" s="319">
        <f>G22/$G$62</f>
        <v/>
      </c>
      <c r="I22" s="248">
        <f>ROUND(F22*'Прил. 10'!$D$12,2)</f>
        <v/>
      </c>
      <c r="J22" s="248">
        <f>ROUND(I22*E22,2)</f>
        <v/>
      </c>
    </row>
    <row r="23" ht="30" customFormat="1" customHeight="1" s="262">
      <c r="A23" s="316" t="n">
        <v>5</v>
      </c>
      <c r="B23" s="226" t="inlineStr">
        <is>
          <t>91.01.05-085</t>
        </is>
      </c>
      <c r="C23" s="315" t="inlineStr">
        <is>
          <t>Экскаваторы одноковшовые дизельные на гусеничном ходу, емкость ковша 0,5 м3</t>
        </is>
      </c>
      <c r="D23" s="316" t="inlineStr">
        <is>
          <t>маш.-ч</t>
        </is>
      </c>
      <c r="E23" s="402" t="n">
        <v>102.2</v>
      </c>
      <c r="F23" s="248" t="n">
        <v>100</v>
      </c>
      <c r="G23" s="248">
        <f>ROUND(E23*F23,2)</f>
        <v/>
      </c>
      <c r="H23" s="319">
        <f>G23/$G$62</f>
        <v/>
      </c>
      <c r="I23" s="248">
        <f>ROUND(F23*'Прил. 10'!$D$12,2)</f>
        <v/>
      </c>
      <c r="J23" s="248">
        <f>ROUND(I23*E23,2)</f>
        <v/>
      </c>
    </row>
    <row r="24" ht="20.25" customFormat="1" customHeight="1" s="262">
      <c r="A24" s="316" t="n">
        <v>6</v>
      </c>
      <c r="B24" s="226" t="inlineStr">
        <is>
          <t>91.05.01-017</t>
        </is>
      </c>
      <c r="C24" s="315" t="inlineStr">
        <is>
          <t>Краны башенные, грузоподъемность 8 т</t>
        </is>
      </c>
      <c r="D24" s="316" t="inlineStr">
        <is>
          <t>маш.-ч</t>
        </is>
      </c>
      <c r="E24" s="402" t="n">
        <v>70.5</v>
      </c>
      <c r="F24" s="248" t="n">
        <v>86.40000000000001</v>
      </c>
      <c r="G24" s="248">
        <f>ROUND(E24*F24,2)</f>
        <v/>
      </c>
      <c r="H24" s="319">
        <f>G24/$G$62</f>
        <v/>
      </c>
      <c r="I24" s="248">
        <f>ROUND(F24*'Прил. 10'!$D$12,2)</f>
        <v/>
      </c>
      <c r="J24" s="248">
        <f>ROUND(I24*E24,2)</f>
        <v/>
      </c>
    </row>
    <row r="25" ht="24" customFormat="1" customHeight="1" s="262">
      <c r="A25" s="316" t="n">
        <v>7</v>
      </c>
      <c r="B25" s="226" t="inlineStr">
        <is>
          <t>91.01.05-084</t>
        </is>
      </c>
      <c r="C25" s="315" t="inlineStr">
        <is>
          <t>Экскаваторы одноковшовые дизельные на гусеничном ходу, емкость ковша 0,4 м3</t>
        </is>
      </c>
      <c r="D25" s="316" t="inlineStr">
        <is>
          <t>маш.-ч</t>
        </is>
      </c>
      <c r="E25" s="402" t="n">
        <v>108.88</v>
      </c>
      <c r="F25" s="248" t="n">
        <v>54.81</v>
      </c>
      <c r="G25" s="248">
        <f>ROUND(E25*F25,2)</f>
        <v/>
      </c>
      <c r="H25" s="319">
        <f>G25/$G$62</f>
        <v/>
      </c>
      <c r="I25" s="248">
        <f>ROUND(F25*'Прил. 10'!$D$12,2)</f>
        <v/>
      </c>
      <c r="J25" s="248">
        <f>ROUND(I25*E25,2)</f>
        <v/>
      </c>
    </row>
    <row r="26" ht="25.5" customFormat="1" customHeight="1" s="262">
      <c r="A26" s="316" t="n">
        <v>8</v>
      </c>
      <c r="B26" s="226" t="inlineStr">
        <is>
          <t>91.05.05-014</t>
        </is>
      </c>
      <c r="C26" s="315" t="inlineStr">
        <is>
          <t>Краны на автомобильном ходу, грузоподъемность 10 т</t>
        </is>
      </c>
      <c r="D26" s="316" t="inlineStr">
        <is>
          <t>маш.-ч</t>
        </is>
      </c>
      <c r="E26" s="402" t="n">
        <v>46.52</v>
      </c>
      <c r="F26" s="248" t="n">
        <v>111.99</v>
      </c>
      <c r="G26" s="248">
        <f>ROUND(E26*F26,2)</f>
        <v/>
      </c>
      <c r="H26" s="319">
        <f>G26/$G$62</f>
        <v/>
      </c>
      <c r="I26" s="248">
        <f>ROUND(F26*'Прил. 10'!$D$12,2)</f>
        <v/>
      </c>
      <c r="J26" s="248">
        <f>ROUND(I26*E26,2)</f>
        <v/>
      </c>
    </row>
    <row r="27" ht="25.5" customFormat="1" customHeight="1" s="262">
      <c r="A27" s="316" t="n">
        <v>9</v>
      </c>
      <c r="B27" s="226" t="inlineStr">
        <is>
          <t>91.05.06-009</t>
        </is>
      </c>
      <c r="C27" s="315" t="inlineStr">
        <is>
          <t>Краны на гусеничном ходу, грузоподъемность 50-63 т</t>
        </is>
      </c>
      <c r="D27" s="316" t="inlineStr">
        <is>
          <t>маш.-ч</t>
        </is>
      </c>
      <c r="E27" s="402" t="n">
        <v>11.72</v>
      </c>
      <c r="F27" s="248" t="n">
        <v>290.01</v>
      </c>
      <c r="G27" s="248">
        <f>ROUND(E27*F27,2)</f>
        <v/>
      </c>
      <c r="H27" s="319">
        <f>G27/$G$62</f>
        <v/>
      </c>
      <c r="I27" s="248">
        <f>ROUND(F27*'Прил. 10'!$D$12,2)</f>
        <v/>
      </c>
      <c r="J27" s="248">
        <f>ROUND(I27*E27,2)</f>
        <v/>
      </c>
    </row>
    <row r="28" ht="25.5" customFormat="1" customHeight="1" s="262">
      <c r="A28" s="316" t="n">
        <v>10</v>
      </c>
      <c r="B28" s="226" t="inlineStr">
        <is>
          <t>91.05.08-007</t>
        </is>
      </c>
      <c r="C28" s="315" t="inlineStr">
        <is>
          <t>Краны на пневмоколесном ходу, грузоподъемность 25 т</t>
        </is>
      </c>
      <c r="D28" s="316" t="inlineStr">
        <is>
          <t>маш.-ч</t>
        </is>
      </c>
      <c r="E28" s="402" t="n">
        <v>31.04</v>
      </c>
      <c r="F28" s="248" t="n">
        <v>102.51</v>
      </c>
      <c r="G28" s="248">
        <f>ROUND(E28*F28,2)</f>
        <v/>
      </c>
      <c r="H28" s="319">
        <f>G28/$G$62</f>
        <v/>
      </c>
      <c r="I28" s="248">
        <f>ROUND(F28*'Прил. 10'!$D$12,2)</f>
        <v/>
      </c>
      <c r="J28" s="248">
        <f>ROUND(I28*E28,2)</f>
        <v/>
      </c>
    </row>
    <row r="29" ht="14.25" customFormat="1" customHeight="1" s="262">
      <c r="A29" s="316" t="n">
        <v>11</v>
      </c>
      <c r="B29" s="226" t="inlineStr">
        <is>
          <t>91.21.22-447</t>
        </is>
      </c>
      <c r="C29" s="315" t="inlineStr">
        <is>
          <t>Установки электрометаллизационные</t>
        </is>
      </c>
      <c r="D29" s="316" t="inlineStr">
        <is>
          <t>маш.-ч</t>
        </is>
      </c>
      <c r="E29" s="402" t="n">
        <v>42.19</v>
      </c>
      <c r="F29" s="248" t="n">
        <v>74.23999999999999</v>
      </c>
      <c r="G29" s="248">
        <f>ROUND(E29*F29,2)</f>
        <v/>
      </c>
      <c r="H29" s="319">
        <f>G29/$G$62</f>
        <v/>
      </c>
      <c r="I29" s="248">
        <f>ROUND(F29*'Прил. 10'!$D$12,2)</f>
        <v/>
      </c>
      <c r="J29" s="248">
        <f>ROUND(I29*E29,2)</f>
        <v/>
      </c>
    </row>
    <row r="30" ht="14.25" customFormat="1" customHeight="1" s="262">
      <c r="A30" s="316" t="n">
        <v>12</v>
      </c>
      <c r="B30" s="226" t="inlineStr">
        <is>
          <t>91.01.01-035</t>
        </is>
      </c>
      <c r="C30" s="315" t="inlineStr">
        <is>
          <t>Бульдозеры, мощность 79 кВт (108 л.с.)</t>
        </is>
      </c>
      <c r="D30" s="316" t="inlineStr">
        <is>
          <t>маш.-ч</t>
        </is>
      </c>
      <c r="E30" s="402" t="n">
        <v>39.4</v>
      </c>
      <c r="F30" s="248" t="n">
        <v>79.06999999999999</v>
      </c>
      <c r="G30" s="248">
        <f>ROUND(E30*F30,2)</f>
        <v/>
      </c>
      <c r="H30" s="319">
        <f>G30/$G$62</f>
        <v/>
      </c>
      <c r="I30" s="248">
        <f>ROUND(F30*'Прил. 10'!$D$12,2)</f>
        <v/>
      </c>
      <c r="J30" s="248">
        <f>ROUND(I30*E30,2)</f>
        <v/>
      </c>
    </row>
    <row r="31" ht="25.5" customFormat="1" customHeight="1" s="262">
      <c r="A31" s="316" t="n">
        <v>13</v>
      </c>
      <c r="B31" s="226" t="inlineStr">
        <is>
          <t>91.14.02-001</t>
        </is>
      </c>
      <c r="C31" s="315" t="inlineStr">
        <is>
          <t>Автомобили бортовые, грузоподъемность: до 5 т</t>
        </is>
      </c>
      <c r="D31" s="316" t="inlineStr">
        <is>
          <t>маш.-ч</t>
        </is>
      </c>
      <c r="E31" s="402" t="n">
        <v>41.63</v>
      </c>
      <c r="F31" s="248" t="n">
        <v>65.70999999999999</v>
      </c>
      <c r="G31" s="248">
        <f>ROUND(E31*F31,2)</f>
        <v/>
      </c>
      <c r="H31" s="319">
        <f>G31/$G$62</f>
        <v/>
      </c>
      <c r="I31" s="248">
        <f>ROUND(F31*'Прил. 10'!$D$12,2)</f>
        <v/>
      </c>
      <c r="J31" s="248">
        <f>ROUND(I31*E31,2)</f>
        <v/>
      </c>
    </row>
    <row r="32" ht="25.5" customFormat="1" customHeight="1" s="262">
      <c r="A32" s="316" t="n">
        <v>14</v>
      </c>
      <c r="B32" s="226" t="inlineStr">
        <is>
          <t>91.06.03-058</t>
        </is>
      </c>
      <c r="C32" s="315" t="inlineStr">
        <is>
          <t>Лебедки электрические тяговым усилием: 156,96 кН (16 т)</t>
        </is>
      </c>
      <c r="D32" s="316" t="inlineStr">
        <is>
          <t>маш.-ч</t>
        </is>
      </c>
      <c r="E32" s="402" t="n">
        <v>18.1</v>
      </c>
      <c r="F32" s="248" t="n">
        <v>131.44</v>
      </c>
      <c r="G32" s="248">
        <f>ROUND(E32*F32,2)</f>
        <v/>
      </c>
      <c r="H32" s="319">
        <f>G32/$G$62</f>
        <v/>
      </c>
      <c r="I32" s="248">
        <f>ROUND(F32*'Прил. 10'!$D$12,2)</f>
        <v/>
      </c>
      <c r="J32" s="248">
        <f>ROUND(I32*E32,2)</f>
        <v/>
      </c>
    </row>
    <row r="33" ht="14.25" customFormat="1" customHeight="1" s="262">
      <c r="A33" s="316" t="n">
        <v>15</v>
      </c>
      <c r="B33" s="316" t="n"/>
      <c r="C33" s="315" t="inlineStr">
        <is>
          <t>Итого основные машины и механизмы</t>
        </is>
      </c>
      <c r="D33" s="316" t="n"/>
      <c r="E33" s="402" t="n"/>
      <c r="F33" s="248" t="n"/>
      <c r="G33" s="248">
        <f>SUM(G21:G32)</f>
        <v/>
      </c>
      <c r="H33" s="320">
        <f>G33/G62</f>
        <v/>
      </c>
      <c r="I33" s="127" t="n"/>
      <c r="J33" s="248">
        <f>SUM(J21:J32)</f>
        <v/>
      </c>
    </row>
    <row r="34" ht="25.5" customFormat="1" customHeight="1" s="262">
      <c r="A34" s="316" t="n">
        <v>16</v>
      </c>
      <c r="B34" s="316" t="n"/>
      <c r="C34" s="188" t="inlineStr">
        <is>
          <t>Итого основные машины и механизмы 
(с коэффициентом на демонтаж 0,7)</t>
        </is>
      </c>
      <c r="D34" s="316" t="n"/>
      <c r="E34" s="403" t="n"/>
      <c r="F34" s="317" t="n"/>
      <c r="G34" s="248">
        <f>G33*0.7</f>
        <v/>
      </c>
      <c r="H34" s="319">
        <f>G34/G63</f>
        <v/>
      </c>
      <c r="I34" s="248" t="n"/>
      <c r="J34" s="248">
        <f>J33*0.7</f>
        <v/>
      </c>
    </row>
    <row r="35" hidden="1" outlineLevel="1" ht="25.5" customFormat="1" customHeight="1" s="262">
      <c r="A35" s="316" t="n">
        <v>17</v>
      </c>
      <c r="B35" s="226" t="inlineStr">
        <is>
          <t>91.10.01-002</t>
        </is>
      </c>
      <c r="C35" s="315" t="inlineStr">
        <is>
          <t>Агрегаты наполнительно-опрессовочные: до 300 м3/ч</t>
        </is>
      </c>
      <c r="D35" s="316" t="inlineStr">
        <is>
          <t>маш.-ч</t>
        </is>
      </c>
      <c r="E35" s="402" t="n">
        <v>7.66</v>
      </c>
      <c r="F35" s="318" t="n">
        <v>287.99</v>
      </c>
      <c r="G35" s="248">
        <f>ROUND(E35*F35,2)</f>
        <v/>
      </c>
      <c r="H35" s="319">
        <f>G35/$G$62</f>
        <v/>
      </c>
      <c r="I35" s="248">
        <f>ROUND(F35*'Прил. 10'!$D$12,2)</f>
        <v/>
      </c>
      <c r="J35" s="248">
        <f>ROUND(I35*E35,2)</f>
        <v/>
      </c>
    </row>
    <row r="36" hidden="1" outlineLevel="1" ht="14.25" customFormat="1" customHeight="1" s="262">
      <c r="A36" s="316" t="n">
        <v>18</v>
      </c>
      <c r="B36" s="226" t="inlineStr">
        <is>
          <t>91.01.01-034</t>
        </is>
      </c>
      <c r="C36" s="315" t="inlineStr">
        <is>
          <t>Бульдозеры, мощность 59 кВт (80 л.с.)</t>
        </is>
      </c>
      <c r="D36" s="316" t="inlineStr">
        <is>
          <t>маш.-ч</t>
        </is>
      </c>
      <c r="E36" s="402" t="n">
        <v>33.9</v>
      </c>
      <c r="F36" s="318" t="n">
        <v>59.47</v>
      </c>
      <c r="G36" s="248">
        <f>ROUND(E36*F36,2)</f>
        <v/>
      </c>
      <c r="H36" s="319">
        <f>G36/$G$62</f>
        <v/>
      </c>
      <c r="I36" s="248">
        <f>ROUND(F36*'Прил. 10'!$D$12,2)</f>
        <v/>
      </c>
      <c r="J36" s="248">
        <f>ROUND(I36*E36,2)</f>
        <v/>
      </c>
    </row>
    <row r="37" hidden="1" outlineLevel="1" ht="38.25" customFormat="1" customHeight="1" s="262">
      <c r="A37" s="316" t="n">
        <v>19</v>
      </c>
      <c r="B37" s="226" t="inlineStr">
        <is>
          <t>91.06.05-057</t>
        </is>
      </c>
      <c r="C37" s="315" t="inlineStr">
        <is>
          <t>Погрузчики одноковшовые универсальные фронтальные пневмоколесные, грузоподъемность 3 т</t>
        </is>
      </c>
      <c r="D37" s="316" t="inlineStr">
        <is>
          <t>маш.-ч</t>
        </is>
      </c>
      <c r="E37" s="402" t="n">
        <v>20.96</v>
      </c>
      <c r="F37" s="318" t="n">
        <v>90.40000000000001</v>
      </c>
      <c r="G37" s="248">
        <f>ROUND(E37*F37,2)</f>
        <v/>
      </c>
      <c r="H37" s="319">
        <f>G37/$G$62</f>
        <v/>
      </c>
      <c r="I37" s="248">
        <f>ROUND(F37*'Прил. 10'!$D$12,2)</f>
        <v/>
      </c>
      <c r="J37" s="248">
        <f>ROUND(I37*E37,2)</f>
        <v/>
      </c>
    </row>
    <row r="38" hidden="1" outlineLevel="1" ht="25.5" customFormat="1" customHeight="1" s="262">
      <c r="A38" s="316" t="n">
        <v>20</v>
      </c>
      <c r="B38" s="226" t="inlineStr">
        <is>
          <t>91.14.02-001</t>
        </is>
      </c>
      <c r="C38" s="315" t="inlineStr">
        <is>
          <t>Автомобили бортовые, грузоподъемность до 5 т</t>
        </is>
      </c>
      <c r="D38" s="316" t="inlineStr">
        <is>
          <t>маш.-ч</t>
        </is>
      </c>
      <c r="E38" s="402" t="n">
        <v>26.5</v>
      </c>
      <c r="F38" s="318" t="n">
        <v>65.70999999999999</v>
      </c>
      <c r="G38" s="248">
        <f>ROUND(E38*F38,2)</f>
        <v/>
      </c>
      <c r="H38" s="319">
        <f>G38/$G$62</f>
        <v/>
      </c>
      <c r="I38" s="248">
        <f>ROUND(F38*'Прил. 10'!$D$12,2)</f>
        <v/>
      </c>
      <c r="J38" s="248">
        <f>ROUND(I38*E38,2)</f>
        <v/>
      </c>
    </row>
    <row r="39" hidden="1" outlineLevel="1" ht="14.25" customFormat="1" customHeight="1" s="262">
      <c r="A39" s="316" t="n">
        <v>21</v>
      </c>
      <c r="B39" s="226" t="inlineStr">
        <is>
          <t>91.01.01-036</t>
        </is>
      </c>
      <c r="C39" s="315" t="inlineStr">
        <is>
          <t>Бульдозеры, мощность 96 кВт (130 л.с.)</t>
        </is>
      </c>
      <c r="D39" s="316" t="inlineStr">
        <is>
          <t>маш.-ч</t>
        </is>
      </c>
      <c r="E39" s="402" t="n">
        <v>16.38</v>
      </c>
      <c r="F39" s="318" t="n">
        <v>94.05</v>
      </c>
      <c r="G39" s="248">
        <f>ROUND(E39*F39,2)</f>
        <v/>
      </c>
      <c r="H39" s="319">
        <f>G39/$G$62</f>
        <v/>
      </c>
      <c r="I39" s="248">
        <f>ROUND(F39*'Прил. 10'!$D$12,2)</f>
        <v/>
      </c>
      <c r="J39" s="248">
        <f>ROUND(I39*E39,2)</f>
        <v/>
      </c>
    </row>
    <row r="40" hidden="1" outlineLevel="1" ht="25.5" customFormat="1" customHeight="1" s="262">
      <c r="A40" s="316" t="n">
        <v>22</v>
      </c>
      <c r="B40" s="226" t="inlineStr">
        <is>
          <t>91.06.06-042</t>
        </is>
      </c>
      <c r="C40" s="315" t="inlineStr">
        <is>
          <t>Подъемники гидравлические высотой подъема: 10 м</t>
        </is>
      </c>
      <c r="D40" s="316" t="inlineStr">
        <is>
          <t>маш.-ч</t>
        </is>
      </c>
      <c r="E40" s="402" t="n">
        <v>51.67</v>
      </c>
      <c r="F40" s="318" t="n">
        <v>29.6</v>
      </c>
      <c r="G40" s="248">
        <f>ROUND(E40*F40,2)</f>
        <v/>
      </c>
      <c r="H40" s="319">
        <f>G40/$G$62</f>
        <v/>
      </c>
      <c r="I40" s="248">
        <f>ROUND(F40*'Прил. 10'!$D$12,2)</f>
        <v/>
      </c>
      <c r="J40" s="248">
        <f>ROUND(I40*E40,2)</f>
        <v/>
      </c>
    </row>
    <row r="41" hidden="1" outlineLevel="1" ht="25.5" customFormat="1" customHeight="1" s="262">
      <c r="A41" s="316" t="n">
        <v>23</v>
      </c>
      <c r="B41" s="226" t="inlineStr">
        <is>
          <t>91.17.04-233</t>
        </is>
      </c>
      <c r="C41" s="315" t="inlineStr">
        <is>
          <t>Установки для сварки: ручной дуговой (постоянного тока)</t>
        </is>
      </c>
      <c r="D41" s="316" t="inlineStr">
        <is>
          <t>маш.-ч</t>
        </is>
      </c>
      <c r="E41" s="402" t="n">
        <v>109.34</v>
      </c>
      <c r="F41" s="318" t="n">
        <v>8.1</v>
      </c>
      <c r="G41" s="248">
        <f>ROUND(E41*F41,2)</f>
        <v/>
      </c>
      <c r="H41" s="319">
        <f>G41/$G$62</f>
        <v/>
      </c>
      <c r="I41" s="248">
        <f>ROUND(F41*'Прил. 10'!$D$12,2)</f>
        <v/>
      </c>
      <c r="J41" s="248">
        <f>ROUND(I41*E41,2)</f>
        <v/>
      </c>
    </row>
    <row r="42" hidden="1" outlineLevel="1" ht="14.25" customFormat="1" customHeight="1" s="262">
      <c r="A42" s="316" t="n">
        <v>24</v>
      </c>
      <c r="B42" s="226" t="inlineStr">
        <is>
          <t>91.08.04-021</t>
        </is>
      </c>
      <c r="C42" s="315" t="inlineStr">
        <is>
          <t>Котлы битумные: передвижные 400 л</t>
        </is>
      </c>
      <c r="D42" s="316" t="inlineStr">
        <is>
          <t>маш.-ч</t>
        </is>
      </c>
      <c r="E42" s="402" t="n">
        <v>23.12</v>
      </c>
      <c r="F42" s="318" t="n">
        <v>30</v>
      </c>
      <c r="G42" s="248">
        <f>ROUND(E42*F42,2)</f>
        <v/>
      </c>
      <c r="H42" s="319">
        <f>G42/$G$62</f>
        <v/>
      </c>
      <c r="I42" s="248">
        <f>ROUND(F42*'Прил. 10'!$D$12,2)</f>
        <v/>
      </c>
      <c r="J42" s="248">
        <f>ROUND(I42*E42,2)</f>
        <v/>
      </c>
    </row>
    <row r="43" hidden="1" outlineLevel="1" ht="14.25" customFormat="1" customHeight="1" s="262">
      <c r="A43" s="316" t="n">
        <v>25</v>
      </c>
      <c r="B43" s="226" t="inlineStr">
        <is>
          <t>91.06.05-011</t>
        </is>
      </c>
      <c r="C43" s="315" t="inlineStr">
        <is>
          <t>Погрузчики, грузоподъемность 5 т</t>
        </is>
      </c>
      <c r="D43" s="316" t="inlineStr">
        <is>
          <t>маш.-ч</t>
        </is>
      </c>
      <c r="E43" s="402" t="n">
        <v>4.42</v>
      </c>
      <c r="F43" s="318" t="n">
        <v>89.98999999999999</v>
      </c>
      <c r="G43" s="248">
        <f>ROUND(E43*F43,2)</f>
        <v/>
      </c>
      <c r="H43" s="319">
        <f>G43/$G$62</f>
        <v/>
      </c>
      <c r="I43" s="248">
        <f>ROUND(F43*'Прил. 10'!$D$12,2)</f>
        <v/>
      </c>
      <c r="J43" s="248">
        <f>ROUND(I43*E43,2)</f>
        <v/>
      </c>
    </row>
    <row r="44" hidden="1" outlineLevel="1" ht="14.25" customFormat="1" customHeight="1" s="262">
      <c r="A44" s="316" t="n">
        <v>26</v>
      </c>
      <c r="B44" s="226" t="inlineStr">
        <is>
          <t>91.06.05-011</t>
        </is>
      </c>
      <c r="C44" s="315" t="inlineStr">
        <is>
          <t>Погрузчик, грузоподъемность 5 т</t>
        </is>
      </c>
      <c r="D44" s="316" t="inlineStr">
        <is>
          <t>маш.-ч</t>
        </is>
      </c>
      <c r="E44" s="402" t="n">
        <v>3.56</v>
      </c>
      <c r="F44" s="318" t="n">
        <v>89.98999999999999</v>
      </c>
      <c r="G44" s="248">
        <f>ROUND(E44*F44,2)</f>
        <v/>
      </c>
      <c r="H44" s="319">
        <f>G44/$G$62</f>
        <v/>
      </c>
      <c r="I44" s="248">
        <f>ROUND(F44*'Прил. 10'!$D$12,2)</f>
        <v/>
      </c>
      <c r="J44" s="248">
        <f>ROUND(I44*E44,2)</f>
        <v/>
      </c>
    </row>
    <row r="45" hidden="1" outlineLevel="1" ht="25.5" customFormat="1" customHeight="1" s="262">
      <c r="A45" s="316" t="n">
        <v>27</v>
      </c>
      <c r="B45" s="226" t="inlineStr">
        <is>
          <t>91.17.04-171</t>
        </is>
      </c>
      <c r="C45" s="315" t="inlineStr">
        <is>
          <t>Преобразователи сварочные номинальным сварочным током 315-500 А</t>
        </is>
      </c>
      <c r="D45" s="316" t="inlineStr">
        <is>
          <t>маш.-ч</t>
        </is>
      </c>
      <c r="E45" s="402" t="n">
        <v>24.4</v>
      </c>
      <c r="F45" s="318" t="n">
        <v>12.31</v>
      </c>
      <c r="G45" s="248">
        <f>ROUND(E45*F45,2)</f>
        <v/>
      </c>
      <c r="H45" s="319">
        <f>G45/$G$62</f>
        <v/>
      </c>
      <c r="I45" s="248">
        <f>ROUND(F45*'Прил. 10'!$D$12,2)</f>
        <v/>
      </c>
      <c r="J45" s="248">
        <f>ROUND(I45*E45,2)</f>
        <v/>
      </c>
    </row>
    <row r="46" hidden="1" outlineLevel="1" ht="25.5" customFormat="1" customHeight="1" s="262">
      <c r="A46" s="316" t="n">
        <v>28</v>
      </c>
      <c r="B46" s="226" t="inlineStr">
        <is>
          <t>91.08.09-023</t>
        </is>
      </c>
      <c r="C46" s="315" t="inlineStr">
        <is>
          <t>Трамбовки пневматические при работе от: передвижных компрессорных станций</t>
        </is>
      </c>
      <c r="D46" s="316" t="inlineStr">
        <is>
          <t>маш.-ч</t>
        </is>
      </c>
      <c r="E46" s="402" t="n">
        <v>467.14</v>
      </c>
      <c r="F46" s="318" t="n">
        <v>0.55</v>
      </c>
      <c r="G46" s="248">
        <f>ROUND(E46*F46,2)</f>
        <v/>
      </c>
      <c r="H46" s="319">
        <f>G46/$G$62</f>
        <v/>
      </c>
      <c r="I46" s="248">
        <f>ROUND(F46*'Прил. 10'!$D$12,2)</f>
        <v/>
      </c>
      <c r="J46" s="248">
        <f>ROUND(I46*E46,2)</f>
        <v/>
      </c>
    </row>
    <row r="47" hidden="1" outlineLevel="1" ht="38.25" customFormat="1" customHeight="1" s="262">
      <c r="A47" s="316" t="n">
        <v>29</v>
      </c>
      <c r="B47" s="226" t="inlineStr">
        <is>
          <t>91.17.04-036</t>
        </is>
      </c>
      <c r="C47" s="315" t="inlineStr">
        <is>
          <t>Агрегаты сварочные передвижные номинальным сварочным током 250-400 А: с дизельным двигателем</t>
        </is>
      </c>
      <c r="D47" s="316" t="inlineStr">
        <is>
          <t>маш.-ч</t>
        </is>
      </c>
      <c r="E47" s="402" t="n">
        <v>16.68</v>
      </c>
      <c r="F47" s="318" t="n">
        <v>14</v>
      </c>
      <c r="G47" s="248">
        <f>ROUND(E47*F47,2)</f>
        <v/>
      </c>
      <c r="H47" s="319">
        <f>G47/$G$62</f>
        <v/>
      </c>
      <c r="I47" s="248">
        <f>ROUND(F47*'Прил. 10'!$D$12,2)</f>
        <v/>
      </c>
      <c r="J47" s="248">
        <f>ROUND(I47*E47,2)</f>
        <v/>
      </c>
    </row>
    <row r="48" hidden="1" outlineLevel="1" ht="25.5" customFormat="1" customHeight="1" s="262">
      <c r="A48" s="316" t="n">
        <v>30</v>
      </c>
      <c r="B48" s="226" t="inlineStr">
        <is>
          <t>91.05.06-007</t>
        </is>
      </c>
      <c r="C48" s="315" t="inlineStr">
        <is>
          <t>Краны на гусеничном ходу, грузоподъемность 25 т</t>
        </is>
      </c>
      <c r="D48" s="316" t="inlineStr">
        <is>
          <t>маш.-ч</t>
        </is>
      </c>
      <c r="E48" s="402" t="n">
        <v>1.94</v>
      </c>
      <c r="F48" s="318" t="n">
        <v>120.04</v>
      </c>
      <c r="G48" s="248">
        <f>ROUND(E48*F48,2)</f>
        <v/>
      </c>
      <c r="H48" s="319">
        <f>G48/$G$62</f>
        <v/>
      </c>
      <c r="I48" s="248">
        <f>ROUND(F48*'Прил. 10'!$D$12,2)</f>
        <v/>
      </c>
      <c r="J48" s="248">
        <f>ROUND(I48*E48,2)</f>
        <v/>
      </c>
    </row>
    <row r="49" hidden="1" outlineLevel="1" ht="25.5" customFormat="1" customHeight="1" s="262">
      <c r="A49" s="316" t="n">
        <v>31</v>
      </c>
      <c r="B49" s="226" t="inlineStr">
        <is>
          <t>91.06.03-062</t>
        </is>
      </c>
      <c r="C49" s="315" t="inlineStr">
        <is>
          <t>Лебедки электрические тяговым усилием: до 31,39 кН (3,2 т)</t>
        </is>
      </c>
      <c r="D49" s="316" t="inlineStr">
        <is>
          <t>маш.-ч</t>
        </is>
      </c>
      <c r="E49" s="402" t="n">
        <v>17.24</v>
      </c>
      <c r="F49" s="318" t="n">
        <v>6.9</v>
      </c>
      <c r="G49" s="248">
        <f>ROUND(E49*F49,2)</f>
        <v/>
      </c>
      <c r="H49" s="319">
        <f>G49/$G$62</f>
        <v/>
      </c>
      <c r="I49" s="248">
        <f>ROUND(F49*'Прил. 10'!$D$12,2)</f>
        <v/>
      </c>
      <c r="J49" s="248">
        <f>ROUND(I49*E49,2)</f>
        <v/>
      </c>
    </row>
    <row r="50" hidden="1" outlineLevel="1" ht="14.25" customFormat="1" customHeight="1" s="262">
      <c r="A50" s="316" t="n">
        <v>32</v>
      </c>
      <c r="B50" s="226" t="inlineStr">
        <is>
          <t>91.07.04-001</t>
        </is>
      </c>
      <c r="C50" s="315" t="inlineStr">
        <is>
          <t>Вибратор глубинный</t>
        </is>
      </c>
      <c r="D50" s="316" t="inlineStr">
        <is>
          <t>маш.-ч</t>
        </is>
      </c>
      <c r="E50" s="402" t="n">
        <v>57.12</v>
      </c>
      <c r="F50" s="318" t="n">
        <v>1.9</v>
      </c>
      <c r="G50" s="248">
        <f>ROUND(E50*F50,2)</f>
        <v/>
      </c>
      <c r="H50" s="319">
        <f>G50/$G$62</f>
        <v/>
      </c>
      <c r="I50" s="248">
        <f>ROUND(F50*'Прил. 10'!$D$12,2)</f>
        <v/>
      </c>
      <c r="J50" s="248">
        <f>ROUND(I50*E50,2)</f>
        <v/>
      </c>
    </row>
    <row r="51" hidden="1" outlineLevel="1" ht="25.5" customFormat="1" customHeight="1" s="262">
      <c r="A51" s="316" t="n">
        <v>33</v>
      </c>
      <c r="B51" s="226" t="inlineStr">
        <is>
          <t>91.08.03-015</t>
        </is>
      </c>
      <c r="C51" s="315" t="inlineStr">
        <is>
          <t>Катки дорожные самоходные гладкие, масса 5 т</t>
        </is>
      </c>
      <c r="D51" s="316" t="inlineStr">
        <is>
          <t>маш.-ч</t>
        </is>
      </c>
      <c r="E51" s="402" t="n">
        <v>0.46</v>
      </c>
      <c r="F51" s="318" t="n">
        <v>176.03</v>
      </c>
      <c r="G51" s="248">
        <f>ROUND(E51*F51,2)</f>
        <v/>
      </c>
      <c r="H51" s="319">
        <f>G51/$G$62</f>
        <v/>
      </c>
      <c r="I51" s="248">
        <f>ROUND(F51*'Прил. 10'!$D$12,2)</f>
        <v/>
      </c>
      <c r="J51" s="248">
        <f>ROUND(I51*E51,2)</f>
        <v/>
      </c>
    </row>
    <row r="52" hidden="1" outlineLevel="1" ht="38.25" customFormat="1" customHeight="1" s="262">
      <c r="A52" s="316" t="n">
        <v>34</v>
      </c>
      <c r="B52" s="226" t="inlineStr">
        <is>
          <t>91.21.01-012</t>
        </is>
      </c>
      <c r="C52" s="315" t="inlineStr">
        <is>
          <t>Агрегаты окрасочные высокого давления для окраски поверхностей конструкций, мощность 1 кВт</t>
        </is>
      </c>
      <c r="D52" s="316" t="inlineStr">
        <is>
          <t>маш.-ч</t>
        </is>
      </c>
      <c r="E52" s="402" t="n">
        <v>11.04</v>
      </c>
      <c r="F52" s="318" t="n">
        <v>6.82</v>
      </c>
      <c r="G52" s="248">
        <f>ROUND(E52*F52,2)</f>
        <v/>
      </c>
      <c r="H52" s="319">
        <f>G52/$G$62</f>
        <v/>
      </c>
      <c r="I52" s="248">
        <f>ROUND(F52*'Прил. 10'!$D$12,2)</f>
        <v/>
      </c>
      <c r="J52" s="248">
        <f>ROUND(I52*E52,2)</f>
        <v/>
      </c>
    </row>
    <row r="53" hidden="1" outlineLevel="1" ht="14.25" customFormat="1" customHeight="1" s="262">
      <c r="A53" s="316" t="n">
        <v>35</v>
      </c>
      <c r="B53" s="226" t="inlineStr">
        <is>
          <t>91.08.04-024</t>
        </is>
      </c>
      <c r="C53" s="315" t="inlineStr">
        <is>
          <t>Котлы битумные: электрические 1000 л</t>
        </is>
      </c>
      <c r="D53" s="316" t="inlineStr">
        <is>
          <t>маш.-ч</t>
        </is>
      </c>
      <c r="E53" s="402" t="n">
        <v>2.14</v>
      </c>
      <c r="F53" s="318" t="n">
        <v>28.87</v>
      </c>
      <c r="G53" s="248">
        <f>ROUND(E53*F53,2)</f>
        <v/>
      </c>
      <c r="H53" s="319">
        <f>G53/$G$62</f>
        <v/>
      </c>
      <c r="I53" s="248">
        <f>ROUND(F53*'Прил. 10'!$D$12,2)</f>
        <v/>
      </c>
      <c r="J53" s="248">
        <f>ROUND(I53*E53,2)</f>
        <v/>
      </c>
    </row>
    <row r="54" hidden="1" outlineLevel="1" ht="25.5" customFormat="1" customHeight="1" s="262">
      <c r="A54" s="316" t="n">
        <v>36</v>
      </c>
      <c r="B54" s="226" t="inlineStr">
        <is>
          <t>91.06.01-003</t>
        </is>
      </c>
      <c r="C54" s="315" t="inlineStr">
        <is>
          <t>Домкраты гидравлические, грузоподъемность 63-100 т</t>
        </is>
      </c>
      <c r="D54" s="316" t="inlineStr">
        <is>
          <t>маш.-ч</t>
        </is>
      </c>
      <c r="E54" s="402" t="n">
        <v>27.08</v>
      </c>
      <c r="F54" s="318" t="n">
        <v>0.9</v>
      </c>
      <c r="G54" s="248">
        <f>ROUND(E54*F54,2)</f>
        <v/>
      </c>
      <c r="H54" s="319">
        <f>G54/$G$62</f>
        <v/>
      </c>
      <c r="I54" s="248">
        <f>ROUND(F54*'Прил. 10'!$D$12,2)</f>
        <v/>
      </c>
      <c r="J54" s="248">
        <f>ROUND(I54*E54,2)</f>
        <v/>
      </c>
    </row>
    <row r="55" hidden="1" outlineLevel="1" ht="14.25" customFormat="1" customHeight="1" s="262">
      <c r="A55" s="316" t="n">
        <v>37</v>
      </c>
      <c r="B55" s="226" t="inlineStr">
        <is>
          <t>91.17.04-042</t>
        </is>
      </c>
      <c r="C55" s="315" t="inlineStr">
        <is>
          <t>Аппарат для газовой сварки и резки</t>
        </is>
      </c>
      <c r="D55" s="316" t="inlineStr">
        <is>
          <t>маш.-ч</t>
        </is>
      </c>
      <c r="E55" s="402" t="n">
        <v>17.76</v>
      </c>
      <c r="F55" s="318" t="n">
        <v>1.2</v>
      </c>
      <c r="G55" s="248">
        <f>ROUND(E55*F55,2)</f>
        <v/>
      </c>
      <c r="H55" s="319">
        <f>G55/$G$62</f>
        <v/>
      </c>
      <c r="I55" s="248">
        <f>ROUND(F55*'Прил. 10'!$D$12,2)</f>
        <v/>
      </c>
      <c r="J55" s="248">
        <f>ROUND(I55*E55,2)</f>
        <v/>
      </c>
    </row>
    <row r="56" hidden="1" outlineLevel="1" ht="25.5" customFormat="1" customHeight="1" s="262">
      <c r="A56" s="316" t="n">
        <v>38</v>
      </c>
      <c r="B56" s="226" t="inlineStr">
        <is>
          <t>91.14.03-001</t>
        </is>
      </c>
      <c r="C56" s="315" t="inlineStr">
        <is>
          <t>Автомобиль-самосвал, грузоподъемность: до 7 т</t>
        </is>
      </c>
      <c r="D56" s="316" t="inlineStr">
        <is>
          <t>маш.-ч</t>
        </is>
      </c>
      <c r="E56" s="402" t="n">
        <v>0.16</v>
      </c>
      <c r="F56" s="318" t="n">
        <v>89.54000000000001</v>
      </c>
      <c r="G56" s="248">
        <f>ROUND(E56*F56,2)</f>
        <v/>
      </c>
      <c r="H56" s="319">
        <f>G56/$G$62</f>
        <v/>
      </c>
      <c r="I56" s="248">
        <f>ROUND(F56*'Прил. 10'!$D$12,2)</f>
        <v/>
      </c>
      <c r="J56" s="248">
        <f>ROUND(I56*E56,2)</f>
        <v/>
      </c>
    </row>
    <row r="57" hidden="1" outlineLevel="1" ht="25.5" customFormat="1" customHeight="1" s="262">
      <c r="A57" s="316" t="n">
        <v>39</v>
      </c>
      <c r="B57" s="226" t="inlineStr">
        <is>
          <t>91.14.02-002</t>
        </is>
      </c>
      <c r="C57" s="315" t="inlineStr">
        <is>
          <t>Автомобили бортовые, грузоподъемность: до 8 т</t>
        </is>
      </c>
      <c r="D57" s="316" t="inlineStr">
        <is>
          <t>маш.-ч</t>
        </is>
      </c>
      <c r="E57" s="402" t="n">
        <v>0.16</v>
      </c>
      <c r="F57" s="318" t="n">
        <v>85.84</v>
      </c>
      <c r="G57" s="248">
        <f>ROUND(E57*F57,2)</f>
        <v/>
      </c>
      <c r="H57" s="319">
        <f>G57/$G$62</f>
        <v/>
      </c>
      <c r="I57" s="248">
        <f>ROUND(F57*'Прил. 10'!$D$12,2)</f>
        <v/>
      </c>
      <c r="J57" s="248">
        <f>ROUND(I57*E57,2)</f>
        <v/>
      </c>
    </row>
    <row r="58" hidden="1" outlineLevel="1" ht="14.25" customFormat="1" customHeight="1" s="262">
      <c r="A58" s="316" t="n">
        <v>40</v>
      </c>
      <c r="B58" s="226" t="inlineStr">
        <is>
          <t>91.07.04-002</t>
        </is>
      </c>
      <c r="C58" s="315" t="inlineStr">
        <is>
          <t>Вибратор поверхностный</t>
        </is>
      </c>
      <c r="D58" s="316" t="inlineStr">
        <is>
          <t>маш.-ч</t>
        </is>
      </c>
      <c r="E58" s="402" t="n">
        <v>14.26</v>
      </c>
      <c r="F58" s="318" t="n">
        <v>0.5</v>
      </c>
      <c r="G58" s="248">
        <f>ROUND(E58*F58,2)</f>
        <v/>
      </c>
      <c r="H58" s="319">
        <f>G58/$G$62</f>
        <v/>
      </c>
      <c r="I58" s="248">
        <f>ROUND(F58*'Прил. 10'!$D$12,2)</f>
        <v/>
      </c>
      <c r="J58" s="248">
        <f>ROUND(I58*E58,2)</f>
        <v/>
      </c>
    </row>
    <row r="59" hidden="1" outlineLevel="1" ht="25.5" customFormat="1" customHeight="1" s="262">
      <c r="A59" s="316" t="n">
        <v>41</v>
      </c>
      <c r="B59" s="226" t="inlineStr">
        <is>
          <t>91.06.03-060</t>
        </is>
      </c>
      <c r="C59" s="315" t="inlineStr">
        <is>
          <t>Лебедки электрические тяговым усилием: до 5,79 кН (0,59 т)</t>
        </is>
      </c>
      <c r="D59" s="316" t="inlineStr">
        <is>
          <t>маш.-ч</t>
        </is>
      </c>
      <c r="E59" s="402" t="n">
        <v>0.1</v>
      </c>
      <c r="F59" s="318" t="n">
        <v>1.7</v>
      </c>
      <c r="G59" s="248">
        <f>ROUND(E59*F59,2)</f>
        <v/>
      </c>
      <c r="H59" s="319">
        <f>G59/$G$62</f>
        <v/>
      </c>
      <c r="I59" s="248">
        <f>ROUND(F59*'Прил. 10'!$D$12,2)</f>
        <v/>
      </c>
      <c r="J59" s="248">
        <f>ROUND(I59*E59,2)</f>
        <v/>
      </c>
    </row>
    <row r="60" collapsed="1" ht="14.25" customFormat="1" customHeight="1" s="262">
      <c r="A60" s="316" t="n"/>
      <c r="B60" s="316" t="n"/>
      <c r="C60" s="315" t="inlineStr">
        <is>
          <t>Итого прочие машины и механизмы</t>
        </is>
      </c>
      <c r="D60" s="316" t="n"/>
      <c r="E60" s="317" t="n"/>
      <c r="F60" s="248" t="n"/>
      <c r="G60" s="127">
        <f>SUM(G35:G59)</f>
        <v/>
      </c>
      <c r="H60" s="319">
        <f>G60/G62</f>
        <v/>
      </c>
      <c r="I60" s="248" t="n"/>
      <c r="J60" s="127">
        <f>SUM(J35:J59)</f>
        <v/>
      </c>
    </row>
    <row r="61" ht="25.5" customFormat="1" customHeight="1" s="262">
      <c r="A61" s="316" t="n"/>
      <c r="B61" s="316" t="n"/>
      <c r="C61" s="188" t="inlineStr">
        <is>
          <t>Итого прочие машины и механизмы 
(с коэффициентом на демонтаж 0,7)</t>
        </is>
      </c>
      <c r="D61" s="316" t="n"/>
      <c r="E61" s="317" t="n"/>
      <c r="F61" s="248" t="n"/>
      <c r="G61" s="248">
        <f>G60*0.7</f>
        <v/>
      </c>
      <c r="H61" s="319">
        <f>G61/G63</f>
        <v/>
      </c>
      <c r="I61" s="248" t="n"/>
      <c r="J61" s="248">
        <f>J60*0.7</f>
        <v/>
      </c>
    </row>
    <row r="62" ht="25.5" customFormat="1" customHeight="1" s="262">
      <c r="A62" s="316" t="n"/>
      <c r="B62" s="316" t="n"/>
      <c r="C62" s="301" t="inlineStr">
        <is>
          <t>Итого по разделу «Машины и механизмы»</t>
        </is>
      </c>
      <c r="D62" s="316" t="n"/>
      <c r="E62" s="317" t="n"/>
      <c r="F62" s="248" t="n"/>
      <c r="G62" s="248">
        <f>G60+G33</f>
        <v/>
      </c>
      <c r="H62" s="200" t="n">
        <v>1</v>
      </c>
      <c r="I62" s="201" t="n"/>
      <c r="J62" s="199">
        <f>J60+J33</f>
        <v/>
      </c>
    </row>
    <row r="63" ht="38.25" customFormat="1" customHeight="1" s="262">
      <c r="A63" s="316" t="n"/>
      <c r="B63" s="316" t="n"/>
      <c r="C63" s="196" t="inlineStr">
        <is>
          <t>Итого по разделу «Машины и механизмы»  
(с коэффициентом на демонтаж 0,7)</t>
        </is>
      </c>
      <c r="D63" s="330" t="n"/>
      <c r="E63" s="198" t="n"/>
      <c r="F63" s="199" t="n"/>
      <c r="G63" s="199">
        <f>G34+G61</f>
        <v/>
      </c>
      <c r="H63" s="200" t="n">
        <v>1</v>
      </c>
      <c r="I63" s="201" t="n"/>
      <c r="J63" s="199">
        <f>J34+J61</f>
        <v/>
      </c>
    </row>
    <row r="64" ht="14.25" customFormat="1" customHeight="1" s="262">
      <c r="A64" s="316" t="n"/>
      <c r="B64" s="301" t="inlineStr">
        <is>
          <t>Оборудование</t>
        </is>
      </c>
      <c r="C64" s="390" t="n"/>
      <c r="D64" s="390" t="n"/>
      <c r="E64" s="390" t="n"/>
      <c r="F64" s="390" t="n"/>
      <c r="G64" s="390" t="n"/>
      <c r="H64" s="391" t="n"/>
      <c r="I64" s="179" t="n"/>
      <c r="J64" s="179" t="n"/>
    </row>
    <row r="65">
      <c r="A65" s="316" t="n"/>
      <c r="B65" s="315" t="inlineStr">
        <is>
          <t>Основное оборудование</t>
        </is>
      </c>
      <c r="C65" s="390" t="n"/>
      <c r="D65" s="390" t="n"/>
      <c r="E65" s="390" t="n"/>
      <c r="F65" s="390" t="n"/>
      <c r="G65" s="390" t="n"/>
      <c r="H65" s="391" t="n"/>
      <c r="I65" s="179" t="n"/>
      <c r="J65" s="179" t="n"/>
    </row>
    <row r="66">
      <c r="A66" s="316" t="n"/>
      <c r="B66" s="169" t="n"/>
      <c r="C66" s="170" t="inlineStr">
        <is>
          <t>Итого основное оборудование</t>
        </is>
      </c>
      <c r="D66" s="316" t="n"/>
      <c r="E66" s="402" t="n"/>
      <c r="F66" s="318" t="n"/>
      <c r="G66" s="248" t="n">
        <v>0</v>
      </c>
      <c r="H66" s="320" t="n">
        <v>0</v>
      </c>
      <c r="I66" s="127" t="n"/>
      <c r="J66" s="248" t="n">
        <v>0</v>
      </c>
    </row>
    <row r="67">
      <c r="A67" s="316" t="n"/>
      <c r="B67" s="316" t="n"/>
      <c r="C67" s="315" t="inlineStr">
        <is>
          <t>Итого прочее оборудование</t>
        </is>
      </c>
      <c r="D67" s="316" t="n"/>
      <c r="E67" s="402" t="n"/>
      <c r="F67" s="318" t="n"/>
      <c r="G67" s="248" t="n">
        <v>0</v>
      </c>
      <c r="H67" s="319" t="n">
        <v>0</v>
      </c>
      <c r="I67" s="127" t="n"/>
      <c r="J67" s="248" t="n">
        <v>0</v>
      </c>
    </row>
    <row r="68">
      <c r="A68" s="316" t="n"/>
      <c r="B68" s="316" t="n"/>
      <c r="C68" s="301" t="inlineStr">
        <is>
          <t>Итого по разделу «Оборудование»</t>
        </is>
      </c>
      <c r="D68" s="316" t="n"/>
      <c r="E68" s="317" t="n"/>
      <c r="F68" s="318" t="n"/>
      <c r="G68" s="248">
        <f>G67+G66</f>
        <v/>
      </c>
      <c r="H68" s="320">
        <f>H67+H66</f>
        <v/>
      </c>
      <c r="I68" s="127" t="n"/>
      <c r="J68" s="248">
        <f>J67+J66</f>
        <v/>
      </c>
    </row>
    <row r="69" ht="25.5" customHeight="1" s="265">
      <c r="A69" s="316" t="n"/>
      <c r="B69" s="316" t="n"/>
      <c r="C69" s="315" t="inlineStr">
        <is>
          <t>в том числе технологическое оборудование</t>
        </is>
      </c>
      <c r="D69" s="316" t="n"/>
      <c r="E69" s="403" t="n"/>
      <c r="F69" s="318" t="n"/>
      <c r="G69" s="248" t="n">
        <v>0</v>
      </c>
      <c r="H69" s="320" t="n"/>
      <c r="I69" s="127" t="n"/>
      <c r="J69" s="248">
        <f>J68</f>
        <v/>
      </c>
    </row>
    <row r="70" ht="14.25" customFormat="1" customHeight="1" s="262">
      <c r="A70" s="316" t="n"/>
      <c r="B70" s="301" t="inlineStr">
        <is>
          <t>Материалы</t>
        </is>
      </c>
      <c r="C70" s="390" t="n"/>
      <c r="D70" s="390" t="n"/>
      <c r="E70" s="390" t="n"/>
      <c r="F70" s="390" t="n"/>
      <c r="G70" s="390" t="n"/>
      <c r="H70" s="391" t="n"/>
      <c r="I70" s="203" t="n"/>
      <c r="J70" s="203" t="n"/>
    </row>
    <row r="71" ht="14.25" customFormat="1" customHeight="1" s="262">
      <c r="A71" s="316" t="n"/>
      <c r="B71" s="315" t="inlineStr">
        <is>
          <t>Основные материалы</t>
        </is>
      </c>
      <c r="C71" s="390" t="n"/>
      <c r="D71" s="390" t="n"/>
      <c r="E71" s="390" t="n"/>
      <c r="F71" s="390" t="n"/>
      <c r="G71" s="390" t="n"/>
      <c r="H71" s="391" t="n"/>
      <c r="I71" s="203" t="n"/>
      <c r="J71" s="203" t="n"/>
    </row>
    <row r="72" ht="14.25" customFormat="1" customHeight="1" s="262">
      <c r="A72" s="316" t="n"/>
      <c r="B72" s="226" t="n"/>
      <c r="C72" s="315" t="inlineStr">
        <is>
          <t>Итого основные материалы</t>
        </is>
      </c>
      <c r="D72" s="316" t="n"/>
      <c r="E72" s="402" t="n"/>
      <c r="F72" s="248" t="n"/>
      <c r="G72" s="248" t="n">
        <v>0</v>
      </c>
      <c r="H72" s="319" t="n">
        <v>0</v>
      </c>
      <c r="I72" s="248" t="n"/>
      <c r="J72" s="248" t="n">
        <v>0</v>
      </c>
    </row>
    <row r="73" ht="14.25" customFormat="1" customHeight="1" s="262">
      <c r="A73" s="316" t="n"/>
      <c r="B73" s="316" t="n"/>
      <c r="C73" s="315" t="inlineStr">
        <is>
          <t>Итого прочие материалы</t>
        </is>
      </c>
      <c r="D73" s="316" t="n"/>
      <c r="E73" s="317" t="n"/>
      <c r="F73" s="318" t="n"/>
      <c r="G73" s="248" t="n">
        <v>0</v>
      </c>
      <c r="H73" s="319" t="n">
        <v>0</v>
      </c>
      <c r="I73" s="248" t="n"/>
      <c r="J73" s="248" t="n">
        <v>0</v>
      </c>
    </row>
    <row r="74" ht="14.25" customFormat="1" customHeight="1" s="262">
      <c r="A74" s="316" t="n"/>
      <c r="B74" s="316" t="n"/>
      <c r="C74" s="301" t="inlineStr">
        <is>
          <t>Итого по разделу «Материалы»</t>
        </is>
      </c>
      <c r="D74" s="316" t="n"/>
      <c r="E74" s="317" t="n"/>
      <c r="F74" s="318" t="n"/>
      <c r="G74" s="248">
        <f>G72+G73</f>
        <v/>
      </c>
      <c r="H74" s="319" t="n">
        <v>0</v>
      </c>
      <c r="I74" s="248" t="n"/>
      <c r="J74" s="248">
        <f>J72+J73</f>
        <v/>
      </c>
    </row>
    <row r="75" ht="14.25" customFormat="1" customHeight="1" s="262">
      <c r="A75" s="316" t="n"/>
      <c r="B75" s="316" t="n"/>
      <c r="C75" s="315" t="inlineStr">
        <is>
          <t>ИТОГО ПО РМ</t>
        </is>
      </c>
      <c r="D75" s="316" t="n"/>
      <c r="E75" s="317" t="n"/>
      <c r="F75" s="318" t="n"/>
      <c r="G75" s="248">
        <f>G14+G62</f>
        <v/>
      </c>
      <c r="H75" s="319" t="n"/>
      <c r="I75" s="248" t="n"/>
      <c r="J75" s="248">
        <f>J14+J62+J74</f>
        <v/>
      </c>
    </row>
    <row r="76" ht="25.5" customFormat="1" customHeight="1" s="262">
      <c r="A76" s="316" t="n"/>
      <c r="B76" s="316" t="n"/>
      <c r="C76" s="315" t="inlineStr">
        <is>
          <t>ИТОГО ПО РМ
(с коэффициентом на демонтаж 0,7)</t>
        </is>
      </c>
      <c r="D76" s="316" t="n"/>
      <c r="E76" s="317" t="n"/>
      <c r="F76" s="318" t="n"/>
      <c r="G76" s="248">
        <f>G15+G63</f>
        <v/>
      </c>
      <c r="H76" s="319" t="n"/>
      <c r="I76" s="248" t="n"/>
      <c r="J76" s="248">
        <f>J14*0.7+J62*0.7+J74</f>
        <v/>
      </c>
    </row>
    <row r="77" ht="14.25" customFormat="1" customHeight="1" s="262">
      <c r="A77" s="316" t="n"/>
      <c r="B77" s="316" t="n"/>
      <c r="C77" s="315" t="inlineStr">
        <is>
          <t>Накладные расходы</t>
        </is>
      </c>
      <c r="D77" s="133">
        <f>ROUND(G77/(G$17+$G$14),2)</f>
        <v/>
      </c>
      <c r="E77" s="317" t="n"/>
      <c r="F77" s="318" t="n"/>
      <c r="G77" s="248" t="n">
        <v>92884</v>
      </c>
      <c r="H77" s="320" t="n"/>
      <c r="I77" s="248" t="n"/>
      <c r="J77" s="248">
        <f>ROUND(D77*(J14+J17),2)</f>
        <v/>
      </c>
    </row>
    <row r="78" ht="25.5" customFormat="1" customHeight="1" s="262">
      <c r="A78" s="316" t="n"/>
      <c r="B78" s="316" t="n"/>
      <c r="C78" s="315" t="inlineStr">
        <is>
          <t>Накладные расходы 
(с коэффициентом на демонтаж 0,7)</t>
        </is>
      </c>
      <c r="D78" s="202">
        <f>ROUND(G78/(G$18+$G$15),2)</f>
        <v/>
      </c>
      <c r="E78" s="317" t="n"/>
      <c r="F78" s="318" t="n"/>
      <c r="G78" s="248">
        <f>G77*0.7</f>
        <v/>
      </c>
      <c r="H78" s="320" t="n"/>
      <c r="I78" s="248" t="n"/>
      <c r="J78" s="248">
        <f>ROUND(D78*(J15+J18),2)</f>
        <v/>
      </c>
    </row>
    <row r="79" ht="14.25" customFormat="1" customHeight="1" s="262">
      <c r="A79" s="316" t="n"/>
      <c r="B79" s="316" t="n"/>
      <c r="C79" s="315" t="inlineStr">
        <is>
          <t>Сметная прибыль</t>
        </is>
      </c>
      <c r="D79" s="133">
        <f>ROUND(G79/(G$14+G$17),2)</f>
        <v/>
      </c>
      <c r="E79" s="317" t="n"/>
      <c r="F79" s="318" t="n"/>
      <c r="G79" s="248" t="n">
        <v>61196</v>
      </c>
      <c r="H79" s="320" t="n"/>
      <c r="I79" s="248" t="n"/>
      <c r="J79" s="248">
        <f>ROUND(D79*(J14+J17),2)</f>
        <v/>
      </c>
    </row>
    <row r="80" ht="25.5" customFormat="1" customHeight="1" s="262">
      <c r="A80" s="316" t="n"/>
      <c r="B80" s="316" t="n"/>
      <c r="C80" s="315" t="inlineStr">
        <is>
          <t>Сметная прибыль 
(с коэффициентом на демонтаж 0,7)</t>
        </is>
      </c>
      <c r="D80" s="202">
        <f>ROUND(G80/(G$15+G$18),2)</f>
        <v/>
      </c>
      <c r="E80" s="317" t="n"/>
      <c r="F80" s="318" t="n"/>
      <c r="G80" s="248">
        <f>G79*0.7</f>
        <v/>
      </c>
      <c r="H80" s="320" t="n"/>
      <c r="I80" s="248" t="n"/>
      <c r="J80" s="248">
        <f>ROUND(D80*(J15+J18),2)</f>
        <v/>
      </c>
    </row>
    <row r="81" ht="24.75" customFormat="1" customHeight="1" s="262">
      <c r="A81" s="316" t="n"/>
      <c r="B81" s="316" t="n"/>
      <c r="C81" s="315" t="inlineStr">
        <is>
          <t>Итого СМР (с НР и СП) 
(с коэффициентом на демонтаж 0,7)</t>
        </is>
      </c>
      <c r="D81" s="316" t="n"/>
      <c r="E81" s="317" t="n"/>
      <c r="F81" s="318" t="n"/>
      <c r="G81" s="248">
        <f>ROUND((G76+G78+G80),2)</f>
        <v/>
      </c>
      <c r="H81" s="320" t="n"/>
      <c r="I81" s="248" t="n"/>
      <c r="J81" s="248">
        <f>ROUND((J76+J78+J80),2)</f>
        <v/>
      </c>
    </row>
    <row r="82" ht="25.5" customFormat="1" customHeight="1" s="262">
      <c r="A82" s="316" t="n"/>
      <c r="B82" s="316" t="n"/>
      <c r="C82" s="315" t="inlineStr">
        <is>
          <t>ВСЕГО СМР + ОБОРУДОВАНИЕ 
(с коэффициентом на демонтаж 0,7)</t>
        </is>
      </c>
      <c r="D82" s="316" t="n"/>
      <c r="E82" s="317" t="n"/>
      <c r="F82" s="318" t="n"/>
      <c r="G82" s="248">
        <f>G81</f>
        <v/>
      </c>
      <c r="H82" s="320" t="n"/>
      <c r="I82" s="248" t="n"/>
      <c r="J82" s="248">
        <f>J81</f>
        <v/>
      </c>
    </row>
    <row r="83" ht="18.75" customFormat="1" customHeight="1" s="262">
      <c r="A83" s="316" t="n"/>
      <c r="B83" s="316" t="n"/>
      <c r="C83" s="315" t="inlineStr">
        <is>
          <t>ИТОГО ПОКАЗАТЕЛЬ НА ЕД. ИЗМ.</t>
        </is>
      </c>
      <c r="D83" s="316" t="inlineStr">
        <is>
          <t>ед</t>
        </is>
      </c>
      <c r="E83" s="317" t="n">
        <v>2</v>
      </c>
      <c r="F83" s="318" t="n"/>
      <c r="G83" s="248">
        <f>G82/E83</f>
        <v/>
      </c>
      <c r="H83" s="320" t="n"/>
      <c r="I83" s="248" t="n"/>
      <c r="J83" s="199">
        <f>J82/E83</f>
        <v/>
      </c>
    </row>
    <row r="85" ht="14.25" customFormat="1" customHeight="1" s="262">
      <c r="A85" s="264" t="inlineStr">
        <is>
          <t>Составил ______________________     Е. М. Добровольская</t>
        </is>
      </c>
    </row>
    <row r="86" ht="14.25" customFormat="1" customHeight="1" s="262">
      <c r="A86" s="261" t="inlineStr">
        <is>
          <t xml:space="preserve">                         (подпись, инициалы, фамилия)</t>
        </is>
      </c>
    </row>
    <row r="87" ht="14.25" customFormat="1" customHeight="1" s="262">
      <c r="A87" s="264" t="n"/>
    </row>
    <row r="88" ht="14.25" customFormat="1" customHeight="1" s="262">
      <c r="A88" s="264" t="inlineStr">
        <is>
          <t>Проверил ______________________        А.В. Костянецкая</t>
        </is>
      </c>
    </row>
    <row r="89" ht="14.25" customFormat="1" customHeight="1" s="262">
      <c r="A89" s="261" t="inlineStr">
        <is>
          <t xml:space="preserve">                        (подпись, инициалы, фамилия)</t>
        </is>
      </c>
    </row>
  </sheetData>
  <mergeCells count="21">
    <mergeCell ref="H9:H10"/>
    <mergeCell ref="B65:H65"/>
    <mergeCell ref="A4:J4"/>
    <mergeCell ref="B64:H64"/>
    <mergeCell ref="H2:J2"/>
    <mergeCell ref="B20:H20"/>
    <mergeCell ref="C9:C10"/>
    <mergeCell ref="E9:E10"/>
    <mergeCell ref="A7:H7"/>
    <mergeCell ref="B16:H16"/>
    <mergeCell ref="B9:B10"/>
    <mergeCell ref="D9:D10"/>
    <mergeCell ref="B71:H71"/>
    <mergeCell ref="B12:H12"/>
    <mergeCell ref="D6:J6"/>
    <mergeCell ref="B70:H70"/>
    <mergeCell ref="A8:H8"/>
    <mergeCell ref="F9:G9"/>
    <mergeCell ref="A9:A10"/>
    <mergeCell ref="B19:H19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77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topLeftCell="A7" workbookViewId="0">
      <selection activeCell="E16" sqref="E16"/>
    </sheetView>
  </sheetViews>
  <sheetFormatPr baseColWidth="8" defaultRowHeight="15"/>
  <cols>
    <col width="5.7109375" customWidth="1" style="265" min="1" max="1"/>
    <col width="17.5703125" customWidth="1" style="265" min="2" max="2"/>
    <col width="39.140625" customWidth="1" style="265" min="3" max="3"/>
    <col width="10.7109375" customWidth="1" style="337" min="4" max="4"/>
    <col width="13.85546875" customWidth="1" style="265" min="5" max="5"/>
    <col width="13.28515625" customWidth="1" style="265" min="6" max="6"/>
    <col width="14.140625" customWidth="1" style="265" min="7" max="7"/>
  </cols>
  <sheetData>
    <row r="1">
      <c r="A1" s="331" t="inlineStr">
        <is>
          <t>Приложение №6</t>
        </is>
      </c>
    </row>
    <row r="2" ht="21.75" customHeight="1" s="265">
      <c r="A2" s="331" t="n"/>
      <c r="B2" s="331" t="n"/>
      <c r="C2" s="331" t="n"/>
      <c r="D2" s="339" t="n"/>
      <c r="E2" s="331" t="n"/>
      <c r="F2" s="331" t="n"/>
      <c r="G2" s="331" t="n"/>
    </row>
    <row r="3">
      <c r="A3" s="283" t="inlineStr">
        <is>
          <t>Расчет стоимости оборудования</t>
        </is>
      </c>
    </row>
    <row r="4" ht="25.5" customHeight="1" s="265">
      <c r="A4" s="286" t="inlineStr">
        <is>
          <t>Наименование разрабатываемого показателя УНЦ — Демонтаж БСК 110-750кВ</t>
        </is>
      </c>
    </row>
    <row r="5">
      <c r="A5" s="264" t="n"/>
      <c r="B5" s="264" t="n"/>
      <c r="C5" s="264" t="n"/>
      <c r="D5" s="339" t="n"/>
      <c r="E5" s="264" t="n"/>
      <c r="F5" s="264" t="n"/>
      <c r="G5" s="264" t="n"/>
    </row>
    <row r="6" ht="30" customHeight="1" s="265">
      <c r="A6" s="336" t="inlineStr">
        <is>
          <t>№ пп.</t>
        </is>
      </c>
      <c r="B6" s="336" t="inlineStr">
        <is>
          <t>Код ресурса</t>
        </is>
      </c>
      <c r="C6" s="336" t="inlineStr">
        <is>
          <t>Наименование</t>
        </is>
      </c>
      <c r="D6" s="336" t="inlineStr">
        <is>
          <t>Ед. изм.</t>
        </is>
      </c>
      <c r="E6" s="316" t="inlineStr">
        <is>
          <t>Кол-во единиц по проектным данным</t>
        </is>
      </c>
      <c r="F6" s="336" t="inlineStr">
        <is>
          <t>Сметная стоимость в ценах на 01.01.2000 (руб.)</t>
        </is>
      </c>
      <c r="G6" s="391" t="n"/>
    </row>
    <row r="7">
      <c r="A7" s="393" t="n"/>
      <c r="B7" s="393" t="n"/>
      <c r="C7" s="393" t="n"/>
      <c r="D7" s="393" t="n"/>
      <c r="E7" s="393" t="n"/>
      <c r="F7" s="316" t="inlineStr">
        <is>
          <t>на ед. изм.</t>
        </is>
      </c>
      <c r="G7" s="316" t="inlineStr">
        <is>
          <t>общая</t>
        </is>
      </c>
    </row>
    <row r="8">
      <c r="A8" s="316" t="n">
        <v>1</v>
      </c>
      <c r="B8" s="316" t="n">
        <v>2</v>
      </c>
      <c r="C8" s="316" t="n">
        <v>3</v>
      </c>
      <c r="D8" s="316" t="n">
        <v>4</v>
      </c>
      <c r="E8" s="316" t="n">
        <v>5</v>
      </c>
      <c r="F8" s="316" t="n">
        <v>6</v>
      </c>
      <c r="G8" s="316" t="n">
        <v>7</v>
      </c>
    </row>
    <row r="9" ht="15" customHeight="1" s="265">
      <c r="A9" s="24" t="n"/>
      <c r="B9" s="315" t="inlineStr">
        <is>
          <t>ИНЖЕНЕРНОЕ ОБОРУДОВАНИЕ</t>
        </is>
      </c>
      <c r="C9" s="390" t="n"/>
      <c r="D9" s="390" t="n"/>
      <c r="E9" s="390" t="n"/>
      <c r="F9" s="390" t="n"/>
      <c r="G9" s="391" t="n"/>
    </row>
    <row r="10" ht="27" customHeight="1" s="265">
      <c r="A10" s="316" t="n"/>
      <c r="B10" s="301" t="n"/>
      <c r="C10" s="315" t="inlineStr">
        <is>
          <t>ИТОГО ИНЖЕНЕРНОЕ ОБОРУДОВАНИЕ</t>
        </is>
      </c>
      <c r="D10" s="321" t="n"/>
      <c r="E10" s="103" t="n"/>
      <c r="F10" s="318" t="n"/>
      <c r="G10" s="318" t="n">
        <v>0</v>
      </c>
    </row>
    <row r="11">
      <c r="A11" s="316" t="n"/>
      <c r="B11" s="315" t="inlineStr">
        <is>
          <t>ТЕХНОЛОГИЧЕСКОЕ ОБОРУДОВАНИЕ</t>
        </is>
      </c>
      <c r="C11" s="390" t="n"/>
      <c r="D11" s="390" t="n"/>
      <c r="E11" s="390" t="n"/>
      <c r="F11" s="390" t="n"/>
      <c r="G11" s="391" t="n"/>
    </row>
    <row r="12" ht="25.5" customHeight="1" s="265">
      <c r="A12" s="316" t="n"/>
      <c r="B12" s="315" t="n"/>
      <c r="C12" s="315" t="inlineStr">
        <is>
          <t>ИТОГО ТЕХНОЛОГИЧЕСКОЕ ОБОРУДОВАНИЕ</t>
        </is>
      </c>
      <c r="D12" s="316" t="n"/>
      <c r="E12" s="335" t="n"/>
      <c r="F12" s="318" t="n"/>
      <c r="G12" s="248" t="n">
        <v>0</v>
      </c>
    </row>
    <row r="13" ht="19.5" customHeight="1" s="265">
      <c r="A13" s="316" t="n"/>
      <c r="B13" s="315" t="n"/>
      <c r="C13" s="315" t="inlineStr">
        <is>
          <t>Всего по разделу «Оборудование»</t>
        </is>
      </c>
      <c r="D13" s="316" t="n"/>
      <c r="E13" s="335" t="n"/>
      <c r="F13" s="318" t="n"/>
      <c r="G13" s="248">
        <f>G10+G12</f>
        <v/>
      </c>
    </row>
    <row r="14">
      <c r="A14" s="263" t="n"/>
      <c r="B14" s="259" t="n"/>
      <c r="C14" s="263" t="n"/>
      <c r="D14" s="167" t="n"/>
      <c r="E14" s="263" t="n"/>
      <c r="F14" s="263" t="n"/>
      <c r="G14" s="263" t="n"/>
    </row>
    <row r="15">
      <c r="A15" s="264" t="inlineStr">
        <is>
          <t>Составил ______________________    Е. М. Добровольская</t>
        </is>
      </c>
      <c r="B15" s="262" t="n"/>
      <c r="C15" s="262" t="n"/>
      <c r="D15" s="167" t="n"/>
      <c r="E15" s="263" t="n"/>
      <c r="F15" s="263" t="n"/>
      <c r="G15" s="263" t="n"/>
    </row>
    <row r="16">
      <c r="A16" s="261" t="inlineStr">
        <is>
          <t xml:space="preserve">                         (подпись, инициалы, фамилия)</t>
        </is>
      </c>
      <c r="B16" s="262" t="n"/>
      <c r="C16" s="262" t="n"/>
      <c r="D16" s="167" t="n"/>
      <c r="E16" s="263" t="n"/>
      <c r="F16" s="263" t="n"/>
      <c r="G16" s="263" t="n"/>
    </row>
    <row r="17">
      <c r="A17" s="264" t="n"/>
      <c r="B17" s="262" t="n"/>
      <c r="C17" s="262" t="n"/>
      <c r="D17" s="167" t="n"/>
      <c r="E17" s="263" t="n"/>
      <c r="F17" s="263" t="n"/>
      <c r="G17" s="263" t="n"/>
    </row>
    <row r="18">
      <c r="A18" s="264" t="inlineStr">
        <is>
          <t>Проверил ______________________        А.В. Костянецкая</t>
        </is>
      </c>
      <c r="B18" s="262" t="n"/>
      <c r="C18" s="262" t="n"/>
      <c r="D18" s="167" t="n"/>
      <c r="E18" s="263" t="n"/>
      <c r="F18" s="263" t="n"/>
      <c r="G18" s="263" t="n"/>
    </row>
    <row r="19">
      <c r="A19" s="261" t="inlineStr">
        <is>
          <t xml:space="preserve">                        (подпись, инициалы, фамилия)</t>
        </is>
      </c>
      <c r="B19" s="262" t="n"/>
      <c r="C19" s="262" t="n"/>
      <c r="D19" s="167" t="n"/>
      <c r="E19" s="263" t="n"/>
      <c r="F19" s="263" t="n"/>
      <c r="G19" s="263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topLeftCell="A2" workbookViewId="0">
      <selection activeCell="C13" sqref="C13"/>
    </sheetView>
  </sheetViews>
  <sheetFormatPr baseColWidth="8" defaultColWidth="8.85546875" defaultRowHeight="15"/>
  <cols>
    <col width="14.42578125" customWidth="1" style="265" min="1" max="1"/>
    <col width="29.7109375" customWidth="1" style="265" min="2" max="2"/>
    <col width="38.140625" customWidth="1" style="265" min="3" max="3"/>
    <col width="34.42578125" customWidth="1" style="265" min="4" max="4"/>
  </cols>
  <sheetData>
    <row r="1">
      <c r="B1" s="264" t="n"/>
      <c r="C1" s="264" t="n"/>
      <c r="D1" s="331" t="inlineStr">
        <is>
          <t>Приложение №7</t>
        </is>
      </c>
    </row>
    <row r="2">
      <c r="A2" s="331" t="n"/>
      <c r="B2" s="331" t="n"/>
      <c r="C2" s="331" t="n"/>
      <c r="D2" s="331" t="n"/>
    </row>
    <row r="3" ht="24.75" customHeight="1" s="265">
      <c r="A3" s="283" t="inlineStr">
        <is>
          <t>Расчет показателя УНЦ</t>
        </is>
      </c>
    </row>
    <row r="4" ht="24.75" customHeight="1" s="265">
      <c r="A4" s="283" t="n"/>
      <c r="B4" s="283" t="n"/>
      <c r="C4" s="283" t="n"/>
      <c r="D4" s="283" t="n"/>
    </row>
    <row r="5" ht="49.5" customHeight="1" s="265">
      <c r="A5" s="286" t="inlineStr">
        <is>
          <t xml:space="preserve">Наименование разрабатываемого показателя УНЦ - </t>
        </is>
      </c>
      <c r="D5" s="286">
        <f>'Прил.5 Расчет СМР и ОБ'!D6:J6</f>
        <v/>
      </c>
    </row>
    <row r="6" ht="19.9" customHeight="1" s="265">
      <c r="A6" s="286" t="inlineStr">
        <is>
          <t>Единица измерения  — 1 ячейка</t>
        </is>
      </c>
      <c r="D6" s="286" t="n"/>
    </row>
    <row r="7">
      <c r="A7" s="264" t="n"/>
      <c r="B7" s="264" t="n"/>
      <c r="C7" s="264" t="n"/>
      <c r="D7" s="264" t="n"/>
    </row>
    <row r="8" ht="14.45" customHeight="1" s="265">
      <c r="A8" s="296" t="inlineStr">
        <is>
          <t>Код показателя</t>
        </is>
      </c>
      <c r="B8" s="296" t="inlineStr">
        <is>
          <t>Наименование показателя</t>
        </is>
      </c>
      <c r="C8" s="296" t="inlineStr">
        <is>
          <t>Наименование РМ, входящих в состав показателя</t>
        </is>
      </c>
      <c r="D8" s="296" t="inlineStr">
        <is>
          <t>Норматив цены на 01.01.2023, тыс.руб.</t>
        </is>
      </c>
    </row>
    <row r="9" ht="15" customHeight="1" s="265">
      <c r="A9" s="393" t="n"/>
      <c r="B9" s="393" t="n"/>
      <c r="C9" s="393" t="n"/>
      <c r="D9" s="393" t="n"/>
    </row>
    <row r="10">
      <c r="A10" s="316" t="n">
        <v>1</v>
      </c>
      <c r="B10" s="316" t="n">
        <v>2</v>
      </c>
      <c r="C10" s="316" t="n">
        <v>3</v>
      </c>
      <c r="D10" s="316" t="n">
        <v>4</v>
      </c>
    </row>
    <row r="11" ht="41.45" customHeight="1" s="265">
      <c r="A11" s="316" t="inlineStr">
        <is>
          <t>М6-06-6</t>
        </is>
      </c>
      <c r="B11" s="316" t="inlineStr">
        <is>
          <t>УНЦ на демонтажные работы ПС</t>
        </is>
      </c>
      <c r="C11" s="255" t="inlineStr">
        <is>
          <t>Демонтаж БСК 110-750кВ</t>
        </is>
      </c>
      <c r="D11" s="256">
        <f>'Прил.4 РМ'!C41/1000</f>
        <v/>
      </c>
      <c r="E11" s="257" t="n"/>
    </row>
    <row r="12">
      <c r="A12" s="263" t="n"/>
      <c r="B12" s="259" t="n"/>
      <c r="C12" s="263" t="n"/>
      <c r="D12" s="263" t="n"/>
    </row>
    <row r="13">
      <c r="A13" s="264" t="inlineStr">
        <is>
          <t>Составил ______________________      Е. М. Добровольская</t>
        </is>
      </c>
      <c r="B13" s="262" t="n"/>
      <c r="C13" s="262" t="n"/>
      <c r="D13" s="263" t="n"/>
    </row>
    <row r="14">
      <c r="A14" s="261" t="inlineStr">
        <is>
          <t xml:space="preserve">                         (подпись, инициалы, фамилия)</t>
        </is>
      </c>
      <c r="B14" s="262" t="n"/>
      <c r="C14" s="262" t="n"/>
      <c r="D14" s="263" t="n"/>
    </row>
    <row r="15">
      <c r="A15" s="264" t="n"/>
      <c r="B15" s="262" t="n"/>
      <c r="C15" s="262" t="n"/>
      <c r="D15" s="263" t="n"/>
    </row>
    <row r="16">
      <c r="A16" s="264" t="inlineStr">
        <is>
          <t>Проверил ______________________        А.В. Костянецкая</t>
        </is>
      </c>
      <c r="B16" s="262" t="n"/>
      <c r="C16" s="262" t="n"/>
      <c r="D16" s="263" t="n"/>
    </row>
    <row r="17">
      <c r="A17" s="261" t="inlineStr">
        <is>
          <t xml:space="preserve">                        (подпись, инициалы, фамилия)</t>
        </is>
      </c>
      <c r="B17" s="262" t="n"/>
      <c r="C17" s="262" t="n"/>
      <c r="D17" s="263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75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zoomScale="60" zoomScaleNormal="85" workbookViewId="0">
      <selection activeCell="D23" sqref="D23"/>
    </sheetView>
  </sheetViews>
  <sheetFormatPr baseColWidth="8" defaultColWidth="9.140625" defaultRowHeight="15"/>
  <cols>
    <col width="40.7109375" customWidth="1" style="265" min="2" max="2"/>
    <col width="37" customWidth="1" style="265" min="3" max="3"/>
    <col width="32" customWidth="1" style="265" min="4" max="4"/>
  </cols>
  <sheetData>
    <row r="4" ht="15.75" customHeight="1" s="265">
      <c r="B4" s="290" t="inlineStr">
        <is>
          <t>Приложение № 10</t>
        </is>
      </c>
    </row>
    <row r="5" ht="18.75" customHeight="1" s="265">
      <c r="B5" s="118" t="n"/>
    </row>
    <row r="6" ht="15.75" customHeight="1" s="265">
      <c r="B6" s="291" t="inlineStr">
        <is>
          <t>Используемые индексы изменений сметной стоимости и нормы сопутствующих затрат</t>
        </is>
      </c>
    </row>
    <row r="7">
      <c r="B7" s="337" t="n"/>
    </row>
    <row r="8">
      <c r="B8" s="337" t="n"/>
      <c r="C8" s="337" t="n"/>
      <c r="D8" s="337" t="n"/>
      <c r="E8" s="337" t="n"/>
    </row>
    <row r="9" ht="47.25" customHeight="1" s="265">
      <c r="B9" s="296" t="inlineStr">
        <is>
          <t>Наименование индекса / норм сопутствующих затрат</t>
        </is>
      </c>
      <c r="C9" s="296" t="inlineStr">
        <is>
          <t>Дата применения и обоснование индекса / норм сопутствующих затрат</t>
        </is>
      </c>
      <c r="D9" s="296" t="inlineStr">
        <is>
          <t>Размер индекса / норма сопутствующих затрат</t>
        </is>
      </c>
    </row>
    <row r="10" ht="15.75" customHeight="1" s="265">
      <c r="B10" s="296" t="n">
        <v>1</v>
      </c>
      <c r="C10" s="296" t="n">
        <v>2</v>
      </c>
      <c r="D10" s="296" t="n">
        <v>3</v>
      </c>
    </row>
    <row r="11" ht="45" customHeight="1" s="265">
      <c r="B11" s="296" t="inlineStr">
        <is>
          <t xml:space="preserve">Индекс изменения сметной стоимости на 1 квартал 2023 года. ОЗП </t>
        </is>
      </c>
      <c r="C11" s="296" t="inlineStr">
        <is>
          <t>Письмо Минстроя России от 30.03.2023г. №17106-ИФ/09  прил.1</t>
        </is>
      </c>
      <c r="D11" s="296" t="n">
        <v>44.29</v>
      </c>
    </row>
    <row r="12" ht="29.25" customHeight="1" s="265">
      <c r="B12" s="296" t="inlineStr">
        <is>
          <t>Индекс изменения сметной стоимости на 1 квартал 2023 года. ЭМ</t>
        </is>
      </c>
      <c r="C12" s="296" t="inlineStr">
        <is>
          <t>Письмо Минстроя России от 30.03.2023г. №17106-ИФ/09  прил.1</t>
        </is>
      </c>
      <c r="D12" s="296" t="n">
        <v>13.47</v>
      </c>
    </row>
    <row r="13" ht="29.25" customHeight="1" s="265">
      <c r="B13" s="296" t="inlineStr">
        <is>
          <t>Индекс изменения сметной стоимости на 1 квартал 2023 года. МАТ</t>
        </is>
      </c>
      <c r="C13" s="296" t="inlineStr">
        <is>
          <t>Письмо Минстроя России от 30.03.2023г. №17106-ИФ/09  прил.1</t>
        </is>
      </c>
      <c r="D13" s="296" t="n">
        <v>8.039999999999999</v>
      </c>
    </row>
    <row r="14" ht="30.75" customHeight="1" s="265">
      <c r="B14" s="296" t="inlineStr">
        <is>
          <t>Индекс изменения сметной стоимости на 1 квартал 2023 года. ОБ</t>
        </is>
      </c>
      <c r="C14" s="114" t="inlineStr">
        <is>
          <t>Письмо Минстроя России от 23.02.2023г. №9791-ИФ/09 прил.6</t>
        </is>
      </c>
      <c r="D14" s="296" t="n">
        <v>6.26</v>
      </c>
    </row>
    <row r="15" ht="89.25" customHeight="1" s="265">
      <c r="B15" s="296" t="inlineStr">
        <is>
          <t>Временные здания и сооружения</t>
        </is>
      </c>
      <c r="C15" s="296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0" t="n">
        <v>0.039</v>
      </c>
    </row>
    <row r="16" ht="78.75" customHeight="1" s="265">
      <c r="B16" s="296" t="inlineStr">
        <is>
          <t>Дополнительные затраты при производстве строительно-монтажных работ в зимнее время</t>
        </is>
      </c>
      <c r="C16" s="296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0" t="n">
        <v>0.021</v>
      </c>
    </row>
    <row r="17" ht="31.5" customHeight="1" s="265">
      <c r="B17" s="296" t="inlineStr">
        <is>
          <t>Строительный контроль</t>
        </is>
      </c>
      <c r="C17" s="296" t="inlineStr">
        <is>
          <t>Постановление Правительства РФ от 21.06.10 г. № 468</t>
        </is>
      </c>
      <c r="D17" s="120" t="n">
        <v>0.0214</v>
      </c>
    </row>
    <row r="18" ht="31.5" customHeight="1" s="265">
      <c r="B18" s="296" t="inlineStr">
        <is>
          <t>Авторский надзор - 0,2%</t>
        </is>
      </c>
      <c r="C18" s="296" t="inlineStr">
        <is>
          <t>Приказ от 4.08.2020 № 421/пр п.173</t>
        </is>
      </c>
      <c r="D18" s="120" t="n">
        <v>0.002</v>
      </c>
    </row>
    <row r="19" ht="24" customHeight="1" s="265">
      <c r="B19" s="296" t="inlineStr">
        <is>
          <t>Непредвиденные расходы</t>
        </is>
      </c>
      <c r="C19" s="296" t="inlineStr">
        <is>
          <t>Приказ от 4.08.2020 № 421/пр п.179</t>
        </is>
      </c>
      <c r="D19" s="120" t="n">
        <v>0.03</v>
      </c>
    </row>
    <row r="20" ht="18.75" customHeight="1" s="265">
      <c r="B20" s="119" t="n"/>
    </row>
    <row r="21" ht="18.75" customHeight="1" s="265">
      <c r="B21" s="119" t="n"/>
    </row>
    <row r="22" ht="18.75" customHeight="1" s="265">
      <c r="B22" s="119" t="n"/>
    </row>
    <row r="23" ht="18.75" customHeight="1" s="265">
      <c r="B23" s="119" t="n"/>
    </row>
    <row r="26">
      <c r="B26" s="264" t="inlineStr">
        <is>
          <t>Составил ______________________      Е. М. Добровольская</t>
        </is>
      </c>
      <c r="C26" s="262" t="n"/>
    </row>
    <row r="27">
      <c r="B27" s="261" t="inlineStr">
        <is>
          <t xml:space="preserve">                         (подпись, инициалы, фамилия)</t>
        </is>
      </c>
      <c r="C27" s="262" t="n"/>
    </row>
    <row r="28">
      <c r="B28" s="264" t="n"/>
      <c r="C28" s="262" t="n"/>
    </row>
    <row r="29">
      <c r="B29" s="264" t="inlineStr">
        <is>
          <t>Проверил ______________________        А.В. Костянецкая</t>
        </is>
      </c>
      <c r="C29" s="262" t="n"/>
    </row>
    <row r="30">
      <c r="B30" s="261" t="inlineStr">
        <is>
          <t xml:space="preserve">                        (подпись, инициалы, фамилия)</t>
        </is>
      </c>
      <c r="C30" s="262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F13" sqref="A13:F13"/>
    </sheetView>
  </sheetViews>
  <sheetFormatPr baseColWidth="8" defaultColWidth="9.140625" defaultRowHeight="15"/>
  <cols>
    <col width="44.85546875" customWidth="1" style="265" min="2" max="2"/>
    <col width="13" customWidth="1" style="265" min="3" max="3"/>
    <col width="22.85546875" customWidth="1" style="265" min="4" max="4"/>
    <col width="21.5703125" customWidth="1" style="265" min="5" max="5"/>
    <col width="53.7109375" bestFit="1" customWidth="1" style="265" min="6" max="6"/>
  </cols>
  <sheetData>
    <row r="1" s="265"/>
    <row r="2" ht="17.25" customHeight="1" s="265">
      <c r="A2" s="291" t="inlineStr">
        <is>
          <t>Расчет размера средств на оплату труда рабочих-строителей в текущем уровне цен (ФОТр.тек.)</t>
        </is>
      </c>
    </row>
    <row r="3" s="265"/>
    <row r="4" ht="18" customHeight="1" s="265">
      <c r="A4" s="266" t="inlineStr">
        <is>
          <t>Составлен в уровне цен на 01.01.2023 г.</t>
        </is>
      </c>
      <c r="B4" s="267" t="n"/>
      <c r="C4" s="267" t="n"/>
      <c r="D4" s="267" t="n"/>
      <c r="E4" s="267" t="n"/>
      <c r="F4" s="267" t="n"/>
      <c r="G4" s="267" t="n"/>
    </row>
    <row r="5" ht="15.75" customHeight="1" s="265">
      <c r="A5" s="268" t="inlineStr">
        <is>
          <t>№ пп.</t>
        </is>
      </c>
      <c r="B5" s="268" t="inlineStr">
        <is>
          <t>Наименование элемента</t>
        </is>
      </c>
      <c r="C5" s="268" t="inlineStr">
        <is>
          <t>Обозначение</t>
        </is>
      </c>
      <c r="D5" s="268" t="inlineStr">
        <is>
          <t>Формула</t>
        </is>
      </c>
      <c r="E5" s="268" t="inlineStr">
        <is>
          <t>Величина элемента</t>
        </is>
      </c>
      <c r="F5" s="268" t="inlineStr">
        <is>
          <t>Наименования обосновывающих документов</t>
        </is>
      </c>
      <c r="G5" s="267" t="n"/>
    </row>
    <row r="6" ht="15.75" customHeight="1" s="265">
      <c r="A6" s="268" t="n">
        <v>1</v>
      </c>
      <c r="B6" s="268" t="n">
        <v>2</v>
      </c>
      <c r="C6" s="268" t="n">
        <v>3</v>
      </c>
      <c r="D6" s="268" t="n">
        <v>4</v>
      </c>
      <c r="E6" s="268" t="n">
        <v>5</v>
      </c>
      <c r="F6" s="268" t="n">
        <v>6</v>
      </c>
      <c r="G6" s="267" t="n"/>
    </row>
    <row r="7" ht="110.25" customHeight="1" s="265">
      <c r="A7" s="269" t="inlineStr">
        <is>
          <t>1.1</t>
        </is>
      </c>
      <c r="B7" s="274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96" t="inlineStr">
        <is>
          <t>С1ср</t>
        </is>
      </c>
      <c r="D7" s="296" t="inlineStr">
        <is>
          <t>-</t>
        </is>
      </c>
      <c r="E7" s="272" t="n">
        <v>47872.94</v>
      </c>
      <c r="F7" s="274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67" t="n"/>
    </row>
    <row r="8" ht="31.5" customHeight="1" s="265">
      <c r="A8" s="269" t="inlineStr">
        <is>
          <t>1.2</t>
        </is>
      </c>
      <c r="B8" s="274" t="inlineStr">
        <is>
          <t>Среднегодовое нормативное число часов работы одного рабочего в месяц, часы (ч.)</t>
        </is>
      </c>
      <c r="C8" s="296" t="inlineStr">
        <is>
          <t>tср</t>
        </is>
      </c>
      <c r="D8" s="296" t="inlineStr">
        <is>
          <t>1973ч/12мес.</t>
        </is>
      </c>
      <c r="E8" s="273">
        <f>1973/12</f>
        <v/>
      </c>
      <c r="F8" s="274" t="inlineStr">
        <is>
          <t>Производственный календарь 2023 год
(40-часов.неделя)</t>
        </is>
      </c>
      <c r="G8" s="276" t="n"/>
    </row>
    <row r="9" ht="15.75" customHeight="1" s="265">
      <c r="A9" s="269" t="inlineStr">
        <is>
          <t>1.3</t>
        </is>
      </c>
      <c r="B9" s="274" t="inlineStr">
        <is>
          <t>Коэффициент увеличения</t>
        </is>
      </c>
      <c r="C9" s="296" t="inlineStr">
        <is>
          <t>Кув</t>
        </is>
      </c>
      <c r="D9" s="296" t="inlineStr">
        <is>
          <t>-</t>
        </is>
      </c>
      <c r="E9" s="273" t="n">
        <v>1</v>
      </c>
      <c r="F9" s="274" t="n"/>
      <c r="G9" s="276" t="n"/>
    </row>
    <row r="10" ht="15.75" customHeight="1" s="265">
      <c r="A10" s="269" t="inlineStr">
        <is>
          <t>1.4</t>
        </is>
      </c>
      <c r="B10" s="274" t="inlineStr">
        <is>
          <t>Средний разряд работ</t>
        </is>
      </c>
      <c r="C10" s="296" t="n"/>
      <c r="D10" s="296" t="n"/>
      <c r="E10" s="404" t="n">
        <v>3.6</v>
      </c>
      <c r="F10" s="274" t="inlineStr">
        <is>
          <t>РТМ</t>
        </is>
      </c>
      <c r="G10" s="276" t="n"/>
    </row>
    <row r="11" ht="78.75" customHeight="1" s="265">
      <c r="A11" s="269" t="inlineStr">
        <is>
          <t>1.5</t>
        </is>
      </c>
      <c r="B11" s="274" t="inlineStr">
        <is>
          <t>Тарифный коэффициент среднего разряда работ</t>
        </is>
      </c>
      <c r="C11" s="296" t="inlineStr">
        <is>
          <t>КТ</t>
        </is>
      </c>
      <c r="D11" s="296" t="inlineStr">
        <is>
          <t>-</t>
        </is>
      </c>
      <c r="E11" s="405" t="n">
        <v>1.278</v>
      </c>
      <c r="F11" s="274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67" t="n"/>
    </row>
    <row r="12" ht="78.75" customHeight="1" s="265">
      <c r="A12" s="279" t="inlineStr">
        <is>
          <t>1.6</t>
        </is>
      </c>
      <c r="B12" s="382" t="inlineStr">
        <is>
          <t>Коэффициент инфляции, определяемый поквартально</t>
        </is>
      </c>
      <c r="C12" s="280" t="inlineStr">
        <is>
          <t>Кинф</t>
        </is>
      </c>
      <c r="D12" s="280" t="inlineStr">
        <is>
          <t>-</t>
        </is>
      </c>
      <c r="E12" s="406" t="n">
        <v>1.139</v>
      </c>
      <c r="F12" s="384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76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265">
      <c r="A13" s="385" t="inlineStr">
        <is>
          <t>1.7</t>
        </is>
      </c>
      <c r="B13" s="386" t="inlineStr">
        <is>
          <t>Размер средств на оплату труда рабочих-строителей в текущем уровне цен (ФОТр.тек.), руб/чел.-ч</t>
        </is>
      </c>
      <c r="C13" s="387" t="inlineStr">
        <is>
          <t>ФОТр.тек.</t>
        </is>
      </c>
      <c r="D13" s="387" t="inlineStr">
        <is>
          <t>(С1ср/tср*КТ*Т*Кув)*Кинф</t>
        </is>
      </c>
      <c r="E13" s="388">
        <f>((E7*E9/E8)*E11)*E12</f>
        <v/>
      </c>
      <c r="F13" s="389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67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2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2025-01-24T12:11:51Z</dcterms:modified>
  <cp:lastModifiedBy>Николай Трофименко</cp:lastModifiedBy>
  <cp:lastPrinted>2023-11-29T12:22:09Z</cp:lastPrinted>
</cp:coreProperties>
</file>