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3'!$A$1:$H$244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6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7" applyAlignment="1" pivotButton="0" quotePrefix="0" xfId="0">
      <alignment vertical="top"/>
    </xf>
    <xf numFmtId="0" fontId="20" fillId="0" borderId="0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20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20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0" fillId="0" borderId="10" applyAlignment="1" pivotButton="0" quotePrefix="0" xfId="0">
      <alignment vertical="top"/>
    </xf>
    <xf numFmtId="0" fontId="0" fillId="0" borderId="8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29" sqref="D29"/>
    </sheetView>
  </sheetViews>
  <sheetFormatPr baseColWidth="8" defaultColWidth="9.140625" defaultRowHeight="15.75"/>
  <cols>
    <col width="9.140625" customWidth="1" style="264" min="1" max="2"/>
    <col width="51.7109375" customWidth="1" style="264" min="3" max="3"/>
    <col width="47" customWidth="1" style="264" min="4" max="4"/>
    <col width="37.42578125" customWidth="1" style="264" min="5" max="5"/>
    <col width="9.140625" customWidth="1" style="264" min="6" max="6"/>
  </cols>
  <sheetData>
    <row r="3">
      <c r="B3" s="287" t="inlineStr">
        <is>
          <t>Приложение № 1</t>
        </is>
      </c>
    </row>
    <row r="4">
      <c r="B4" s="288" t="inlineStr">
        <is>
          <t>Сравнительная таблица отбора объекта-представителя</t>
        </is>
      </c>
    </row>
    <row r="5" ht="84" customHeight="1" s="262">
      <c r="B5" s="29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62">
      <c r="B6" s="159" t="n"/>
      <c r="C6" s="159" t="n"/>
      <c r="D6" s="159" t="n"/>
    </row>
    <row r="7" ht="64.5" customHeight="1" s="262">
      <c r="B7" s="289" t="inlineStr">
        <is>
          <t>Наименование разрабатываемого показателя УНЦ - Демонтаж  ШР 110-750кВ</t>
        </is>
      </c>
    </row>
    <row r="8" ht="31.5" customHeight="1" s="262">
      <c r="B8" s="290" t="inlineStr">
        <is>
          <t>Сопоставимый уровень цен: 1 квартал 2014</t>
        </is>
      </c>
    </row>
    <row r="9" ht="15.75" customHeight="1" s="262">
      <c r="B9" s="290" t="inlineStr">
        <is>
          <t>Единица измерения  — 1 ячейка</t>
        </is>
      </c>
    </row>
    <row r="10">
      <c r="B10" s="290" t="n"/>
    </row>
    <row r="11">
      <c r="B11" s="293" t="inlineStr">
        <is>
          <t>№ п/п</t>
        </is>
      </c>
      <c r="C11" s="293" t="inlineStr">
        <is>
          <t>Параметр</t>
        </is>
      </c>
      <c r="D11" s="237" t="inlineStr">
        <is>
          <t xml:space="preserve">Объект-представитель </t>
        </is>
      </c>
      <c r="E11" s="145" t="n"/>
    </row>
    <row r="12" ht="96.75" customHeight="1" s="262">
      <c r="B12" s="293" t="n">
        <v>1</v>
      </c>
      <c r="C12" s="303" t="inlineStr">
        <is>
          <t>Наименование объекта-представителя</t>
        </is>
      </c>
      <c r="D12" s="293" t="inlineStr">
        <is>
          <t>ВЛ 750 Ленинградская</t>
        </is>
      </c>
    </row>
    <row r="13">
      <c r="B13" s="293" t="n">
        <v>2</v>
      </c>
      <c r="C13" s="303" t="inlineStr">
        <is>
          <t>Наименование субъекта Российской Федерации</t>
        </is>
      </c>
      <c r="D13" s="293" t="inlineStr">
        <is>
          <t>Ленинградская область</t>
        </is>
      </c>
    </row>
    <row r="14">
      <c r="B14" s="293" t="n">
        <v>3</v>
      </c>
      <c r="C14" s="303" t="inlineStr">
        <is>
          <t>Климатический район и подрайон</t>
        </is>
      </c>
      <c r="D14" s="293" t="inlineStr">
        <is>
          <t>IIВ</t>
        </is>
      </c>
    </row>
    <row r="15">
      <c r="B15" s="293" t="n">
        <v>4</v>
      </c>
      <c r="C15" s="303" t="inlineStr">
        <is>
          <t>Мощность объекта</t>
        </is>
      </c>
      <c r="D15" s="293" t="n">
        <v>1</v>
      </c>
    </row>
    <row r="16" ht="116.25" customHeight="1" s="262">
      <c r="B16" s="293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93" t="inlineStr">
        <is>
          <t>Реактор шунтирующий однофазный неуправляемый мощностью 110 Мвар, 750 кВ, РОМБС-110000/750У1  (3-a компл.) - 1 шт.</t>
        </is>
      </c>
    </row>
    <row r="17" ht="79.5" customHeight="1" s="262">
      <c r="B17" s="293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>
        <f>D18+D19</f>
        <v/>
      </c>
      <c r="E17" s="158" t="n"/>
    </row>
    <row r="18">
      <c r="B18" s="144" t="inlineStr">
        <is>
          <t>6.1</t>
        </is>
      </c>
      <c r="C18" s="303" t="inlineStr">
        <is>
          <t>строительно-монтажные работы</t>
        </is>
      </c>
      <c r="D18" s="213">
        <f>'Прил.2 Расч стоим'!F14</f>
        <v/>
      </c>
    </row>
    <row r="19" ht="15.75" customHeight="1" s="262">
      <c r="B19" s="144" t="inlineStr">
        <is>
          <t>6.2</t>
        </is>
      </c>
      <c r="C19" s="303" t="inlineStr">
        <is>
          <t>оборудование и инвентарь</t>
        </is>
      </c>
      <c r="D19" s="213" t="n">
        <v>0</v>
      </c>
    </row>
    <row r="20" ht="16.5" customHeight="1" s="262">
      <c r="B20" s="144" t="inlineStr">
        <is>
          <t>6.3</t>
        </is>
      </c>
      <c r="C20" s="303" t="inlineStr">
        <is>
          <t>пусконаладочные работы</t>
        </is>
      </c>
      <c r="D20" s="213" t="n"/>
    </row>
    <row r="21" ht="35.25" customHeight="1" s="262">
      <c r="B21" s="144" t="inlineStr">
        <is>
          <t>6.4</t>
        </is>
      </c>
      <c r="C21" s="143" t="inlineStr">
        <is>
          <t>прочие и лимитированные затраты</t>
        </is>
      </c>
      <c r="D21" s="213" t="n"/>
    </row>
    <row r="22">
      <c r="B22" s="293" t="n">
        <v>7</v>
      </c>
      <c r="C22" s="143" t="inlineStr">
        <is>
          <t>Сопоставимый уровень цен</t>
        </is>
      </c>
      <c r="D22" s="214" t="inlineStr">
        <is>
          <t>1 квартал 2014</t>
        </is>
      </c>
      <c r="E22" s="141" t="n"/>
    </row>
    <row r="23" ht="123" customHeight="1" s="262">
      <c r="B23" s="293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>
        <f>D17</f>
        <v/>
      </c>
      <c r="E23" s="158" t="n"/>
    </row>
    <row r="24" ht="60.75" customHeight="1" s="262">
      <c r="B24" s="293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13">
        <f>D17/D15</f>
        <v/>
      </c>
      <c r="E24" s="141" t="n"/>
    </row>
    <row r="25" ht="48" customHeight="1" s="262">
      <c r="B25" s="293" t="n">
        <v>10</v>
      </c>
      <c r="C25" s="303" t="inlineStr">
        <is>
          <t>Примечание</t>
        </is>
      </c>
      <c r="D25" s="293" t="n"/>
    </row>
    <row r="26">
      <c r="B26" s="140" t="n"/>
      <c r="C26" s="139" t="n"/>
      <c r="D26" s="139" t="n"/>
    </row>
    <row r="27" ht="37.5" customHeight="1" s="262">
      <c r="B27" s="138" t="n"/>
    </row>
    <row r="28">
      <c r="B28" s="264" t="inlineStr">
        <is>
          <t>Составил ______________________    Е. М. Добровольская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64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3" sqref="F23"/>
    </sheetView>
  </sheetViews>
  <sheetFormatPr baseColWidth="8" defaultColWidth="9.140625" defaultRowHeight="15.75"/>
  <cols>
    <col width="5.5703125" customWidth="1" style="264" min="1" max="1"/>
    <col width="9.140625" customWidth="1" style="264" min="2" max="2"/>
    <col width="35.28515625" customWidth="1" style="264" min="3" max="3"/>
    <col width="13.85546875" customWidth="1" style="264" min="4" max="4"/>
    <col width="24.85546875" customWidth="1" style="264" min="5" max="5"/>
    <col width="15.5703125" customWidth="1" style="264" min="6" max="6"/>
    <col width="14.85546875" customWidth="1" style="264" min="7" max="7"/>
    <col width="16.7109375" customWidth="1" style="264" min="8" max="8"/>
    <col width="13" customWidth="1" style="264" min="9" max="10"/>
    <col width="18" customWidth="1" style="264" min="11" max="11"/>
    <col width="9.140625" customWidth="1" style="264" min="12" max="12"/>
  </cols>
  <sheetData>
    <row r="3">
      <c r="B3" s="287" t="inlineStr">
        <is>
          <t>Приложение № 2</t>
        </is>
      </c>
      <c r="K3" s="138" t="n"/>
    </row>
    <row r="4">
      <c r="B4" s="288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62">
      <c r="B6" s="290">
        <f>'Прил.1 Сравнит табл'!B7:D7</f>
        <v/>
      </c>
    </row>
    <row r="7">
      <c r="B7" s="290">
        <f>'Прил.1 Сравнит табл'!B9:D9</f>
        <v/>
      </c>
    </row>
    <row r="8" ht="18.75" customHeight="1" s="262">
      <c r="B8" s="119" t="n"/>
    </row>
    <row r="9" ht="15.75" customHeight="1" s="262">
      <c r="B9" s="293" t="inlineStr">
        <is>
          <t>№ п/п</t>
        </is>
      </c>
      <c r="C9" s="29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93" t="inlineStr">
        <is>
          <t>Объект-представитель 1</t>
        </is>
      </c>
      <c r="E9" s="387" t="n"/>
      <c r="F9" s="387" t="n"/>
      <c r="G9" s="387" t="n"/>
      <c r="H9" s="387" t="n"/>
      <c r="I9" s="387" t="n"/>
      <c r="J9" s="388" t="n"/>
    </row>
    <row r="10" ht="15.75" customHeight="1" s="262">
      <c r="B10" s="389" t="n"/>
      <c r="C10" s="389" t="n"/>
      <c r="D10" s="293" t="inlineStr">
        <is>
          <t>Номер сметы</t>
        </is>
      </c>
      <c r="E10" s="293" t="inlineStr">
        <is>
          <t>Наименование сметы</t>
        </is>
      </c>
      <c r="F10" s="293" t="inlineStr">
        <is>
          <t>Сметная стоимость в уровне цен 1 кв. 2014г., тыс. руб.</t>
        </is>
      </c>
      <c r="G10" s="387" t="n"/>
      <c r="H10" s="387" t="n"/>
      <c r="I10" s="387" t="n"/>
      <c r="J10" s="388" t="n"/>
    </row>
    <row r="11" ht="31.5" customHeight="1" s="262">
      <c r="B11" s="390" t="n"/>
      <c r="C11" s="390" t="n"/>
      <c r="D11" s="390" t="n"/>
      <c r="E11" s="390" t="n"/>
      <c r="F11" s="293" t="inlineStr">
        <is>
          <t>Строительные работы</t>
        </is>
      </c>
      <c r="G11" s="293" t="inlineStr">
        <is>
          <t>Монтажные работы</t>
        </is>
      </c>
      <c r="H11" s="293" t="inlineStr">
        <is>
          <t>Оборудование</t>
        </is>
      </c>
      <c r="I11" s="293" t="inlineStr">
        <is>
          <t>Прочее</t>
        </is>
      </c>
      <c r="J11" s="293" t="inlineStr">
        <is>
          <t>Всего</t>
        </is>
      </c>
    </row>
    <row r="12" ht="31.5" customHeight="1" s="262">
      <c r="B12" s="293" t="n"/>
      <c r="C12" s="213" t="inlineStr">
        <is>
          <t>Демонтаж  ШР 110-750кВ</t>
        </is>
      </c>
      <c r="D12" s="293" t="n"/>
      <c r="E12" s="293" t="n"/>
      <c r="F12" s="293" t="n">
        <v>3820.4438706</v>
      </c>
      <c r="G12" s="388" t="n"/>
      <c r="H12" s="293" t="n">
        <v>0</v>
      </c>
      <c r="I12" s="293" t="n"/>
      <c r="J12" s="293" t="n">
        <v>3820.4438706</v>
      </c>
    </row>
    <row r="13" ht="15.75" customHeight="1" s="262">
      <c r="B13" s="292" t="inlineStr">
        <is>
          <t>Всего по объекту:</t>
        </is>
      </c>
      <c r="C13" s="387" t="n"/>
      <c r="D13" s="387" t="n"/>
      <c r="E13" s="388" t="n"/>
      <c r="F13" s="160" t="n"/>
      <c r="G13" s="160" t="n"/>
      <c r="H13" s="160" t="n"/>
      <c r="I13" s="160" t="n"/>
      <c r="J13" s="160" t="n"/>
    </row>
    <row r="14">
      <c r="B14" s="292" t="inlineStr">
        <is>
          <t>Всего по объекту в сопоставимом уровне цен 1кв. 2014г:</t>
        </is>
      </c>
      <c r="C14" s="387" t="n"/>
      <c r="D14" s="387" t="n"/>
      <c r="E14" s="388" t="n"/>
      <c r="F14" s="391">
        <f>F12</f>
        <v/>
      </c>
      <c r="G14" s="388" t="n"/>
      <c r="H14" s="160">
        <f>H12</f>
        <v/>
      </c>
      <c r="I14" s="160" t="n"/>
      <c r="J14" s="160">
        <f>J12</f>
        <v/>
      </c>
    </row>
    <row r="15" ht="15" customHeight="1" s="262"/>
    <row r="16" ht="15" customHeight="1" s="262"/>
    <row r="17" ht="15" customHeight="1" s="262"/>
    <row r="18" ht="15" customHeight="1" s="262">
      <c r="C18" s="261" t="inlineStr">
        <is>
          <t>Составил ______________________     Е. М. Добровольская</t>
        </is>
      </c>
      <c r="D18" s="259" t="n"/>
      <c r="E18" s="259" t="n"/>
    </row>
    <row r="19" ht="15" customHeight="1" s="262">
      <c r="C19" s="258" t="inlineStr">
        <is>
          <t xml:space="preserve">                         (подпись, инициалы, фамилия)</t>
        </is>
      </c>
      <c r="D19" s="259" t="n"/>
      <c r="E19" s="259" t="n"/>
    </row>
    <row r="20" ht="15" customHeight="1" s="262">
      <c r="C20" s="261" t="n"/>
      <c r="D20" s="259" t="n"/>
      <c r="E20" s="259" t="n"/>
    </row>
    <row r="21" ht="15" customHeight="1" s="262">
      <c r="C21" s="261" t="inlineStr">
        <is>
          <t>Проверил ______________________        А.В. Костянецкая</t>
        </is>
      </c>
      <c r="D21" s="259" t="n"/>
      <c r="E21" s="259" t="n"/>
    </row>
    <row r="22" ht="15" customHeight="1" s="262">
      <c r="C22" s="258" t="inlineStr">
        <is>
          <t xml:space="preserve">                        (подпись, инициалы, фамилия)</t>
        </is>
      </c>
      <c r="D22" s="259" t="n"/>
      <c r="E22" s="259" t="n"/>
    </row>
    <row r="23" ht="15" customHeight="1" s="262"/>
    <row r="24" ht="15" customHeight="1" s="262"/>
    <row r="25" ht="15" customHeight="1" s="262"/>
    <row r="26" ht="15" customHeight="1" s="262"/>
    <row r="27" ht="15" customHeight="1" s="262"/>
    <row r="28" ht="15" customHeight="1" s="26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28"/>
  <sheetViews>
    <sheetView view="pageBreakPreview" topLeftCell="A208" zoomScale="70" workbookViewId="0">
      <selection activeCell="F227" sqref="F227"/>
    </sheetView>
  </sheetViews>
  <sheetFormatPr baseColWidth="8" defaultColWidth="9.140625" defaultRowHeight="15.75"/>
  <cols>
    <col width="9.140625" customWidth="1" style="264" min="1" max="1"/>
    <col width="12.5703125" customWidth="1" style="264" min="2" max="2"/>
    <col width="22.42578125" customWidth="1" style="264" min="3" max="3"/>
    <col width="49.7109375" customWidth="1" style="264" min="4" max="4"/>
    <col width="10.140625" customWidth="1" style="264" min="5" max="5"/>
    <col width="20.7109375" customWidth="1" style="264" min="6" max="6"/>
    <col width="20" customWidth="1" style="264" min="7" max="7"/>
    <col width="16.7109375" customWidth="1" style="264" min="8" max="8"/>
    <col width="7.5703125" customWidth="1" style="264" min="9" max="9"/>
    <col width="11.85546875" customWidth="1" style="264" min="10" max="10"/>
    <col width="15" customWidth="1" style="264" min="11" max="11"/>
    <col width="9.140625" customWidth="1" style="264" min="12" max="12"/>
  </cols>
  <sheetData>
    <row r="2">
      <c r="A2" s="287" t="inlineStr">
        <is>
          <t xml:space="preserve">Приложение № 3 </t>
        </is>
      </c>
    </row>
    <row r="3">
      <c r="A3" s="288" t="inlineStr">
        <is>
          <t>Объектная ресурсная ведомость</t>
        </is>
      </c>
    </row>
    <row r="4">
      <c r="A4" s="299" t="n"/>
    </row>
    <row r="5">
      <c r="A5" s="290" t="n"/>
    </row>
    <row r="6">
      <c r="A6" s="298" t="inlineStr">
        <is>
          <t>Наименование разрабатываемого показателя УНЦ -  Демонтаж  ШР 110-750кВ</t>
        </is>
      </c>
    </row>
    <row r="7">
      <c r="A7" s="298" t="n"/>
      <c r="B7" s="298" t="n"/>
      <c r="C7" s="298" t="n"/>
      <c r="D7" s="298" t="n"/>
      <c r="E7" s="298" t="n"/>
      <c r="F7" s="298" t="n"/>
      <c r="G7" s="298" t="n"/>
      <c r="H7" s="298" t="n"/>
    </row>
    <row r="8" ht="33.75" customHeight="1" s="262">
      <c r="A8" s="293" t="inlineStr">
        <is>
          <t>п/п</t>
        </is>
      </c>
      <c r="B8" s="293" t="inlineStr">
        <is>
          <t>№ЛСР</t>
        </is>
      </c>
      <c r="C8" s="293" t="inlineStr">
        <is>
          <t>Код ресурса</t>
        </is>
      </c>
      <c r="D8" s="293" t="inlineStr">
        <is>
          <t>Наименование ресурса</t>
        </is>
      </c>
      <c r="E8" s="293" t="inlineStr">
        <is>
          <t>Ед. изм.</t>
        </is>
      </c>
      <c r="F8" s="293" t="inlineStr">
        <is>
          <t>Кол-во единиц по данным объекта-представителя</t>
        </is>
      </c>
      <c r="G8" s="293" t="inlineStr">
        <is>
          <t>Сметная стоимость в ценах на 01.01.2000 (руб.)</t>
        </is>
      </c>
      <c r="H8" s="388" t="n"/>
    </row>
    <row r="9" ht="31.5" customHeight="1" s="262">
      <c r="A9" s="390" t="n"/>
      <c r="B9" s="390" t="n"/>
      <c r="C9" s="390" t="n"/>
      <c r="D9" s="390" t="n"/>
      <c r="E9" s="390" t="n"/>
      <c r="F9" s="390" t="n"/>
      <c r="G9" s="293" t="inlineStr">
        <is>
          <t>на ед.изм.</t>
        </is>
      </c>
      <c r="H9" s="293" t="inlineStr">
        <is>
          <t>общая</t>
        </is>
      </c>
    </row>
    <row r="10">
      <c r="A10" s="277" t="n">
        <v>1</v>
      </c>
      <c r="B10" s="277" t="n"/>
      <c r="C10" s="277" t="n">
        <v>2</v>
      </c>
      <c r="D10" s="277" t="inlineStr">
        <is>
          <t>З</t>
        </is>
      </c>
      <c r="E10" s="277" t="n">
        <v>4</v>
      </c>
      <c r="F10" s="277" t="n">
        <v>5</v>
      </c>
      <c r="G10" s="277" t="n">
        <v>6</v>
      </c>
      <c r="H10" s="277" t="n">
        <v>7</v>
      </c>
    </row>
    <row r="11" customFormat="1" s="148">
      <c r="A11" s="304" t="inlineStr">
        <is>
          <t>Затраты труда рабочих</t>
        </is>
      </c>
      <c r="B11" s="387" t="n"/>
      <c r="C11" s="387" t="n"/>
      <c r="D11" s="387" t="n"/>
      <c r="E11" s="388" t="n"/>
      <c r="F11" s="392" t="n">
        <v>15475.08</v>
      </c>
      <c r="G11" s="10" t="n"/>
      <c r="H11" s="392">
        <f>SUM(H12:H32)</f>
        <v/>
      </c>
    </row>
    <row r="12">
      <c r="A12" s="171" t="n">
        <v>1</v>
      </c>
      <c r="B12" s="207" t="n"/>
      <c r="C12" s="235" t="inlineStr">
        <is>
          <t>1-4-0</t>
        </is>
      </c>
      <c r="D12" s="238" t="inlineStr">
        <is>
          <t>Затраты труда рабочих (средний разряд работы 4,0)</t>
        </is>
      </c>
      <c r="E12" s="333" t="inlineStr">
        <is>
          <t>чел.-ч</t>
        </is>
      </c>
      <c r="F12" s="393" t="n">
        <v>9691.17</v>
      </c>
      <c r="G12" s="241" t="n">
        <v>9.619999999999999</v>
      </c>
      <c r="H12" s="229">
        <f>ROUND(F12*G12,2)</f>
        <v/>
      </c>
      <c r="J12" s="212" t="n"/>
    </row>
    <row r="13">
      <c r="A13" s="171" t="n">
        <v>2</v>
      </c>
      <c r="B13" s="207" t="n"/>
      <c r="C13" s="235" t="inlineStr">
        <is>
          <t>1-2-5</t>
        </is>
      </c>
      <c r="D13" s="238" t="inlineStr">
        <is>
          <t>Затраты труда рабочих (средний разряд работы 2,5)</t>
        </is>
      </c>
      <c r="E13" s="333" t="inlineStr">
        <is>
          <t>чел.-ч</t>
        </is>
      </c>
      <c r="F13" s="393" t="n">
        <v>2354.84</v>
      </c>
      <c r="G13" s="241" t="n">
        <v>8.17</v>
      </c>
      <c r="H13" s="229">
        <f>ROUND(F13*G13,2)</f>
        <v/>
      </c>
      <c r="J13" s="212" t="n"/>
    </row>
    <row r="14">
      <c r="A14" s="171" t="n">
        <v>3</v>
      </c>
      <c r="B14" s="207" t="n"/>
      <c r="C14" s="235" t="inlineStr">
        <is>
          <t>1-3-3</t>
        </is>
      </c>
      <c r="D14" s="238" t="inlineStr">
        <is>
          <t>Затраты труда рабочих (средний разряд работы 3,3)</t>
        </is>
      </c>
      <c r="E14" s="333" t="inlineStr">
        <is>
          <t>чел.-ч</t>
        </is>
      </c>
      <c r="F14" s="393" t="n">
        <v>645.3</v>
      </c>
      <c r="G14" s="241" t="n">
        <v>8.859999999999999</v>
      </c>
      <c r="H14" s="229">
        <f>ROUND(F14*G14,2)</f>
        <v/>
      </c>
      <c r="J14" s="212" t="n"/>
    </row>
    <row r="15">
      <c r="A15" s="171" t="n">
        <v>4</v>
      </c>
      <c r="B15" s="207" t="n"/>
      <c r="C15" s="235" t="inlineStr">
        <is>
          <t>1-4-9</t>
        </is>
      </c>
      <c r="D15" s="238" t="inlineStr">
        <is>
          <t>Затраты труда рабочих (средний разряд работы 4,9)</t>
        </is>
      </c>
      <c r="E15" s="333" t="inlineStr">
        <is>
          <t>чел.-ч</t>
        </is>
      </c>
      <c r="F15" s="393" t="n">
        <v>350.98</v>
      </c>
      <c r="G15" s="241" t="n">
        <v>10.94</v>
      </c>
      <c r="H15" s="229">
        <f>ROUND(F15*G15,2)</f>
        <v/>
      </c>
      <c r="J15" s="212" t="n"/>
    </row>
    <row r="16">
      <c r="A16" s="171" t="n">
        <v>5</v>
      </c>
      <c r="B16" s="207" t="n"/>
      <c r="C16" s="235" t="inlineStr">
        <is>
          <t>1-4-1</t>
        </is>
      </c>
      <c r="D16" s="238" t="inlineStr">
        <is>
          <t>Затраты труда рабочих (средний разряд работы 4,1)</t>
        </is>
      </c>
      <c r="E16" s="333" t="inlineStr">
        <is>
          <t>чел.-ч</t>
        </is>
      </c>
      <c r="F16" s="393" t="n">
        <v>364.66</v>
      </c>
      <c r="G16" s="241" t="n">
        <v>9.76</v>
      </c>
      <c r="H16" s="229">
        <f>ROUND(F16*G16,2)</f>
        <v/>
      </c>
      <c r="J16" s="212" t="n"/>
    </row>
    <row r="17">
      <c r="A17" s="171" t="n">
        <v>6</v>
      </c>
      <c r="B17" s="207" t="n"/>
      <c r="C17" s="235" t="inlineStr">
        <is>
          <t>1-3-0</t>
        </is>
      </c>
      <c r="D17" s="238" t="inlineStr">
        <is>
          <t>Затраты труда рабочих (средний разряд работы 3,0)</t>
        </is>
      </c>
      <c r="E17" s="333" t="inlineStr">
        <is>
          <t>чел.-ч</t>
        </is>
      </c>
      <c r="F17" s="393" t="n">
        <v>353.27</v>
      </c>
      <c r="G17" s="241" t="n">
        <v>8.529999999999999</v>
      </c>
      <c r="H17" s="229">
        <f>ROUND(F17*G17,2)</f>
        <v/>
      </c>
      <c r="J17" s="212" t="n"/>
    </row>
    <row r="18">
      <c r="A18" s="171" t="n">
        <v>7</v>
      </c>
      <c r="B18" s="207" t="n"/>
      <c r="C18" s="235" t="inlineStr">
        <is>
          <t>1-1-5</t>
        </is>
      </c>
      <c r="D18" s="238" t="inlineStr">
        <is>
          <t>Затраты труда рабочих (средний разряд работы 1,5)</t>
        </is>
      </c>
      <c r="E18" s="333" t="inlineStr">
        <is>
          <t>чел.-ч</t>
        </is>
      </c>
      <c r="F18" s="393" t="n">
        <v>358.71</v>
      </c>
      <c r="G18" s="241" t="n">
        <v>7.5</v>
      </c>
      <c r="H18" s="229">
        <f>ROUND(F18*G18,2)</f>
        <v/>
      </c>
      <c r="J18" s="212" t="n"/>
    </row>
    <row r="19">
      <c r="A19" s="171" t="n">
        <v>8</v>
      </c>
      <c r="B19" s="207" t="n"/>
      <c r="C19" s="235" t="inlineStr">
        <is>
          <t>1-3-7</t>
        </is>
      </c>
      <c r="D19" s="238" t="inlineStr">
        <is>
          <t>Затраты труда рабочих (средний разряд работы 3,7)</t>
        </is>
      </c>
      <c r="E19" s="333" t="inlineStr">
        <is>
          <t>чел.-ч</t>
        </is>
      </c>
      <c r="F19" s="393" t="n">
        <v>200.47</v>
      </c>
      <c r="G19" s="241" t="n">
        <v>9.289999999999999</v>
      </c>
      <c r="H19" s="229">
        <f>ROUND(F19*G19,2)</f>
        <v/>
      </c>
      <c r="J19" s="212" t="n"/>
    </row>
    <row r="20">
      <c r="A20" s="171" t="n">
        <v>9</v>
      </c>
      <c r="B20" s="207" t="n"/>
      <c r="C20" s="235" t="inlineStr">
        <is>
          <t>1-3-2</t>
        </is>
      </c>
      <c r="D20" s="238" t="inlineStr">
        <is>
          <t>Затраты труда рабочих (средний разряд работы 3,2)</t>
        </is>
      </c>
      <c r="E20" s="333" t="inlineStr">
        <is>
          <t>чел.-ч</t>
        </is>
      </c>
      <c r="F20" s="393" t="n">
        <v>196.59</v>
      </c>
      <c r="G20" s="241" t="n">
        <v>8.74</v>
      </c>
      <c r="H20" s="229">
        <f>ROUND(F20*G20,2)</f>
        <v/>
      </c>
      <c r="J20" s="212" t="n"/>
    </row>
    <row r="21">
      <c r="A21" s="171" t="n">
        <v>10</v>
      </c>
      <c r="B21" s="207" t="n"/>
      <c r="C21" s="235" t="inlineStr">
        <is>
          <t>1-2-0</t>
        </is>
      </c>
      <c r="D21" s="238" t="inlineStr">
        <is>
          <t>Затраты труда рабочих (средний разряд работы 2,0)</t>
        </is>
      </c>
      <c r="E21" s="333" t="inlineStr">
        <is>
          <t>чел.-ч</t>
        </is>
      </c>
      <c r="F21" s="393" t="n">
        <v>214.49</v>
      </c>
      <c r="G21" s="241" t="n">
        <v>7.8</v>
      </c>
      <c r="H21" s="229">
        <f>ROUND(F21*G21,2)</f>
        <v/>
      </c>
      <c r="J21" s="212" t="n"/>
    </row>
    <row r="22">
      <c r="A22" s="171" t="n">
        <v>11</v>
      </c>
      <c r="B22" s="207" t="n"/>
      <c r="C22" s="235" t="inlineStr">
        <is>
          <t>1-3-8</t>
        </is>
      </c>
      <c r="D22" s="238" t="inlineStr">
        <is>
          <t>Затраты труда рабочих (средний разряд работы 3,8)</t>
        </is>
      </c>
      <c r="E22" s="333" t="inlineStr">
        <is>
          <t>чел.-ч</t>
        </is>
      </c>
      <c r="F22" s="393" t="n">
        <v>168.07</v>
      </c>
      <c r="G22" s="241" t="n">
        <v>9.4</v>
      </c>
      <c r="H22" s="229">
        <f>ROUND(F22*G22,2)</f>
        <v/>
      </c>
      <c r="J22" s="212" t="n"/>
    </row>
    <row r="23">
      <c r="A23" s="171" t="n">
        <v>12</v>
      </c>
      <c r="B23" s="207" t="n"/>
      <c r="C23" s="235" t="inlineStr">
        <is>
          <t>1-3-9</t>
        </is>
      </c>
      <c r="D23" s="238" t="inlineStr">
        <is>
          <t>Затраты труда рабочих (средний разряд работы 3,9)</t>
        </is>
      </c>
      <c r="E23" s="333" t="inlineStr">
        <is>
          <t>чел.-ч</t>
        </is>
      </c>
      <c r="F23" s="393" t="n">
        <v>156.84</v>
      </c>
      <c r="G23" s="241" t="n">
        <v>9.51</v>
      </c>
      <c r="H23" s="229">
        <f>ROUND(F23*G23,2)</f>
        <v/>
      </c>
      <c r="J23" s="212" t="n"/>
    </row>
    <row r="24">
      <c r="A24" s="171" t="n">
        <v>13</v>
      </c>
      <c r="B24" s="207" t="n"/>
      <c r="C24" s="235" t="inlineStr">
        <is>
          <t>1-2-8</t>
        </is>
      </c>
      <c r="D24" s="238" t="inlineStr">
        <is>
          <t>Затраты труда рабочих (средний разряд работы 2,8)</t>
        </is>
      </c>
      <c r="E24" s="333" t="inlineStr">
        <is>
          <t>чел.-ч</t>
        </is>
      </c>
      <c r="F24" s="393" t="n">
        <v>162.04</v>
      </c>
      <c r="G24" s="241" t="n">
        <v>8.380000000000001</v>
      </c>
      <c r="H24" s="229">
        <f>ROUND(F24*G24,2)</f>
        <v/>
      </c>
      <c r="J24" s="212" t="n"/>
    </row>
    <row r="25">
      <c r="A25" s="171" t="n">
        <v>14</v>
      </c>
      <c r="B25" s="207" t="n"/>
      <c r="C25" s="235" t="inlineStr">
        <is>
          <t>1-2-9</t>
        </is>
      </c>
      <c r="D25" s="238" t="inlineStr">
        <is>
          <t>Затраты труда рабочих (средний разряд работы 2,9)</t>
        </is>
      </c>
      <c r="E25" s="333" t="inlineStr">
        <is>
          <t>чел.-ч</t>
        </is>
      </c>
      <c r="F25" s="393" t="n">
        <v>77.38</v>
      </c>
      <c r="G25" s="241" t="n">
        <v>8.460000000000001</v>
      </c>
      <c r="H25" s="229">
        <f>ROUND(F25*G25,2)</f>
        <v/>
      </c>
      <c r="J25" s="212" t="n"/>
    </row>
    <row r="26">
      <c r="A26" s="171" t="n">
        <v>15</v>
      </c>
      <c r="B26" s="207" t="n"/>
      <c r="C26" s="235" t="inlineStr">
        <is>
          <t>1-4-3</t>
        </is>
      </c>
      <c r="D26" s="238" t="inlineStr">
        <is>
          <t>Затраты труда рабочих (средний разряд работы 4,3)</t>
        </is>
      </c>
      <c r="E26" s="333" t="inlineStr">
        <is>
          <t>чел.-ч</t>
        </is>
      </c>
      <c r="F26" s="393" t="n">
        <v>44.67</v>
      </c>
      <c r="G26" s="241" t="n">
        <v>10.06</v>
      </c>
      <c r="H26" s="229">
        <f>ROUND(F26*G26,2)</f>
        <v/>
      </c>
      <c r="J26" s="212" t="n"/>
    </row>
    <row r="27">
      <c r="A27" s="171" t="n">
        <v>16</v>
      </c>
      <c r="B27" s="207" t="n"/>
      <c r="C27" s="235" t="inlineStr">
        <is>
          <t>1-4-2</t>
        </is>
      </c>
      <c r="D27" s="238" t="inlineStr">
        <is>
          <t>Затраты труда рабочих (средний разряд работы 4,2)</t>
        </is>
      </c>
      <c r="E27" s="333" t="inlineStr">
        <is>
          <t>чел.-ч</t>
        </is>
      </c>
      <c r="F27" s="393" t="n">
        <v>44.45</v>
      </c>
      <c r="G27" s="241" t="n">
        <v>9.92</v>
      </c>
      <c r="H27" s="229">
        <f>ROUND(F27*G27,2)</f>
        <v/>
      </c>
      <c r="J27" s="212" t="n"/>
    </row>
    <row r="28">
      <c r="A28" s="171" t="n">
        <v>17</v>
      </c>
      <c r="B28" s="207" t="n"/>
      <c r="C28" s="235" t="inlineStr">
        <is>
          <t>1-2-2</t>
        </is>
      </c>
      <c r="D28" s="238" t="inlineStr">
        <is>
          <t>Затраты труда рабочих (средний разряд работы 2,2)</t>
        </is>
      </c>
      <c r="E28" s="333" t="inlineStr">
        <is>
          <t>чел.-ч</t>
        </is>
      </c>
      <c r="F28" s="393" t="n">
        <v>44.31</v>
      </c>
      <c r="G28" s="241" t="n">
        <v>7.94</v>
      </c>
      <c r="H28" s="229">
        <f>ROUND(F28*G28,2)</f>
        <v/>
      </c>
      <c r="J28" s="212" t="n"/>
    </row>
    <row r="29">
      <c r="A29" s="171" t="n">
        <v>18</v>
      </c>
      <c r="B29" s="207" t="n"/>
      <c r="C29" s="235" t="inlineStr">
        <is>
          <t>1-3-5</t>
        </is>
      </c>
      <c r="D29" s="238" t="inlineStr">
        <is>
          <t>Затраты труда рабочих (средний разряд работы 3,5)</t>
        </is>
      </c>
      <c r="E29" s="333" t="inlineStr">
        <is>
          <t>чел.-ч</t>
        </is>
      </c>
      <c r="F29" s="393" t="n">
        <v>32.62</v>
      </c>
      <c r="G29" s="241" t="n">
        <v>9.07</v>
      </c>
      <c r="H29" s="229">
        <f>ROUND(F29*G29,2)</f>
        <v/>
      </c>
      <c r="J29" s="212" t="n"/>
    </row>
    <row r="30">
      <c r="A30" s="171" t="n">
        <v>19</v>
      </c>
      <c r="B30" s="207" t="n"/>
      <c r="C30" s="235" t="inlineStr">
        <is>
          <t>1-4-4</t>
        </is>
      </c>
      <c r="D30" s="238" t="inlineStr">
        <is>
          <t>Затраты труда рабочих (средний разряд работы 4,4)</t>
        </is>
      </c>
      <c r="E30" s="333" t="inlineStr">
        <is>
          <t>чел.-ч</t>
        </is>
      </c>
      <c r="F30" s="393" t="n">
        <v>5.64</v>
      </c>
      <c r="G30" s="241" t="n">
        <v>10.21</v>
      </c>
      <c r="H30" s="229">
        <f>ROUND(F30*G30,2)</f>
        <v/>
      </c>
      <c r="J30" s="212" t="n"/>
    </row>
    <row r="31">
      <c r="A31" s="171" t="n">
        <v>20</v>
      </c>
      <c r="B31" s="207" t="n"/>
      <c r="C31" s="235" t="inlineStr">
        <is>
          <t>1-3-4</t>
        </is>
      </c>
      <c r="D31" s="238" t="inlineStr">
        <is>
          <t>Затраты труда рабочих (средний разряд работы 3,4)</t>
        </is>
      </c>
      <c r="E31" s="333" t="inlineStr">
        <is>
          <t>чел.-ч</t>
        </is>
      </c>
      <c r="F31" s="393" t="n">
        <v>4.54</v>
      </c>
      <c r="G31" s="241" t="n">
        <v>8.970000000000001</v>
      </c>
      <c r="H31" s="229">
        <f>ROUND(F31*G31,2)</f>
        <v/>
      </c>
      <c r="J31" s="212" t="n"/>
    </row>
    <row r="32">
      <c r="A32" s="171" t="n">
        <v>21</v>
      </c>
      <c r="B32" s="207" t="n"/>
      <c r="C32" s="235" t="inlineStr">
        <is>
          <t>1-2-7</t>
        </is>
      </c>
      <c r="D32" s="238" t="inlineStr">
        <is>
          <t>Затраты труда рабочих (средний разряд работы 2,7)</t>
        </is>
      </c>
      <c r="E32" s="333" t="inlineStr">
        <is>
          <t>чел.-ч</t>
        </is>
      </c>
      <c r="F32" s="393" t="n">
        <v>4.04</v>
      </c>
      <c r="G32" s="241" t="n">
        <v>8.31</v>
      </c>
      <c r="H32" s="229">
        <f>ROUND(F32*G32,2)</f>
        <v/>
      </c>
      <c r="J32" s="212" t="n"/>
    </row>
    <row r="33">
      <c r="A33" s="300" t="inlineStr">
        <is>
          <t>Затраты труда машинистов</t>
        </is>
      </c>
      <c r="B33" s="387" t="n"/>
      <c r="C33" s="387" t="n"/>
      <c r="D33" s="387" t="n"/>
      <c r="E33" s="388" t="n"/>
      <c r="F33" s="304" t="n"/>
      <c r="G33" s="149" t="n"/>
      <c r="H33" s="392">
        <f>H34</f>
        <v/>
      </c>
    </row>
    <row r="34">
      <c r="A34" s="315" t="n">
        <v>22</v>
      </c>
      <c r="B34" s="302" t="n"/>
      <c r="C34" s="235" t="n">
        <v>2</v>
      </c>
      <c r="D34" s="238" t="inlineStr">
        <is>
          <t>Затраты труда машинистов</t>
        </is>
      </c>
      <c r="E34" s="333" t="inlineStr">
        <is>
          <t>чел.-ч</t>
        </is>
      </c>
      <c r="F34" s="394" t="n">
        <v>3857.48</v>
      </c>
      <c r="G34" s="241" t="n">
        <v>0</v>
      </c>
      <c r="H34" s="395" t="n">
        <v>51297.21</v>
      </c>
      <c r="J34" s="212" t="n"/>
    </row>
    <row r="35" customFormat="1" s="148">
      <c r="A35" s="396" t="inlineStr">
        <is>
          <t>Машины и механизмы</t>
        </is>
      </c>
      <c r="E35" s="397" t="n"/>
      <c r="F35" s="304" t="n"/>
      <c r="G35" s="149" t="n"/>
      <c r="H35" s="392">
        <f>SUM(H36:H81)</f>
        <v/>
      </c>
    </row>
    <row r="36">
      <c r="A36" s="315" t="n">
        <v>23</v>
      </c>
      <c r="B36" s="302" t="n"/>
      <c r="C36" s="235" t="inlineStr">
        <is>
          <t>91.14.03-002</t>
        </is>
      </c>
      <c r="D36" s="238" t="inlineStr">
        <is>
          <t>Автомобили-самосвалы, грузоподъемность до 10 т</t>
        </is>
      </c>
      <c r="E36" s="333" t="inlineStr">
        <is>
          <t>маш.-ч</t>
        </is>
      </c>
      <c r="F36" s="333" t="n">
        <v>2237.07</v>
      </c>
      <c r="G36" s="236" t="n">
        <v>87.48999999999999</v>
      </c>
      <c r="H36" s="229">
        <f>ROUND(F36*G36,2)</f>
        <v/>
      </c>
      <c r="I36" s="152" t="n"/>
      <c r="J36" s="162" t="n"/>
      <c r="L36" s="152" t="n"/>
    </row>
    <row r="37" ht="25.5" customFormat="1" customHeight="1" s="148">
      <c r="A37" s="315" t="n">
        <v>24</v>
      </c>
      <c r="B37" s="302" t="n"/>
      <c r="C37" s="235" t="inlineStr">
        <is>
          <t>91.05.05-014</t>
        </is>
      </c>
      <c r="D37" s="238" t="inlineStr">
        <is>
          <t>Краны на автомобильном ходу, грузоподъемность 10 т</t>
        </is>
      </c>
      <c r="E37" s="333" t="inlineStr">
        <is>
          <t>маш.-ч</t>
        </is>
      </c>
      <c r="F37" s="333" t="n">
        <v>530</v>
      </c>
      <c r="G37" s="236" t="n">
        <v>111.99</v>
      </c>
      <c r="H37" s="229">
        <f>ROUND(F37*G37,2)</f>
        <v/>
      </c>
      <c r="I37" s="152" t="n"/>
      <c r="L37" s="152" t="n"/>
    </row>
    <row r="38" ht="38.25" customHeight="1" s="262">
      <c r="A38" s="315" t="n">
        <v>25</v>
      </c>
      <c r="B38" s="302" t="n"/>
      <c r="C38" s="235" t="inlineStr">
        <is>
          <t>91.18.01-007</t>
        </is>
      </c>
      <c r="D38" s="23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8" s="333" t="inlineStr">
        <is>
          <t>маш.-ч</t>
        </is>
      </c>
      <c r="F38" s="333" t="n">
        <v>484.04</v>
      </c>
      <c r="G38" s="236" t="n">
        <v>90</v>
      </c>
      <c r="H38" s="229">
        <f>ROUND(F38*G38,2)</f>
        <v/>
      </c>
      <c r="I38" s="152" t="n"/>
      <c r="L38" s="152" t="n"/>
    </row>
    <row r="39" ht="25.5" customHeight="1" s="262">
      <c r="A39" s="315" t="n">
        <v>26</v>
      </c>
      <c r="B39" s="302" t="n"/>
      <c r="C39" s="235" t="inlineStr">
        <is>
          <t>91.01.05-085</t>
        </is>
      </c>
      <c r="D39" s="238" t="inlineStr">
        <is>
          <t>Экскаваторы одноковшовые дизельные на гусеничном ходу, емкость ковша 0,5 м3</t>
        </is>
      </c>
      <c r="E39" s="333" t="inlineStr">
        <is>
          <t>маш.-ч</t>
        </is>
      </c>
      <c r="F39" s="333" t="n">
        <v>113</v>
      </c>
      <c r="G39" s="236" t="n">
        <v>100</v>
      </c>
      <c r="H39" s="229">
        <f>ROUND(F39*G39,2)</f>
        <v/>
      </c>
      <c r="I39" s="152" t="n"/>
      <c r="L39" s="152" t="n"/>
    </row>
    <row r="40" ht="25.5" customHeight="1" s="262">
      <c r="A40" s="315" t="n">
        <v>27</v>
      </c>
      <c r="B40" s="302" t="n"/>
      <c r="C40" s="235" t="inlineStr">
        <is>
          <t>91.21.22-432</t>
        </is>
      </c>
      <c r="D40" s="238" t="inlineStr">
        <is>
          <t>Установки вакуумной обработки трансформаторного масла</t>
        </is>
      </c>
      <c r="E40" s="333" t="inlineStr">
        <is>
          <t>маш.-ч</t>
        </is>
      </c>
      <c r="F40" s="333" t="n">
        <v>110.61</v>
      </c>
      <c r="G40" s="236" t="n">
        <v>77.03</v>
      </c>
      <c r="H40" s="229">
        <f>ROUND(F40*G40,2)</f>
        <v/>
      </c>
      <c r="I40" s="152" t="n"/>
      <c r="L40" s="152" t="n"/>
    </row>
    <row r="41">
      <c r="A41" s="315" t="n">
        <v>28</v>
      </c>
      <c r="B41" s="302" t="n"/>
      <c r="C41" s="235" t="inlineStr">
        <is>
          <t>91.14.02-001</t>
        </is>
      </c>
      <c r="D41" s="238" t="inlineStr">
        <is>
          <t>Автомобили бортовые, грузоподъемность до 5 т</t>
        </is>
      </c>
      <c r="E41" s="333" t="inlineStr">
        <is>
          <t>маш.-ч</t>
        </is>
      </c>
      <c r="F41" s="333" t="n">
        <v>117.34</v>
      </c>
      <c r="G41" s="236" t="n">
        <v>65.70999999999999</v>
      </c>
      <c r="H41" s="229">
        <f>ROUND(F41*G41,2)</f>
        <v/>
      </c>
      <c r="I41" s="152" t="n"/>
      <c r="L41" s="152" t="n"/>
    </row>
    <row r="42" ht="25.5" customHeight="1" s="262">
      <c r="A42" s="315" t="n">
        <v>29</v>
      </c>
      <c r="B42" s="302" t="n"/>
      <c r="C42" s="235" t="inlineStr">
        <is>
          <t>91.06.05-057</t>
        </is>
      </c>
      <c r="D42" s="238" t="inlineStr">
        <is>
          <t>Погрузчики одноковшовые универсальные фронтальные пневмоколесные, грузоподъемность 3 т</t>
        </is>
      </c>
      <c r="E42" s="333" t="inlineStr">
        <is>
          <t>маш.-ч</t>
        </is>
      </c>
      <c r="F42" s="333" t="n">
        <v>80.79000000000001</v>
      </c>
      <c r="G42" s="236" t="n">
        <v>90.40000000000001</v>
      </c>
      <c r="H42" s="229">
        <f>ROUND(F42*G42,2)</f>
        <v/>
      </c>
      <c r="I42" s="152" t="n"/>
    </row>
    <row r="43">
      <c r="A43" s="315" t="n">
        <v>30</v>
      </c>
      <c r="B43" s="302" t="n"/>
      <c r="C43" s="235" t="inlineStr">
        <is>
          <t>91.21.18-011</t>
        </is>
      </c>
      <c r="D43" s="238" t="inlineStr">
        <is>
          <t>Маслоподогреватели</t>
        </is>
      </c>
      <c r="E43" s="333" t="inlineStr">
        <is>
          <t>маш.-ч</t>
        </is>
      </c>
      <c r="F43" s="333" t="n">
        <v>181.32</v>
      </c>
      <c r="G43" s="236" t="n">
        <v>38.87</v>
      </c>
      <c r="H43" s="229">
        <f>ROUND(F43*G43,2)</f>
        <v/>
      </c>
      <c r="I43" s="152" t="n"/>
    </row>
    <row r="44">
      <c r="A44" s="315" t="n">
        <v>31</v>
      </c>
      <c r="B44" s="302" t="n"/>
      <c r="C44" s="235" t="inlineStr">
        <is>
          <t>91.05.06-007</t>
        </is>
      </c>
      <c r="D44" s="238" t="inlineStr">
        <is>
          <t>Краны на гусеничном ходу, грузоподъемность 25 т</t>
        </is>
      </c>
      <c r="E44" s="333" t="inlineStr">
        <is>
          <t>маш.-ч</t>
        </is>
      </c>
      <c r="F44" s="333" t="n">
        <v>57.1</v>
      </c>
      <c r="G44" s="236" t="n">
        <v>120.04</v>
      </c>
      <c r="H44" s="229">
        <f>ROUND(F44*G44,2)</f>
        <v/>
      </c>
      <c r="I44" s="152" t="n"/>
    </row>
    <row r="45">
      <c r="A45" s="315" t="n">
        <v>32</v>
      </c>
      <c r="B45" s="302" t="n"/>
      <c r="C45" s="235" t="inlineStr">
        <is>
          <t>91.21.22-447</t>
        </is>
      </c>
      <c r="D45" s="238" t="inlineStr">
        <is>
          <t>Установки электрометаллизационные</t>
        </is>
      </c>
      <c r="E45" s="333" t="inlineStr">
        <is>
          <t>маш.-ч</t>
        </is>
      </c>
      <c r="F45" s="333" t="n">
        <v>65.08</v>
      </c>
      <c r="G45" s="236" t="n">
        <v>74.23999999999999</v>
      </c>
      <c r="H45" s="229">
        <f>ROUND(F45*G45,2)</f>
        <v/>
      </c>
      <c r="I45" s="152" t="n"/>
    </row>
    <row r="46" customFormat="1" s="148">
      <c r="A46" s="315" t="n">
        <v>33</v>
      </c>
      <c r="B46" s="302" t="n"/>
      <c r="C46" s="235" t="inlineStr">
        <is>
          <t>91.19.12-021</t>
        </is>
      </c>
      <c r="D46" s="238" t="inlineStr">
        <is>
          <t>Насосы вакуумные 3,6 м3/мин</t>
        </is>
      </c>
      <c r="E46" s="333" t="inlineStr">
        <is>
          <t>маш.-ч</t>
        </is>
      </c>
      <c r="F46" s="333" t="n">
        <v>715.2</v>
      </c>
      <c r="G46" s="236" t="n">
        <v>6.28</v>
      </c>
      <c r="H46" s="229">
        <f>ROUND(F46*G46,2)</f>
        <v/>
      </c>
      <c r="I46" s="152" t="n"/>
      <c r="L46" s="152" t="n"/>
    </row>
    <row r="47">
      <c r="A47" s="315" t="n">
        <v>34</v>
      </c>
      <c r="B47" s="302" t="n"/>
      <c r="C47" s="235" t="inlineStr">
        <is>
          <t>91.21.22-438</t>
        </is>
      </c>
      <c r="D47" s="238" t="inlineStr">
        <is>
          <t>Установки передвижные цеолитовые</t>
        </is>
      </c>
      <c r="E47" s="333" t="inlineStr">
        <is>
          <t>маш.-ч</t>
        </is>
      </c>
      <c r="F47" s="235" t="n">
        <v>105.72</v>
      </c>
      <c r="G47" s="236" t="n">
        <v>38.65</v>
      </c>
      <c r="H47" s="229">
        <f>ROUND(F47*G47,2)</f>
        <v/>
      </c>
      <c r="I47" s="152" t="n"/>
      <c r="L47" s="152" t="n"/>
    </row>
    <row r="48">
      <c r="A48" s="315" t="n">
        <v>35</v>
      </c>
      <c r="B48" s="302" t="n"/>
      <c r="C48" s="235" t="inlineStr">
        <is>
          <t>91.05.01-017</t>
        </is>
      </c>
      <c r="D48" s="238" t="inlineStr">
        <is>
          <t>Краны башенные, грузоподъемность 8 т</t>
        </is>
      </c>
      <c r="E48" s="333" t="inlineStr">
        <is>
          <t>маш.-ч</t>
        </is>
      </c>
      <c r="F48" s="235" t="n">
        <v>46.89</v>
      </c>
      <c r="G48" s="236" t="n">
        <v>86.40000000000001</v>
      </c>
      <c r="H48" s="229">
        <f>ROUND(F48*G48,2)</f>
        <v/>
      </c>
      <c r="I48" s="152" t="n"/>
      <c r="L48" s="152" t="n"/>
    </row>
    <row r="49">
      <c r="A49" s="315" t="n">
        <v>36</v>
      </c>
      <c r="B49" s="302" t="n"/>
      <c r="C49" s="235" t="inlineStr">
        <is>
          <t>91.21.22-447</t>
        </is>
      </c>
      <c r="D49" s="238" t="inlineStr">
        <is>
          <t>Установки электрометаллизационные</t>
        </is>
      </c>
      <c r="E49" s="333" t="inlineStr">
        <is>
          <t>маш.час</t>
        </is>
      </c>
      <c r="F49" s="235" t="n">
        <v>53.61</v>
      </c>
      <c r="G49" s="236" t="n">
        <v>74.23999999999999</v>
      </c>
      <c r="H49" s="229">
        <f>ROUND(F49*G49,2)</f>
        <v/>
      </c>
      <c r="I49" s="152" t="n"/>
      <c r="L49" s="152" t="n"/>
    </row>
    <row r="50">
      <c r="A50" s="315" t="n">
        <v>37</v>
      </c>
      <c r="B50" s="302" t="n"/>
      <c r="C50" s="235" t="inlineStr">
        <is>
          <t>91.06.09-011</t>
        </is>
      </c>
      <c r="D50" s="238" t="inlineStr">
        <is>
          <t>Люльки</t>
        </is>
      </c>
      <c r="E50" s="333" t="inlineStr">
        <is>
          <t>маш.-ч</t>
        </is>
      </c>
      <c r="F50" s="333" t="n">
        <v>58.74</v>
      </c>
      <c r="G50" s="236" t="n">
        <v>53.87</v>
      </c>
      <c r="H50" s="229">
        <f>ROUND(F50*G50,2)</f>
        <v/>
      </c>
      <c r="I50" s="152" t="n"/>
      <c r="L50" s="152" t="n"/>
    </row>
    <row r="51" ht="25.5" customHeight="1" s="262">
      <c r="A51" s="315" t="n">
        <v>38</v>
      </c>
      <c r="B51" s="302" t="n"/>
      <c r="C51" s="235" t="inlineStr">
        <is>
          <t>91.17.04-233</t>
        </is>
      </c>
      <c r="D51" s="238" t="inlineStr">
        <is>
          <t>Установки для сварки ручной дуговой (постоянного тока)</t>
        </is>
      </c>
      <c r="E51" s="333" t="inlineStr">
        <is>
          <t>маш.-ч</t>
        </is>
      </c>
      <c r="F51" s="235" t="n">
        <v>269.18</v>
      </c>
      <c r="G51" s="236" t="n">
        <v>8.1</v>
      </c>
      <c r="H51" s="229">
        <f>ROUND(F51*G51,2)</f>
        <v/>
      </c>
      <c r="I51" s="152" t="n"/>
    </row>
    <row r="52">
      <c r="A52" s="315" t="n">
        <v>39</v>
      </c>
      <c r="B52" s="302" t="n"/>
      <c r="C52" s="235" t="inlineStr">
        <is>
          <t>91.10.01-002</t>
        </is>
      </c>
      <c r="D52" s="238" t="inlineStr">
        <is>
          <t>Агрегаты наполнительно-опрессовочные до 300 м3/ч</t>
        </is>
      </c>
      <c r="E52" s="333" t="inlineStr">
        <is>
          <t>маш.-ч</t>
        </is>
      </c>
      <c r="F52" s="235" t="n">
        <v>6.33</v>
      </c>
      <c r="G52" s="236" t="n">
        <v>287.99</v>
      </c>
      <c r="H52" s="229">
        <f>ROUND(F52*G52,2)</f>
        <v/>
      </c>
      <c r="I52" s="152" t="n"/>
    </row>
    <row r="53" ht="25.5" customHeight="1" s="262">
      <c r="A53" s="315" t="n">
        <v>40</v>
      </c>
      <c r="B53" s="302" t="n"/>
      <c r="C53" s="235" t="inlineStr">
        <is>
          <t>91.21.18-031</t>
        </is>
      </c>
      <c r="D53" s="238" t="inlineStr">
        <is>
          <t>Установки для защиты изоляции трансформаторов от увлажнения</t>
        </is>
      </c>
      <c r="E53" s="333" t="inlineStr">
        <is>
          <t>маш.-ч</t>
        </is>
      </c>
      <c r="F53" s="235" t="n">
        <v>114.6</v>
      </c>
      <c r="G53" s="236" t="n">
        <v>13.49</v>
      </c>
      <c r="H53" s="229">
        <f>ROUND(F53*G53,2)</f>
        <v/>
      </c>
      <c r="I53" s="152" t="n"/>
      <c r="L53" s="152" t="n"/>
    </row>
    <row r="54" ht="25.5" customHeight="1" s="262">
      <c r="A54" s="315" t="n">
        <v>41</v>
      </c>
      <c r="B54" s="302" t="n"/>
      <c r="C54" s="235" t="inlineStr">
        <is>
          <t>91.21.22-091</t>
        </is>
      </c>
      <c r="D54" s="238" t="inlineStr">
        <is>
          <t>Выпрямители полупроводниковые для подогрева трансформаторов</t>
        </is>
      </c>
      <c r="E54" s="333" t="inlineStr">
        <is>
          <t>маш.-ч</t>
        </is>
      </c>
      <c r="F54" s="235" t="n">
        <v>348.9</v>
      </c>
      <c r="G54" s="236" t="n">
        <v>3.82</v>
      </c>
      <c r="H54" s="229">
        <f>ROUND(F54*G54,2)</f>
        <v/>
      </c>
      <c r="I54" s="152" t="n"/>
      <c r="L54" s="152" t="n"/>
    </row>
    <row r="55" ht="25.5" customHeight="1" s="262">
      <c r="A55" s="315" t="n">
        <v>42</v>
      </c>
      <c r="B55" s="302" t="n"/>
      <c r="C55" s="235" t="inlineStr">
        <is>
          <t>91.05.06-012</t>
        </is>
      </c>
      <c r="D55" s="238" t="inlineStr">
        <is>
          <t>Краны на гусеничном ходу, грузоподъемность до 16 т</t>
        </is>
      </c>
      <c r="E55" s="333" t="inlineStr">
        <is>
          <t>маш.-ч</t>
        </is>
      </c>
      <c r="F55" s="235" t="n">
        <v>12.02</v>
      </c>
      <c r="G55" s="236" t="n">
        <v>96.89</v>
      </c>
      <c r="H55" s="229">
        <f>ROUND(F55*G55,2)</f>
        <v/>
      </c>
      <c r="I55" s="152" t="n"/>
    </row>
    <row r="56">
      <c r="A56" s="315" t="n">
        <v>43</v>
      </c>
      <c r="B56" s="302" t="n"/>
      <c r="C56" s="235" t="inlineStr">
        <is>
          <t>91.09.12-101</t>
        </is>
      </c>
      <c r="D56" s="238" t="inlineStr">
        <is>
          <t>Станки рельсорезные</t>
        </is>
      </c>
      <c r="E56" s="333" t="inlineStr">
        <is>
          <t>маш.-ч</t>
        </is>
      </c>
      <c r="F56" s="235" t="n">
        <v>27.95</v>
      </c>
      <c r="G56" s="236" t="n">
        <v>20</v>
      </c>
      <c r="H56" s="229">
        <f>ROUND(F56*G56,2)</f>
        <v/>
      </c>
      <c r="I56" s="152" t="n"/>
    </row>
    <row r="57">
      <c r="A57" s="315" t="n">
        <v>44</v>
      </c>
      <c r="B57" s="302" t="n"/>
      <c r="C57" s="235" t="inlineStr">
        <is>
          <t>91.21.18-051</t>
        </is>
      </c>
      <c r="D57" s="238" t="inlineStr">
        <is>
          <t>Шкафы сушильные</t>
        </is>
      </c>
      <c r="E57" s="333" t="inlineStr">
        <is>
          <t>маш.-ч</t>
        </is>
      </c>
      <c r="F57" s="235" t="n">
        <v>187.92</v>
      </c>
      <c r="G57" s="236" t="n">
        <v>2.67</v>
      </c>
      <c r="H57" s="229">
        <f>ROUND(F57*G57,2)</f>
        <v/>
      </c>
      <c r="I57" s="152" t="n"/>
    </row>
    <row r="58">
      <c r="A58" s="315" t="n">
        <v>45</v>
      </c>
      <c r="B58" s="302" t="n"/>
      <c r="C58" s="235" t="inlineStr">
        <is>
          <t>91.08.04-021</t>
        </is>
      </c>
      <c r="D58" s="238" t="inlineStr">
        <is>
          <t>Котлы битумные передвижные 400 л</t>
        </is>
      </c>
      <c r="E58" s="333" t="inlineStr">
        <is>
          <t>маш.-ч</t>
        </is>
      </c>
      <c r="F58" s="235" t="n">
        <v>14.43</v>
      </c>
      <c r="G58" s="236" t="n">
        <v>30</v>
      </c>
      <c r="H58" s="229">
        <f>ROUND(F58*G58,2)</f>
        <v/>
      </c>
      <c r="I58" s="152" t="n"/>
    </row>
    <row r="59" customFormat="1" s="148">
      <c r="A59" s="315" t="n">
        <v>46</v>
      </c>
      <c r="B59" s="302" t="n"/>
      <c r="C59" s="235" t="inlineStr">
        <is>
          <t>91.01.01-035</t>
        </is>
      </c>
      <c r="D59" s="238" t="inlineStr">
        <is>
          <t>Бульдозеры, мощность 79 кВт (108 л.с.)</t>
        </is>
      </c>
      <c r="E59" s="333" t="inlineStr">
        <is>
          <t>маш.-ч</t>
        </is>
      </c>
      <c r="F59" s="235" t="n">
        <v>5.38</v>
      </c>
      <c r="G59" s="236" t="n">
        <v>79.06999999999999</v>
      </c>
      <c r="H59" s="229">
        <f>ROUND(F59*G59,2)</f>
        <v/>
      </c>
      <c r="I59" s="152" t="n"/>
      <c r="L59" s="152" t="n"/>
    </row>
    <row r="60" ht="25.5" customHeight="1" s="262">
      <c r="A60" s="315" t="n">
        <v>47</v>
      </c>
      <c r="B60" s="302" t="n"/>
      <c r="C60" s="235" t="inlineStr">
        <is>
          <t>91.08.09-023</t>
        </is>
      </c>
      <c r="D60" s="238" t="inlineStr">
        <is>
          <t>Трамбовки пневматические при работе от передвижных компрессорных станций</t>
        </is>
      </c>
      <c r="E60" s="333" t="inlineStr">
        <is>
          <t>маш.-ч</t>
        </is>
      </c>
      <c r="F60" s="235" t="n">
        <v>753.42</v>
      </c>
      <c r="G60" s="236" t="n">
        <v>0.55</v>
      </c>
      <c r="H60" s="229">
        <f>ROUND(F60*G60,2)</f>
        <v/>
      </c>
      <c r="I60" s="152" t="n"/>
      <c r="L60" s="152" t="n"/>
    </row>
    <row r="61" ht="25.5" customHeight="1" s="262">
      <c r="A61" s="315" t="n">
        <v>48</v>
      </c>
      <c r="B61" s="302" t="n"/>
      <c r="C61" s="235" t="inlineStr">
        <is>
          <t>91.06.03-058</t>
        </is>
      </c>
      <c r="D61" s="238" t="inlineStr">
        <is>
          <t>Лебедки электрические тяговым усилием 156,96 кН (16 т)</t>
        </is>
      </c>
      <c r="E61" s="333" t="inlineStr">
        <is>
          <t>маш.-ч</t>
        </is>
      </c>
      <c r="F61" s="333" t="n">
        <v>3.11</v>
      </c>
      <c r="G61" s="236" t="n">
        <v>131.44</v>
      </c>
      <c r="H61" s="229">
        <f>ROUND(F61*G61,2)</f>
        <v/>
      </c>
      <c r="I61" s="152" t="n"/>
      <c r="L61" s="152" t="n"/>
    </row>
    <row r="62">
      <c r="A62" s="315" t="n">
        <v>49</v>
      </c>
      <c r="B62" s="302" t="n"/>
      <c r="C62" s="235" t="inlineStr">
        <is>
          <t>91.06.06-042</t>
        </is>
      </c>
      <c r="D62" s="238" t="inlineStr">
        <is>
          <t>Подъемники гидравлические, высота подъема 10 м</t>
        </is>
      </c>
      <c r="E62" s="333" t="inlineStr">
        <is>
          <t>маш.-ч</t>
        </is>
      </c>
      <c r="F62" s="235" t="n">
        <v>13.42</v>
      </c>
      <c r="G62" s="236" t="n">
        <v>29.6</v>
      </c>
      <c r="H62" s="229">
        <f>ROUND(F62*G62,2)</f>
        <v/>
      </c>
      <c r="I62" s="152" t="n"/>
      <c r="L62" s="152" t="n"/>
    </row>
    <row r="63">
      <c r="A63" s="315" t="n">
        <v>50</v>
      </c>
      <c r="B63" s="302" t="n"/>
      <c r="C63" s="235" t="inlineStr">
        <is>
          <t>91.16.01-002</t>
        </is>
      </c>
      <c r="D63" s="238" t="inlineStr">
        <is>
          <t>Электростанции передвижные, мощность 4 кВт</t>
        </is>
      </c>
      <c r="E63" s="333" t="inlineStr">
        <is>
          <t>маш.-ч</t>
        </is>
      </c>
      <c r="F63" s="235" t="n">
        <v>13.97</v>
      </c>
      <c r="G63" s="236" t="n">
        <v>27.11</v>
      </c>
      <c r="H63" s="229">
        <f>ROUND(F63*G63,2)</f>
        <v/>
      </c>
      <c r="I63" s="152" t="n"/>
      <c r="L63" s="152" t="n"/>
    </row>
    <row r="64" ht="25.5" customHeight="1" s="262">
      <c r="A64" s="315" t="n">
        <v>51</v>
      </c>
      <c r="B64" s="302" t="n"/>
      <c r="C64" s="235" t="inlineStr">
        <is>
          <t>91.17.04-036</t>
        </is>
      </c>
      <c r="D64" s="238" t="inlineStr">
        <is>
          <t>Агрегаты сварочные передвижные с дизельным двигателем, номинальный сварочный ток 250-400 А</t>
        </is>
      </c>
      <c r="E64" s="333" t="inlineStr">
        <is>
          <t>маш.-ч</t>
        </is>
      </c>
      <c r="F64" s="235" t="n">
        <v>20.9</v>
      </c>
      <c r="G64" s="236" t="n">
        <v>14</v>
      </c>
      <c r="H64" s="229">
        <f>ROUND(F64*G64,2)</f>
        <v/>
      </c>
      <c r="I64" s="152" t="n"/>
    </row>
    <row r="65" ht="25.5" customHeight="1" s="262">
      <c r="A65" s="315" t="n">
        <v>52</v>
      </c>
      <c r="B65" s="302" t="n"/>
      <c r="C65" s="235" t="inlineStr">
        <is>
          <t>91.01.05-086</t>
        </is>
      </c>
      <c r="D65" s="238" t="inlineStr">
        <is>
          <t>Экскаваторы одноковшовые дизельные на гусеничном ходу, емкость ковша 0,65 м3</t>
        </is>
      </c>
      <c r="E65" s="333" t="inlineStr">
        <is>
          <t>маш.-ч</t>
        </is>
      </c>
      <c r="F65" s="235" t="n">
        <v>2.46</v>
      </c>
      <c r="G65" s="236" t="n">
        <v>115.27</v>
      </c>
      <c r="H65" s="229">
        <f>ROUND(F65*G65,2)</f>
        <v/>
      </c>
      <c r="I65" s="152" t="n"/>
    </row>
    <row r="66">
      <c r="A66" s="315" t="n">
        <v>53</v>
      </c>
      <c r="B66" s="302" t="n"/>
      <c r="C66" s="235" t="inlineStr">
        <is>
          <t>91.14.02-002</t>
        </is>
      </c>
      <c r="D66" s="238" t="inlineStr">
        <is>
          <t>Автомобили бортовые, грузоподъемность до 8 т</t>
        </is>
      </c>
      <c r="E66" s="333" t="inlineStr">
        <is>
          <t>маш.-ч</t>
        </is>
      </c>
      <c r="F66" s="235" t="n">
        <v>3.12</v>
      </c>
      <c r="G66" s="236" t="n">
        <v>85.84</v>
      </c>
      <c r="H66" s="229">
        <f>ROUND(F66*G66,2)</f>
        <v/>
      </c>
      <c r="I66" s="152" t="n"/>
    </row>
    <row r="67" ht="38.25" customHeight="1" s="262">
      <c r="A67" s="315" t="n">
        <v>54</v>
      </c>
      <c r="B67" s="302" t="n"/>
      <c r="C67" s="235" t="inlineStr">
        <is>
          <t>91.21.22-231</t>
        </is>
      </c>
      <c r="D67" s="238" t="inlineStr">
        <is>
          <t>Мотопомпы бензиновые производительностью 54 м3/час, высота подъема 26 м, глубина всасывания 8 м</t>
        </is>
      </c>
      <c r="E67" s="333" t="inlineStr">
        <is>
          <t>маш.-ч</t>
        </is>
      </c>
      <c r="F67" s="235" t="n">
        <v>28.78</v>
      </c>
      <c r="G67" s="236" t="n">
        <v>9.08</v>
      </c>
      <c r="H67" s="229">
        <f>ROUND(F67*G67,2)</f>
        <v/>
      </c>
      <c r="I67" s="152" t="n"/>
    </row>
    <row r="68" ht="25.5" customFormat="1" customHeight="1" s="148">
      <c r="A68" s="315" t="n">
        <v>55</v>
      </c>
      <c r="B68" s="302" t="n"/>
      <c r="C68" s="235" t="inlineStr">
        <is>
          <t>91.15.03-014</t>
        </is>
      </c>
      <c r="D68" s="238" t="inlineStr">
        <is>
          <t>Тракторы на пневмоколесном ходу, мощность 59 кВт (80 л.с.)</t>
        </is>
      </c>
      <c r="E68" s="333" t="inlineStr">
        <is>
          <t>маш.-ч</t>
        </is>
      </c>
      <c r="F68" s="235" t="n">
        <v>3.3</v>
      </c>
      <c r="G68" s="236" t="n">
        <v>74.61</v>
      </c>
      <c r="H68" s="229">
        <f>ROUND(F68*G68,2)</f>
        <v/>
      </c>
      <c r="I68" s="152" t="n"/>
      <c r="L68" s="152" t="n"/>
    </row>
    <row r="69">
      <c r="A69" s="315" t="n">
        <v>56</v>
      </c>
      <c r="B69" s="302" t="n"/>
      <c r="C69" s="235" t="inlineStr">
        <is>
          <t>91.14.02-001</t>
        </is>
      </c>
      <c r="D69" s="238" t="inlineStr">
        <is>
          <t>Автомобили бортовые, грузоподъемность до 5 т</t>
        </is>
      </c>
      <c r="E69" s="333" t="inlineStr">
        <is>
          <t>маш.час</t>
        </is>
      </c>
      <c r="F69" s="235" t="n">
        <v>3.42</v>
      </c>
      <c r="G69" s="236" t="n">
        <v>65.70999999999999</v>
      </c>
      <c r="H69" s="229">
        <f>ROUND(F69*G69,2)</f>
        <v/>
      </c>
      <c r="I69" s="152" t="n"/>
      <c r="L69" s="152" t="n"/>
    </row>
    <row r="70">
      <c r="A70" s="315" t="n">
        <v>57</v>
      </c>
      <c r="B70" s="302" t="n"/>
      <c r="C70" s="235" t="inlineStr">
        <is>
          <t>91.14.04-002</t>
        </is>
      </c>
      <c r="D70" s="238" t="inlineStr">
        <is>
          <t>Тягачи седельные, грузоподъемность 15 т</t>
        </is>
      </c>
      <c r="E70" s="333" t="inlineStr">
        <is>
          <t>маш.-ч</t>
        </is>
      </c>
      <c r="F70" s="235" t="n">
        <v>2.29</v>
      </c>
      <c r="G70" s="236" t="n">
        <v>94.38</v>
      </c>
      <c r="H70" s="229">
        <f>ROUND(F70*G70,2)</f>
        <v/>
      </c>
      <c r="I70" s="152" t="n"/>
      <c r="L70" s="152" t="n"/>
    </row>
    <row r="71">
      <c r="A71" s="315" t="n">
        <v>58</v>
      </c>
      <c r="B71" s="302" t="n"/>
      <c r="C71" s="235" t="inlineStr">
        <is>
          <t>91.06.05-011</t>
        </is>
      </c>
      <c r="D71" s="238" t="inlineStr">
        <is>
          <t>Погрузчики, грузоподъемность 5 т</t>
        </is>
      </c>
      <c r="E71" s="333" t="inlineStr">
        <is>
          <t>маш.-ч</t>
        </is>
      </c>
      <c r="F71" s="235" t="n">
        <v>2.09</v>
      </c>
      <c r="G71" s="236" t="n">
        <v>89.98999999999999</v>
      </c>
      <c r="H71" s="229">
        <f>ROUND(F71*G71,2)</f>
        <v/>
      </c>
      <c r="I71" s="152" t="n"/>
      <c r="L71" s="152" t="n"/>
    </row>
    <row r="72" ht="25.5" customHeight="1" s="262">
      <c r="A72" s="315" t="n">
        <v>59</v>
      </c>
      <c r="B72" s="302" t="n"/>
      <c r="C72" s="235" t="inlineStr">
        <is>
          <t>91.06.01-003</t>
        </is>
      </c>
      <c r="D72" s="238" t="inlineStr">
        <is>
          <t>Домкраты гидравлические, грузоподъемность 63-100 т</t>
        </is>
      </c>
      <c r="E72" s="333" t="inlineStr">
        <is>
          <t>маш.-ч</t>
        </is>
      </c>
      <c r="F72" s="235" t="n">
        <v>133.63</v>
      </c>
      <c r="G72" s="236" t="n">
        <v>0.9</v>
      </c>
      <c r="H72" s="229">
        <f>ROUND(F72*G72,2)</f>
        <v/>
      </c>
      <c r="I72" s="152" t="n"/>
      <c r="L72" s="152" t="n"/>
    </row>
    <row r="73">
      <c r="A73" s="315" t="n">
        <v>60</v>
      </c>
      <c r="B73" s="302" t="n"/>
      <c r="C73" s="235" t="inlineStr">
        <is>
          <t>91.14.05-002</t>
        </is>
      </c>
      <c r="D73" s="238" t="inlineStr">
        <is>
          <t>Полуприцепы-тяжеловозы, грузоподъемность 40 т</t>
        </is>
      </c>
      <c r="E73" s="333" t="inlineStr">
        <is>
          <t>маш.-ч</t>
        </is>
      </c>
      <c r="F73" s="235" t="n">
        <v>2.29</v>
      </c>
      <c r="G73" s="236" t="n">
        <v>28.65</v>
      </c>
      <c r="H73" s="229">
        <f>ROUND(F73*G73,2)</f>
        <v/>
      </c>
      <c r="I73" s="152" t="n"/>
    </row>
    <row r="74">
      <c r="A74" s="315" t="n">
        <v>61</v>
      </c>
      <c r="B74" s="302" t="n"/>
      <c r="C74" s="235" t="inlineStr">
        <is>
          <t>91.07.04-001</t>
        </is>
      </c>
      <c r="D74" s="238" t="inlineStr">
        <is>
          <t>Вибраторы глубинные</t>
        </is>
      </c>
      <c r="E74" s="333" t="inlineStr">
        <is>
          <t>маш.-ч</t>
        </is>
      </c>
      <c r="F74" s="235" t="n">
        <v>29.54</v>
      </c>
      <c r="G74" s="236" t="n">
        <v>1.9</v>
      </c>
      <c r="H74" s="229">
        <f>ROUND(F74*G74,2)</f>
        <v/>
      </c>
      <c r="I74" s="152" t="n"/>
    </row>
    <row r="75" ht="25.5" customHeight="1" s="262">
      <c r="A75" s="315" t="n">
        <v>62</v>
      </c>
      <c r="B75" s="302" t="n"/>
      <c r="C75" s="235" t="inlineStr">
        <is>
          <t>91.19.02-002</t>
        </is>
      </c>
      <c r="D75" s="238" t="inlineStr">
        <is>
          <t>Маслонасосы шестеренные, производительность 2,3 м3/час</t>
        </is>
      </c>
      <c r="E75" s="333" t="inlineStr">
        <is>
          <t>маш.-ч</t>
        </is>
      </c>
      <c r="F75" s="235" t="n">
        <v>57.96</v>
      </c>
      <c r="G75" s="236" t="n">
        <v>0.9</v>
      </c>
      <c r="H75" s="229">
        <f>ROUND(F75*G75,2)</f>
        <v/>
      </c>
      <c r="I75" s="152" t="n"/>
    </row>
    <row r="76" customFormat="1" s="148">
      <c r="A76" s="315" t="n">
        <v>63</v>
      </c>
      <c r="B76" s="302" t="n"/>
      <c r="C76" s="235" t="inlineStr">
        <is>
          <t>91.01.01-036</t>
        </is>
      </c>
      <c r="D76" s="238" t="inlineStr">
        <is>
          <t>Бульдозеры, мощность 96 кВт (130 л.с.)</t>
        </is>
      </c>
      <c r="E76" s="333" t="inlineStr">
        <is>
          <t>маш.-ч</t>
        </is>
      </c>
      <c r="F76" s="235" t="n">
        <v>0.55</v>
      </c>
      <c r="G76" s="236" t="n">
        <v>94.05</v>
      </c>
      <c r="H76" s="229">
        <f>ROUND(F76*G76,2)</f>
        <v/>
      </c>
      <c r="I76" s="152" t="n"/>
      <c r="L76" s="152" t="n"/>
    </row>
    <row r="77">
      <c r="A77" s="315" t="n">
        <v>64</v>
      </c>
      <c r="B77" s="302" t="n"/>
      <c r="C77" s="235" t="inlineStr">
        <is>
          <t>91.06.05-011</t>
        </is>
      </c>
      <c r="D77" s="238" t="inlineStr">
        <is>
          <t>Погрузчики, грузоподъемность 5 т</t>
        </is>
      </c>
      <c r="E77" s="333" t="inlineStr">
        <is>
          <t>маш.час</t>
        </is>
      </c>
      <c r="F77" s="235" t="n">
        <v>0.57</v>
      </c>
      <c r="G77" s="236" t="n">
        <v>89.98999999999999</v>
      </c>
      <c r="H77" s="229">
        <f>ROUND(F77*G77,2)</f>
        <v/>
      </c>
      <c r="I77" s="152" t="n"/>
      <c r="L77" s="152" t="n"/>
    </row>
    <row r="78">
      <c r="A78" s="315" t="n">
        <v>65</v>
      </c>
      <c r="B78" s="302" t="n"/>
      <c r="C78" s="235" t="inlineStr">
        <is>
          <t>91.19.10-031</t>
        </is>
      </c>
      <c r="D78" s="238" t="inlineStr">
        <is>
          <t>Станции насосные для привода гидродомкратов</t>
        </is>
      </c>
      <c r="E78" s="333" t="inlineStr">
        <is>
          <t>маш.-ч</t>
        </is>
      </c>
      <c r="F78" s="235" t="n">
        <v>27.15</v>
      </c>
      <c r="G78" s="236" t="n">
        <v>1.82</v>
      </c>
      <c r="H78" s="229">
        <f>ROUND(F78*G78,2)</f>
        <v/>
      </c>
      <c r="I78" s="152" t="n"/>
      <c r="L78" s="152" t="n"/>
    </row>
    <row r="79" ht="25.5" customHeight="1" s="262">
      <c r="A79" s="315" t="n">
        <v>66</v>
      </c>
      <c r="B79" s="302" t="n"/>
      <c r="C79" s="235" t="inlineStr">
        <is>
          <t>91.21.01-012</t>
        </is>
      </c>
      <c r="D79" s="238" t="inlineStr">
        <is>
          <t>Агрегаты окрасочные высокого давления для окраски поверхностей конструкций, мощность 1 кВт</t>
        </is>
      </c>
      <c r="E79" s="333" t="inlineStr">
        <is>
          <t>маш.-ч</t>
        </is>
      </c>
      <c r="F79" s="235" t="n">
        <v>3.54</v>
      </c>
      <c r="G79" s="236" t="n">
        <v>6.82</v>
      </c>
      <c r="H79" s="229">
        <f>ROUND(F79*G79,2)</f>
        <v/>
      </c>
      <c r="I79" s="152" t="n"/>
      <c r="L79" s="152" t="n"/>
    </row>
    <row r="80">
      <c r="A80" s="315" t="n">
        <v>67</v>
      </c>
      <c r="B80" s="302" t="n"/>
      <c r="C80" s="235" t="inlineStr">
        <is>
          <t>91.07.04-002</t>
        </is>
      </c>
      <c r="D80" s="238" t="inlineStr">
        <is>
          <t>Вибраторы поверхностные</t>
        </is>
      </c>
      <c r="E80" s="333" t="inlineStr">
        <is>
          <t>маш.-ч</t>
        </is>
      </c>
      <c r="F80" s="235" t="n">
        <v>37.53</v>
      </c>
      <c r="G80" s="236" t="n">
        <v>0.5</v>
      </c>
      <c r="H80" s="229">
        <f>ROUND(F80*G80,2)</f>
        <v/>
      </c>
      <c r="I80" s="152" t="n"/>
      <c r="L80" s="152" t="n"/>
    </row>
    <row r="81" ht="25.5" customHeight="1" s="262">
      <c r="A81" s="315" t="n">
        <v>68</v>
      </c>
      <c r="B81" s="302" t="n"/>
      <c r="C81" s="235" t="inlineStr">
        <is>
          <t>91.07.08-024</t>
        </is>
      </c>
      <c r="D81" s="238" t="inlineStr">
        <is>
          <t>Растворосмесители передвижные, объем барабана 65 л</t>
        </is>
      </c>
      <c r="E81" s="333" t="inlineStr">
        <is>
          <t>маш.-ч</t>
        </is>
      </c>
      <c r="F81" s="235" t="n">
        <v>0.53</v>
      </c>
      <c r="G81" s="236" t="n">
        <v>12.39</v>
      </c>
      <c r="H81" s="229">
        <f>ROUND(F81*G81,2)</f>
        <v/>
      </c>
      <c r="I81" s="152" t="n"/>
    </row>
    <row r="82">
      <c r="A82" s="300" t="inlineStr">
        <is>
          <t>Оборудование</t>
        </is>
      </c>
      <c r="B82" s="387" t="n"/>
      <c r="C82" s="387" t="n"/>
      <c r="D82" s="387" t="n"/>
      <c r="E82" s="388" t="n"/>
      <c r="F82" s="10" t="n"/>
      <c r="G82" s="10" t="n"/>
      <c r="H82" s="10" t="n">
        <v>0</v>
      </c>
    </row>
    <row r="83" ht="38.25" customHeight="1" s="262">
      <c r="A83" s="171" t="n">
        <v>69</v>
      </c>
      <c r="B83" s="300" t="n"/>
      <c r="C83" s="243" t="inlineStr">
        <is>
          <t>Прайс из СД ОП</t>
        </is>
      </c>
      <c r="D83" s="244" t="inlineStr">
        <is>
          <t>Реактор шунтирующий однофазный неуправляемый мощностью 110 Мвар, 750 кВ, РОМБС-110000/750У1  (3-a компл.)</t>
        </is>
      </c>
      <c r="E83" s="245" t="inlineStr">
        <is>
          <t>компл.</t>
        </is>
      </c>
      <c r="F83" s="245" t="n">
        <v>1</v>
      </c>
      <c r="G83" s="241" t="n"/>
      <c r="H83" s="229">
        <f>ROUND(F83*G83,2)</f>
        <v/>
      </c>
      <c r="I83" s="163" t="n"/>
      <c r="J83" s="398" t="n"/>
    </row>
    <row r="84">
      <c r="A84" s="301" t="inlineStr">
        <is>
          <t>Материалы</t>
        </is>
      </c>
      <c r="B84" s="387" t="n"/>
      <c r="C84" s="387" t="n"/>
      <c r="D84" s="387" t="n"/>
      <c r="E84" s="388" t="n"/>
      <c r="F84" s="301" t="n"/>
      <c r="G84" s="206" t="n"/>
      <c r="H84" s="392">
        <f>SUM(H85:H221)</f>
        <v/>
      </c>
    </row>
    <row r="85" ht="25.5" customHeight="1" s="262">
      <c r="A85" s="171" t="n">
        <v>70</v>
      </c>
      <c r="B85" s="302" t="n"/>
      <c r="C85" s="235" t="inlineStr">
        <is>
          <t>05.1.08.06-0092</t>
        </is>
      </c>
      <c r="D85" s="238" t="inlineStr">
        <is>
          <t>Плиты сборные железобетонные для укладки рельсовых путей</t>
        </is>
      </c>
      <c r="E85" s="333" t="inlineStr">
        <is>
          <t>м3</t>
        </is>
      </c>
      <c r="F85" s="235" t="n">
        <v>35.37</v>
      </c>
      <c r="G85" s="241" t="n">
        <v>3356.1</v>
      </c>
      <c r="H85" s="229">
        <f>ROUND(F85*G85,2)</f>
        <v/>
      </c>
      <c r="I85" s="163" t="n"/>
      <c r="K85" s="152" t="n"/>
    </row>
    <row r="86" ht="38.25" customHeight="1" s="262">
      <c r="A86" s="171" t="n">
        <v>71</v>
      </c>
      <c r="B86" s="302" t="n"/>
      <c r="C86" s="235" t="inlineStr">
        <is>
          <t>02.3.01.02-0016</t>
        </is>
      </c>
      <c r="D86" s="238" t="inlineStr">
        <is>
          <t>Песок природный для строительных: работ средний с крупностью зерен размером свыше 5 мм - до 5% по массе</t>
        </is>
      </c>
      <c r="E86" s="333" t="inlineStr">
        <is>
          <t>м3</t>
        </is>
      </c>
      <c r="F86" s="235" t="n">
        <v>1945.16</v>
      </c>
      <c r="G86" s="241" t="n">
        <v>55.26</v>
      </c>
      <c r="H86" s="229">
        <f>ROUND(F86*G86,2)</f>
        <v/>
      </c>
      <c r="I86" s="163" t="n"/>
      <c r="K86" s="152" t="n"/>
    </row>
    <row r="87">
      <c r="A87" s="171" t="n">
        <v>72</v>
      </c>
      <c r="B87" s="302" t="n"/>
      <c r="C87" s="235" t="inlineStr">
        <is>
          <t>05.1.02.07-0025</t>
        </is>
      </c>
      <c r="D87" s="238" t="inlineStr">
        <is>
          <t>Стойка железобетонная вибрированная ОРУ</t>
        </is>
      </c>
      <c r="E87" s="333" t="inlineStr">
        <is>
          <t>м3</t>
        </is>
      </c>
      <c r="F87" s="235" t="n">
        <v>24</v>
      </c>
      <c r="G87" s="241" t="n">
        <v>3642.1</v>
      </c>
      <c r="H87" s="229">
        <f>ROUND(F87*G87,2)</f>
        <v/>
      </c>
      <c r="I87" s="163" t="n"/>
      <c r="K87" s="152" t="n"/>
    </row>
    <row r="88" ht="25.5" customHeight="1" s="262">
      <c r="A88" s="171" t="n">
        <v>73</v>
      </c>
      <c r="B88" s="302" t="n"/>
      <c r="C88" s="235" t="inlineStr">
        <is>
          <t>08.4.03.03-0033</t>
        </is>
      </c>
      <c r="D88" s="238" t="inlineStr">
        <is>
          <t>Сталь арматурная, горячекатаная, периодического профиля, класс А-III, диаметр 14 мм</t>
        </is>
      </c>
      <c r="E88" s="333" t="inlineStr">
        <is>
          <t>т</t>
        </is>
      </c>
      <c r="F88" s="235" t="n">
        <v>10.7</v>
      </c>
      <c r="G88" s="241" t="n">
        <v>7997.23</v>
      </c>
      <c r="H88" s="229">
        <f>ROUND(F88*G88,2)</f>
        <v/>
      </c>
      <c r="I88" s="163" t="n"/>
    </row>
    <row r="89" ht="25.5" customHeight="1" s="262">
      <c r="A89" s="171" t="n">
        <v>74</v>
      </c>
      <c r="B89" s="302" t="n"/>
      <c r="C89" s="235" t="inlineStr">
        <is>
          <t>04.1.02.05-0007</t>
        </is>
      </c>
      <c r="D89" s="238" t="inlineStr">
        <is>
          <t>Смеси бетонные тяжелого бетона (БСТ), класс B20 (М250)</t>
        </is>
      </c>
      <c r="E89" s="333" t="inlineStr">
        <is>
          <t>м3</t>
        </is>
      </c>
      <c r="F89" s="235" t="n">
        <v>104.76</v>
      </c>
      <c r="G89" s="241" t="n">
        <v>665</v>
      </c>
      <c r="H89" s="229">
        <f>ROUND(F89*G89,2)</f>
        <v/>
      </c>
      <c r="I89" s="163" t="n"/>
    </row>
    <row r="90" ht="25.5" customHeight="1" s="262">
      <c r="A90" s="171" t="n">
        <v>75</v>
      </c>
      <c r="B90" s="302" t="n"/>
      <c r="C90" s="235" t="inlineStr">
        <is>
          <t>05.1.04.27-0003</t>
        </is>
      </c>
      <c r="D90" s="238" t="inlineStr">
        <is>
          <t>Панели железобетонные стеновые (блоки) и перегородочные</t>
        </is>
      </c>
      <c r="E90" s="333" t="inlineStr">
        <is>
          <t>м3</t>
        </is>
      </c>
      <c r="F90" s="235" t="n">
        <v>31.2</v>
      </c>
      <c r="G90" s="241" t="n">
        <v>1724.01</v>
      </c>
      <c r="H90" s="229">
        <f>ROUND(F90*G90,2)</f>
        <v/>
      </c>
      <c r="I90" s="163" t="n"/>
    </row>
    <row r="91" ht="25.5" customHeight="1" s="262">
      <c r="A91" s="171" t="n">
        <v>76</v>
      </c>
      <c r="B91" s="302" t="n"/>
      <c r="C91" s="235" t="inlineStr">
        <is>
          <t>04.1.02.05-0009</t>
        </is>
      </c>
      <c r="D91" s="238" t="inlineStr">
        <is>
          <t>Смеси бетонные тяжелого бетона (БСТ), класс B25 (М350)</t>
        </is>
      </c>
      <c r="E91" s="333" t="inlineStr">
        <is>
          <t>м3</t>
        </is>
      </c>
      <c r="F91" s="235" t="n">
        <v>69.54000000000001</v>
      </c>
      <c r="G91" s="241" t="n">
        <v>725.6900000000001</v>
      </c>
      <c r="H91" s="229">
        <f>ROUND(F91*G91,2)</f>
        <v/>
      </c>
      <c r="I91" s="163" t="n"/>
    </row>
    <row r="92" ht="25.5" customHeight="1" s="262">
      <c r="A92" s="171" t="n">
        <v>77</v>
      </c>
      <c r="B92" s="302" t="n"/>
      <c r="C92" s="235" t="inlineStr">
        <is>
          <t>04.3.02.09-0801</t>
        </is>
      </c>
      <c r="D92" s="238" t="inlineStr">
        <is>
          <t>Смеси сухие гидроизоляционные обмазочные эластичные</t>
        </is>
      </c>
      <c r="E92" s="333" t="inlineStr">
        <is>
          <t>кг</t>
        </is>
      </c>
      <c r="F92" s="235" t="n">
        <v>1280</v>
      </c>
      <c r="G92" s="241" t="n">
        <v>37.22</v>
      </c>
      <c r="H92" s="229">
        <f>ROUND(F92*G92,2)</f>
        <v/>
      </c>
      <c r="I92" s="163" t="n"/>
    </row>
    <row r="93" ht="38.25" customHeight="1" s="262">
      <c r="A93" s="171" t="n">
        <v>78</v>
      </c>
      <c r="B93" s="302" t="n"/>
      <c r="C93" s="235" t="inlineStr">
        <is>
          <t>07.2.07.12-0019</t>
        </is>
      </c>
      <c r="D93" s="238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93" s="333" t="inlineStr">
        <is>
          <t>т</t>
        </is>
      </c>
      <c r="F93" s="235" t="n">
        <v>3.69</v>
      </c>
      <c r="G93" s="241" t="n">
        <v>8060</v>
      </c>
      <c r="H93" s="229">
        <f>ROUND(F93*G93,2)</f>
        <v/>
      </c>
      <c r="I93" s="163" t="n"/>
    </row>
    <row r="94" ht="25.5" customHeight="1" s="262">
      <c r="A94" s="171" t="n">
        <v>79</v>
      </c>
      <c r="B94" s="302" t="n"/>
      <c r="C94" s="235" t="inlineStr">
        <is>
          <t>25.1.05.05-0051</t>
        </is>
      </c>
      <c r="D94" s="238" t="inlineStr">
        <is>
          <t>Рельсы железнодорожные Р-50, широкой колеи, 1 группа, марка стали М74т</t>
        </is>
      </c>
      <c r="E94" s="333" t="inlineStr">
        <is>
          <t>м</t>
        </is>
      </c>
      <c r="F94" s="235" t="n">
        <v>102</v>
      </c>
      <c r="G94" s="241" t="n">
        <v>278.58</v>
      </c>
      <c r="H94" s="229">
        <f>ROUND(F94*G94,2)</f>
        <v/>
      </c>
      <c r="I94" s="163" t="n"/>
    </row>
    <row r="95" ht="25.5" customHeight="1" s="262">
      <c r="A95" s="171" t="n">
        <v>80</v>
      </c>
      <c r="B95" s="302" t="n"/>
      <c r="C95" s="235" t="inlineStr">
        <is>
          <t>04.1.02.05-0040</t>
        </is>
      </c>
      <c r="D95" s="238" t="inlineStr">
        <is>
          <t>Смеси бетонные тяжелого бетона (БСТ), крупность заполнителя 20 мм, класс B7,5 (М100)</t>
        </is>
      </c>
      <c r="E95" s="333" t="inlineStr">
        <is>
          <t>м3</t>
        </is>
      </c>
      <c r="F95" s="235" t="n">
        <v>51.81</v>
      </c>
      <c r="G95" s="241" t="n">
        <v>535.46</v>
      </c>
      <c r="H95" s="229">
        <f>ROUND(F95*G95,2)</f>
        <v/>
      </c>
      <c r="I95" s="163" t="n"/>
    </row>
    <row r="96" ht="25.5" customHeight="1" s="262">
      <c r="A96" s="171" t="n">
        <v>81</v>
      </c>
      <c r="B96" s="302" t="n"/>
      <c r="C96" s="235" t="inlineStr">
        <is>
          <t>08.4.03.03-0032</t>
        </is>
      </c>
      <c r="D96" s="238" t="inlineStr">
        <is>
          <t>Сталь арматурная, горячекатаная, периодического профиля, класс А-III, диаметр 12 мм</t>
        </is>
      </c>
      <c r="E96" s="333" t="inlineStr">
        <is>
          <t>т</t>
        </is>
      </c>
      <c r="F96" s="235" t="n">
        <v>3</v>
      </c>
      <c r="G96" s="241" t="n">
        <v>7997.23</v>
      </c>
      <c r="H96" s="229">
        <f>ROUND(F96*G96,2)</f>
        <v/>
      </c>
      <c r="I96" s="163" t="n"/>
    </row>
    <row r="97">
      <c r="A97" s="171" t="n">
        <v>82</v>
      </c>
      <c r="B97" s="302" t="n"/>
      <c r="C97" s="235" t="inlineStr">
        <is>
          <t>22.2.02.07-0003</t>
        </is>
      </c>
      <c r="D97" s="238" t="inlineStr">
        <is>
          <t>Конструкции стальные порталов ОРУ</t>
        </is>
      </c>
      <c r="E97" s="333" t="inlineStr">
        <is>
          <t>т</t>
        </is>
      </c>
      <c r="F97" s="235" t="n">
        <v>1.77</v>
      </c>
      <c r="G97" s="241" t="n">
        <v>12500</v>
      </c>
      <c r="H97" s="229">
        <f>ROUND(F97*G97,2)</f>
        <v/>
      </c>
      <c r="I97" s="163" t="n"/>
    </row>
    <row r="98" ht="25.5" customFormat="1" customHeight="1" s="148">
      <c r="A98" s="171" t="n">
        <v>83</v>
      </c>
      <c r="B98" s="302" t="n"/>
      <c r="C98" s="235" t="inlineStr">
        <is>
          <t>20.2.04.04-0029</t>
        </is>
      </c>
      <c r="D98" s="238" t="inlineStr">
        <is>
          <t>Короб кабельный прямой плоский сейсмостойкий горячеоцинкованный КП-0,1/0,4-2 (ККПС-0,1/0,4-2)</t>
        </is>
      </c>
      <c r="E98" s="333" t="inlineStr">
        <is>
          <t>шт</t>
        </is>
      </c>
      <c r="F98" s="235" t="n">
        <v>15</v>
      </c>
      <c r="G98" s="241" t="n">
        <v>705.7</v>
      </c>
      <c r="H98" s="229">
        <f>ROUND(F98*G98,2)</f>
        <v/>
      </c>
      <c r="I98" s="163" t="n"/>
    </row>
    <row r="99">
      <c r="A99" s="171" t="n">
        <v>84</v>
      </c>
      <c r="B99" s="302" t="n"/>
      <c r="C99" s="235" t="inlineStr">
        <is>
          <t>01.7.03.04-0001</t>
        </is>
      </c>
      <c r="D99" s="238" t="inlineStr">
        <is>
          <t>Электроэнергия</t>
        </is>
      </c>
      <c r="E99" s="333" t="inlineStr">
        <is>
          <t>кВт-ч</t>
        </is>
      </c>
      <c r="F99" s="235" t="n">
        <v>25644</v>
      </c>
      <c r="G99" s="241" t="n">
        <v>0.4</v>
      </c>
      <c r="H99" s="229">
        <f>ROUND(F99*G99,2)</f>
        <v/>
      </c>
      <c r="I99" s="163" t="n"/>
    </row>
    <row r="100">
      <c r="A100" s="171" t="n">
        <v>85</v>
      </c>
      <c r="B100" s="302" t="n"/>
      <c r="C100" s="235" t="inlineStr">
        <is>
          <t>08.3.07.01-0056</t>
        </is>
      </c>
      <c r="D100" s="238" t="inlineStr">
        <is>
          <t>Сталь полосовая: 60х4 мм, марка Ст3сп</t>
        </is>
      </c>
      <c r="E100" s="333" t="inlineStr">
        <is>
          <t>т</t>
        </is>
      </c>
      <c r="F100" s="235" t="n">
        <v>1.08</v>
      </c>
      <c r="G100" s="241" t="n">
        <v>7396.23</v>
      </c>
      <c r="H100" s="229">
        <f>ROUND(F100*G100,2)</f>
        <v/>
      </c>
      <c r="I100" s="163" t="n"/>
      <c r="K100" s="152" t="n"/>
    </row>
    <row r="101" ht="25.5" customHeight="1" s="262">
      <c r="A101" s="171" t="n">
        <v>86</v>
      </c>
      <c r="B101" s="302" t="n"/>
      <c r="C101" s="235" t="inlineStr">
        <is>
          <t>04.1.02.05-0044</t>
        </is>
      </c>
      <c r="D101" s="238" t="inlineStr">
        <is>
          <t>Смеси бетонные тяжелого бетона (БСТ), крупность заполнителя 20 мм, класс B20 (М250)</t>
        </is>
      </c>
      <c r="E101" s="333" t="inlineStr">
        <is>
          <t>м3</t>
        </is>
      </c>
      <c r="F101" s="235" t="n">
        <v>11.02</v>
      </c>
      <c r="G101" s="241" t="n">
        <v>667.83</v>
      </c>
      <c r="H101" s="229">
        <f>ROUND(F101*G101,2)</f>
        <v/>
      </c>
      <c r="I101" s="163" t="n"/>
      <c r="K101" s="152" t="n"/>
    </row>
    <row r="102">
      <c r="A102" s="171" t="n">
        <v>87</v>
      </c>
      <c r="B102" s="302" t="n"/>
      <c r="C102" s="235" t="inlineStr">
        <is>
          <t>08.3.07.01-0054</t>
        </is>
      </c>
      <c r="D102" s="238" t="inlineStr">
        <is>
          <t>Сталь полосовая: 50х8 мм, марка Ст3сп</t>
        </is>
      </c>
      <c r="E102" s="333" t="inlineStr">
        <is>
          <t>т</t>
        </is>
      </c>
      <c r="F102" s="235" t="n">
        <v>1.09</v>
      </c>
      <c r="G102" s="241" t="n">
        <v>6726.18</v>
      </c>
      <c r="H102" s="229">
        <f>ROUND(F102*G102,2)</f>
        <v/>
      </c>
      <c r="I102" s="163" t="n"/>
      <c r="K102" s="152" t="n"/>
    </row>
    <row r="103" ht="25.5" customHeight="1" s="262">
      <c r="A103" s="171" t="n">
        <v>88</v>
      </c>
      <c r="B103" s="302" t="n"/>
      <c r="C103" s="235" t="inlineStr">
        <is>
          <t>21.2.01.02-0102</t>
        </is>
      </c>
      <c r="D103" s="238" t="inlineStr">
        <is>
          <t>Провод неизолированный для воздушных линий электропередачи АС 500/64</t>
        </is>
      </c>
      <c r="E103" s="333" t="inlineStr">
        <is>
          <t>т</t>
        </is>
      </c>
      <c r="F103" s="235" t="n">
        <v>0.19</v>
      </c>
      <c r="G103" s="241" t="n">
        <v>35127.27</v>
      </c>
      <c r="H103" s="229">
        <f>ROUND(F103*G103,2)</f>
        <v/>
      </c>
      <c r="I103" s="163" t="n"/>
      <c r="K103" s="152" t="n"/>
    </row>
    <row r="104">
      <c r="A104" s="171" t="n">
        <v>89</v>
      </c>
      <c r="B104" s="302" t="n"/>
      <c r="C104" s="235" t="inlineStr">
        <is>
          <t>01.7.19.04-0003</t>
        </is>
      </c>
      <c r="D104" s="238" t="inlineStr">
        <is>
          <t>Пластины технические без тканевых прокладок</t>
        </is>
      </c>
      <c r="E104" s="333" t="inlineStr">
        <is>
          <t>т</t>
        </is>
      </c>
      <c r="F104" s="235" t="n">
        <v>0.12</v>
      </c>
      <c r="G104" s="241" t="n">
        <v>53400</v>
      </c>
      <c r="H104" s="229">
        <f>ROUND(F104*G104,2)</f>
        <v/>
      </c>
    </row>
    <row r="105" ht="25.5" customHeight="1" s="262">
      <c r="A105" s="171" t="n">
        <v>90</v>
      </c>
      <c r="B105" s="302" t="n"/>
      <c r="C105" s="235" t="inlineStr">
        <is>
          <t>08.4.03.02-0002</t>
        </is>
      </c>
      <c r="D105" s="238" t="inlineStr">
        <is>
          <t>Сталь арматурная, горячекатаная, гладкая, класс А-I, диаметр 8 мм</t>
        </is>
      </c>
      <c r="E105" s="333" t="inlineStr">
        <is>
          <t>т</t>
        </is>
      </c>
      <c r="F105" s="235" t="n">
        <v>0.92</v>
      </c>
      <c r="G105" s="241" t="n">
        <v>6780</v>
      </c>
      <c r="H105" s="229">
        <f>ROUND(F105*G105,2)</f>
        <v/>
      </c>
    </row>
    <row r="106" ht="51" customHeight="1" s="262">
      <c r="A106" s="171" t="n">
        <v>91</v>
      </c>
      <c r="B106" s="302" t="n"/>
      <c r="C106" s="235" t="inlineStr">
        <is>
          <t>07.2.07.07-0004</t>
        </is>
      </c>
      <c r="D106" s="238" t="inlineStr">
        <is>
          <t>Конструкции покрытий производственных зданий с применением профилей замкнутых гнутосварных прямоугольного сечения, детали крепления Д1 (Опора МСО-21-62 )</t>
        </is>
      </c>
      <c r="E106" s="333" t="inlineStr">
        <is>
          <t>шт</t>
        </is>
      </c>
      <c r="F106" s="235" t="n">
        <v>30</v>
      </c>
      <c r="G106" s="241" t="n">
        <v>204.58</v>
      </c>
      <c r="H106" s="229">
        <f>ROUND(F106*G106,2)</f>
        <v/>
      </c>
      <c r="I106" s="163" t="n"/>
    </row>
    <row r="107">
      <c r="A107" s="171" t="n">
        <v>92</v>
      </c>
      <c r="B107" s="302" t="n"/>
      <c r="C107" s="235" t="inlineStr">
        <is>
          <t>01.2.03.03-0013</t>
        </is>
      </c>
      <c r="D107" s="238" t="inlineStr">
        <is>
          <t>Мастика битумная кровельная горячая</t>
        </is>
      </c>
      <c r="E107" s="333" t="inlineStr">
        <is>
          <t>т</t>
        </is>
      </c>
      <c r="F107" s="235" t="n">
        <v>1.78</v>
      </c>
      <c r="G107" s="241" t="n">
        <v>3390</v>
      </c>
      <c r="H107" s="229">
        <f>ROUND(F107*G107,2)</f>
        <v/>
      </c>
      <c r="I107" s="163" t="n"/>
    </row>
    <row r="108">
      <c r="A108" s="171" t="n">
        <v>93</v>
      </c>
      <c r="B108" s="302" t="n"/>
      <c r="C108" s="235" t="inlineStr">
        <is>
          <t>22.2.01.03-0003</t>
        </is>
      </c>
      <c r="D108" s="238" t="inlineStr">
        <is>
          <t>Изолятор подвесной стеклянный ПСД-70Е</t>
        </is>
      </c>
      <c r="E108" s="333" t="inlineStr">
        <is>
          <t>шт</t>
        </is>
      </c>
      <c r="F108" s="235" t="n">
        <v>32</v>
      </c>
      <c r="G108" s="241" t="n">
        <v>169.25</v>
      </c>
      <c r="H108" s="229">
        <f>ROUND(F108*G108,2)</f>
        <v/>
      </c>
      <c r="I108" s="163" t="n"/>
    </row>
    <row r="109">
      <c r="A109" s="171" t="n">
        <v>94</v>
      </c>
      <c r="B109" s="302" t="n"/>
      <c r="C109" s="235" t="inlineStr">
        <is>
          <t>14.4.02.09-0301</t>
        </is>
      </c>
      <c r="D109" s="238" t="inlineStr">
        <is>
          <t>Композиция антикоррозионная цинкнаполненная</t>
        </is>
      </c>
      <c r="E109" s="333" t="inlineStr">
        <is>
          <t>кг</t>
        </is>
      </c>
      <c r="F109" s="235" t="n">
        <v>21.73</v>
      </c>
      <c r="G109" s="241" t="n">
        <v>238.48</v>
      </c>
      <c r="H109" s="229">
        <f>ROUND(F109*G109,2)</f>
        <v/>
      </c>
      <c r="I109" s="163" t="n"/>
    </row>
    <row r="110" ht="25.5" customHeight="1" s="262">
      <c r="A110" s="171" t="n">
        <v>95</v>
      </c>
      <c r="B110" s="302" t="n"/>
      <c r="C110" s="235" t="inlineStr">
        <is>
          <t>08.4.03.03-0034</t>
        </is>
      </c>
      <c r="D110" s="238" t="inlineStr">
        <is>
          <t>Сталь арматурная, горячекатаная, периодического профиля, класс А-III, диаметр 16-18 мм</t>
        </is>
      </c>
      <c r="E110" s="333" t="inlineStr">
        <is>
          <t>т</t>
        </is>
      </c>
      <c r="F110" s="235" t="n">
        <v>0.6048</v>
      </c>
      <c r="G110" s="241" t="n">
        <v>7956.21</v>
      </c>
      <c r="H110" s="229">
        <f>ROUND(F110*G110,2)</f>
        <v/>
      </c>
      <c r="I110" s="163" t="n"/>
      <c r="K110" s="152" t="n"/>
    </row>
    <row r="111" ht="25.5" customHeight="1" s="262">
      <c r="A111" s="171" t="n">
        <v>96</v>
      </c>
      <c r="B111" s="302" t="n"/>
      <c r="C111" s="235" t="inlineStr">
        <is>
          <t>25.1.04.03-0021</t>
        </is>
      </c>
      <c r="D111" s="238" t="inlineStr">
        <is>
          <t>Болты путевые для скрепления рельсов с гайками, диаметр 22 мм</t>
        </is>
      </c>
      <c r="E111" s="333" t="inlineStr">
        <is>
          <t>т</t>
        </is>
      </c>
      <c r="F111" s="235" t="n">
        <v>0.45</v>
      </c>
      <c r="G111" s="241" t="n">
        <v>9743.43</v>
      </c>
      <c r="H111" s="229">
        <f>ROUND(F111*G111,2)</f>
        <v/>
      </c>
      <c r="I111" s="163" t="n"/>
    </row>
    <row r="112" ht="25.5" customHeight="1" s="262">
      <c r="A112" s="171" t="n">
        <v>97</v>
      </c>
      <c r="B112" s="302" t="n"/>
      <c r="C112" s="235" t="inlineStr">
        <is>
          <t>25.1.05.02-0062</t>
        </is>
      </c>
      <c r="D112" s="238" t="inlineStr">
        <is>
          <t>Подкладка раздельного скрепления КБ-65 для рельсов Р-50, Р-75, Р-65 и КБ-50</t>
        </is>
      </c>
      <c r="E112" s="333" t="inlineStr">
        <is>
          <t>т</t>
        </is>
      </c>
      <c r="F112" s="235" t="n">
        <v>0.79</v>
      </c>
      <c r="G112" s="241" t="n">
        <v>4679.74</v>
      </c>
      <c r="H112" s="229">
        <f>ROUND(F112*G112,2)</f>
        <v/>
      </c>
      <c r="I112" s="163" t="n"/>
    </row>
    <row r="113" ht="25.5" customHeight="1" s="262">
      <c r="A113" s="171" t="n">
        <v>98</v>
      </c>
      <c r="B113" s="302" t="n"/>
      <c r="C113" s="235" t="inlineStr">
        <is>
          <t>08.4.03.03-0031</t>
        </is>
      </c>
      <c r="D113" s="238" t="inlineStr">
        <is>
          <t>Сталь арматурная, горячекатаная, периодического профиля, класс А-III, диаметр 10 мм</t>
        </is>
      </c>
      <c r="E113" s="333" t="inlineStr">
        <is>
          <t>т</t>
        </is>
      </c>
      <c r="F113" s="235" t="n">
        <v>0.46</v>
      </c>
      <c r="G113" s="241" t="n">
        <v>8014.15</v>
      </c>
      <c r="H113" s="229">
        <f>ROUND(F113*G113,2)</f>
        <v/>
      </c>
      <c r="I113" s="163" t="n"/>
    </row>
    <row r="114" ht="25.5" customHeight="1" s="262">
      <c r="A114" s="171" t="n">
        <v>99</v>
      </c>
      <c r="B114" s="302" t="n"/>
      <c r="C114" s="235" t="inlineStr">
        <is>
          <t>10.1.02.03-0001</t>
        </is>
      </c>
      <c r="D114" s="238" t="inlineStr">
        <is>
          <t>Проволока алюминиевая, марка АМЦ, диаметр 1,4-1,8 мм</t>
        </is>
      </c>
      <c r="E114" s="333" t="inlineStr">
        <is>
          <t>т</t>
        </is>
      </c>
      <c r="F114" s="235" t="n">
        <v>0.1</v>
      </c>
      <c r="G114" s="241" t="n">
        <v>30090</v>
      </c>
      <c r="H114" s="229">
        <f>ROUND(F114*G114,2)</f>
        <v/>
      </c>
      <c r="I114" s="163" t="n"/>
    </row>
    <row r="115">
      <c r="A115" s="171" t="n">
        <v>100</v>
      </c>
      <c r="B115" s="302" t="n"/>
      <c r="C115" s="235" t="inlineStr">
        <is>
          <t>20.2.04.04-0053</t>
        </is>
      </c>
      <c r="D115" s="238" t="inlineStr">
        <is>
          <t>Короб электротехнический стальной: КП-0,05/0,1-2У1</t>
        </is>
      </c>
      <c r="E115" s="333" t="inlineStr">
        <is>
          <t>шт</t>
        </is>
      </c>
      <c r="F115" s="235" t="n">
        <v>19</v>
      </c>
      <c r="G115" s="241" t="n">
        <v>154.48</v>
      </c>
      <c r="H115" s="229">
        <f>ROUND(F115*G115,2)</f>
        <v/>
      </c>
      <c r="I115" s="163" t="n"/>
    </row>
    <row r="116">
      <c r="A116" s="171" t="n">
        <v>101</v>
      </c>
      <c r="B116" s="302" t="n"/>
      <c r="C116" s="235" t="inlineStr">
        <is>
          <t>02.2.04.03-0003</t>
        </is>
      </c>
      <c r="D116" s="238" t="inlineStr">
        <is>
          <t>Смесь песчано-гравийная природная</t>
        </is>
      </c>
      <c r="E116" s="333" t="inlineStr">
        <is>
          <t>м3</t>
        </is>
      </c>
      <c r="F116" s="235" t="n">
        <v>46.8</v>
      </c>
      <c r="G116" s="241" t="n">
        <v>60</v>
      </c>
      <c r="H116" s="229">
        <f>ROUND(F116*G116,2)</f>
        <v/>
      </c>
      <c r="I116" s="163" t="n"/>
    </row>
    <row r="117" ht="25.5" customHeight="1" s="262">
      <c r="A117" s="171" t="n">
        <v>102</v>
      </c>
      <c r="B117" s="302" t="n"/>
      <c r="C117" s="235" t="inlineStr">
        <is>
          <t>10.1.02.03-0001</t>
        </is>
      </c>
      <c r="D117" s="238" t="inlineStr">
        <is>
          <t>Проволока алюминиевая, марка АМЦ, диаметр 1,4-1,8 мм</t>
        </is>
      </c>
      <c r="E117" s="333" t="inlineStr">
        <is>
          <t>т</t>
        </is>
      </c>
      <c r="F117" s="235" t="n">
        <v>0.08611480000000001</v>
      </c>
      <c r="G117" s="241" t="n">
        <v>30090</v>
      </c>
      <c r="H117" s="229">
        <f>ROUND(F117*G117,2)</f>
        <v/>
      </c>
      <c r="I117" s="163" t="n"/>
    </row>
    <row r="118" ht="51" customFormat="1" customHeight="1" s="148">
      <c r="A118" s="171" t="n">
        <v>103</v>
      </c>
      <c r="B118" s="302" t="n"/>
      <c r="C118" s="235" t="inlineStr">
        <is>
          <t>07.2.07.12-0006</t>
        </is>
      </c>
      <c r="D118" s="238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118" s="333" t="inlineStr">
        <is>
          <t>т</t>
        </is>
      </c>
      <c r="F118" s="235" t="n">
        <v>0.23</v>
      </c>
      <c r="G118" s="241" t="n">
        <v>10045</v>
      </c>
      <c r="H118" s="229">
        <f>ROUND(F118*G118,2)</f>
        <v/>
      </c>
      <c r="I118" s="163" t="n"/>
    </row>
    <row r="119" ht="38.25" customHeight="1" s="262">
      <c r="A119" s="171" t="n">
        <v>104</v>
      </c>
      <c r="B119" s="302" t="n"/>
      <c r="C119" s="235" t="inlineStr">
        <is>
          <t>20.2.04.05-0015</t>
        </is>
      </c>
      <c r="D119" s="238" t="inlineStr">
        <is>
          <t>Короб кабельный угловой на три направления под углом 90° (тройник ответвительный) сейсмостойкий КТ-0,1/0,4 (ККПС-ОЗ-0,1/0,4) УТ1,5, горячеоцинкованный</t>
        </is>
      </c>
      <c r="E119" s="333" t="inlineStr">
        <is>
          <t>шт</t>
        </is>
      </c>
      <c r="F119" s="235" t="n">
        <v>3</v>
      </c>
      <c r="G119" s="241" t="n">
        <v>695.96</v>
      </c>
      <c r="H119" s="229">
        <f>ROUND(F119*G119,2)</f>
        <v/>
      </c>
      <c r="I119" s="163" t="n"/>
    </row>
    <row r="120">
      <c r="A120" s="171" t="n">
        <v>105</v>
      </c>
      <c r="B120" s="302" t="n"/>
      <c r="C120" s="235" t="inlineStr">
        <is>
          <t>25.1.06.23-0021</t>
        </is>
      </c>
      <c r="D120" s="238" t="inlineStr">
        <is>
          <t>Стяжки стальные</t>
        </is>
      </c>
      <c r="E120" s="333" t="inlineStr">
        <is>
          <t>т</t>
        </is>
      </c>
      <c r="F120" s="235" t="n">
        <v>0.28</v>
      </c>
      <c r="G120" s="241" t="n">
        <v>7166.25</v>
      </c>
      <c r="H120" s="229">
        <f>ROUND(F120*G120,2)</f>
        <v/>
      </c>
      <c r="I120" s="163" t="n"/>
      <c r="K120" s="152" t="n"/>
    </row>
    <row r="121">
      <c r="A121" s="171" t="n">
        <v>106</v>
      </c>
      <c r="B121" s="302" t="n"/>
      <c r="C121" s="235" t="inlineStr">
        <is>
          <t>999-9950</t>
        </is>
      </c>
      <c r="D121" s="238" t="inlineStr">
        <is>
          <t>Вспомогательные ненормируемые материалы</t>
        </is>
      </c>
      <c r="E121" s="333" t="inlineStr">
        <is>
          <t>руб</t>
        </is>
      </c>
      <c r="F121" s="235" t="n">
        <v>1897.44</v>
      </c>
      <c r="G121" s="241" t="n">
        <v>1</v>
      </c>
      <c r="H121" s="229">
        <f>ROUND(F121*G121,2)</f>
        <v/>
      </c>
      <c r="I121" s="163" t="n"/>
      <c r="K121" s="152" t="n"/>
    </row>
    <row r="122" ht="38.25" customHeight="1" s="262">
      <c r="A122" s="171" t="n">
        <v>107</v>
      </c>
      <c r="B122" s="302" t="n"/>
      <c r="C122" s="235" t="inlineStr">
        <is>
          <t>20.2.03.03-0031</t>
        </is>
      </c>
      <c r="D122" s="238" t="inlineStr">
        <is>
          <t>Консоль кабельная сейсмостойкая горячеоцинкованная КС5-640 (Консоль МСК-21Д/600-Н )</t>
        </is>
      </c>
      <c r="E122" s="333" t="inlineStr">
        <is>
          <t>шт</t>
        </is>
      </c>
      <c r="F122" s="235" t="n">
        <v>30</v>
      </c>
      <c r="G122" s="241" t="n">
        <v>56.85</v>
      </c>
      <c r="H122" s="229">
        <f>ROUND(F122*G122,2)</f>
        <v/>
      </c>
      <c r="I122" s="163" t="n"/>
      <c r="K122" s="152" t="n"/>
    </row>
    <row r="123">
      <c r="A123" s="171" t="n">
        <v>108</v>
      </c>
      <c r="B123" s="302" t="n"/>
      <c r="C123" s="235" t="inlineStr">
        <is>
          <t>20.1.01.02-0019</t>
        </is>
      </c>
      <c r="D123" s="238" t="inlineStr">
        <is>
          <t>Зажим аппаратный прессуемый: 3А2А-500-3</t>
        </is>
      </c>
      <c r="E123" s="333" t="inlineStr">
        <is>
          <t>100 шт</t>
        </is>
      </c>
      <c r="F123" s="235" t="n">
        <v>0.03</v>
      </c>
      <c r="G123" s="241" t="n">
        <v>51438</v>
      </c>
      <c r="H123" s="229">
        <f>ROUND(F123*G123,2)</f>
        <v/>
      </c>
      <c r="I123" s="163" t="n"/>
      <c r="K123" s="152" t="n"/>
    </row>
    <row r="124" ht="25.5" customHeight="1" s="262">
      <c r="A124" s="171" t="n">
        <v>109</v>
      </c>
      <c r="B124" s="302" t="n"/>
      <c r="C124" s="235" t="inlineStr">
        <is>
          <t>25.1.05.01-0012</t>
        </is>
      </c>
      <c r="D124" s="238" t="inlineStr">
        <is>
          <t>Накладки двухголовые для рельсов раздельного скрепления</t>
        </is>
      </c>
      <c r="E124" s="333" t="inlineStr">
        <is>
          <t>т</t>
        </is>
      </c>
      <c r="F124" s="235" t="n">
        <v>0.38</v>
      </c>
      <c r="G124" s="241" t="n">
        <v>3824.28</v>
      </c>
      <c r="H124" s="229">
        <f>ROUND(F124*G124,2)</f>
        <v/>
      </c>
    </row>
    <row r="125">
      <c r="A125" s="171" t="n">
        <v>110</v>
      </c>
      <c r="B125" s="302" t="n"/>
      <c r="C125" s="235" t="inlineStr">
        <is>
          <t>01.7.11.07-0034</t>
        </is>
      </c>
      <c r="D125" s="238" t="inlineStr">
        <is>
          <t>Электроды сварочные Э42А, диаметр 4 мм</t>
        </is>
      </c>
      <c r="E125" s="333" t="inlineStr">
        <is>
          <t>кг</t>
        </is>
      </c>
      <c r="F125" s="235" t="n">
        <v>137</v>
      </c>
      <c r="G125" s="241" t="n">
        <v>10.57</v>
      </c>
      <c r="H125" s="229">
        <f>ROUND(F125*G125,2)</f>
        <v/>
      </c>
    </row>
    <row r="126">
      <c r="A126" s="171" t="n">
        <v>111</v>
      </c>
      <c r="B126" s="302" t="n"/>
      <c r="C126" s="235" t="inlineStr">
        <is>
          <t>01.7.20.08-0031</t>
        </is>
      </c>
      <c r="D126" s="238" t="inlineStr">
        <is>
          <t>Бязь суровая</t>
        </is>
      </c>
      <c r="E126" s="333" t="inlineStr">
        <is>
          <t>10 м2</t>
        </is>
      </c>
      <c r="F126" s="235" t="n">
        <v>17.17</v>
      </c>
      <c r="G126" s="241" t="n">
        <v>79.09999999999999</v>
      </c>
      <c r="H126" s="229">
        <f>ROUND(F126*G126,2)</f>
        <v/>
      </c>
      <c r="I126" s="163" t="n"/>
    </row>
    <row r="127" ht="25.5" customHeight="1" s="262">
      <c r="A127" s="171" t="n">
        <v>112</v>
      </c>
      <c r="B127" s="302" t="n"/>
      <c r="C127" s="235" t="inlineStr">
        <is>
          <t>01.1.02.09-0021</t>
        </is>
      </c>
      <c r="D127" s="238" t="inlineStr">
        <is>
          <t>Ткань асбестовая со стеклонитью АСТ-1, толщина 1,8 мм</t>
        </is>
      </c>
      <c r="E127" s="333" t="inlineStr">
        <is>
          <t>т</t>
        </is>
      </c>
      <c r="F127" s="235" t="n">
        <v>0.02</v>
      </c>
      <c r="G127" s="241" t="n">
        <v>66860</v>
      </c>
      <c r="H127" s="229">
        <f>ROUND(F127*G127,2)</f>
        <v/>
      </c>
      <c r="I127" s="163" t="n"/>
    </row>
    <row r="128" ht="25.5" customHeight="1" s="262">
      <c r="A128" s="171" t="n">
        <v>113</v>
      </c>
      <c r="B128" s="302" t="n"/>
      <c r="C128" s="235" t="inlineStr">
        <is>
          <t>08.4.01.01-0022</t>
        </is>
      </c>
      <c r="D128" s="238" t="inlineStr">
        <is>
          <t>Детали анкерные с резьбой из прямых или гнутых круглых стержней</t>
        </is>
      </c>
      <c r="E128" s="333" t="inlineStr">
        <is>
          <t>т</t>
        </is>
      </c>
      <c r="F128" s="235" t="n">
        <v>0.13</v>
      </c>
      <c r="G128" s="241" t="n">
        <v>10100</v>
      </c>
      <c r="H128" s="229">
        <f>ROUND(F128*G128,2)</f>
        <v/>
      </c>
      <c r="I128" s="163" t="n"/>
    </row>
    <row r="129" ht="51" customHeight="1" s="262">
      <c r="A129" s="171" t="n">
        <v>114</v>
      </c>
      <c r="B129" s="302" t="n"/>
      <c r="C129" s="235" t="inlineStr">
        <is>
          <t>20.2.04.06-0091</t>
        </is>
      </c>
      <c r="D129" s="238" t="inlineStr">
        <is>
          <t>Короб кабельный угловой для поворота горизонтальной трассы вниз под углом 90 °, сейсмостойкий КУН-0,1/0,4 (ККПС-УН-0,1/0,4),  горячеоцинкованный</t>
        </is>
      </c>
      <c r="E129" s="333" t="inlineStr">
        <is>
          <t>шт</t>
        </is>
      </c>
      <c r="F129" s="235" t="n">
        <v>3</v>
      </c>
      <c r="G129" s="241" t="n">
        <v>404.74</v>
      </c>
      <c r="H129" s="229">
        <f>ROUND(F129*G129,2)</f>
        <v/>
      </c>
      <c r="I129" s="163" t="n"/>
    </row>
    <row r="130">
      <c r="A130" s="171" t="n">
        <v>115</v>
      </c>
      <c r="B130" s="302" t="n"/>
      <c r="C130" s="235" t="inlineStr">
        <is>
          <t>01.7.17.11-0001</t>
        </is>
      </c>
      <c r="D130" s="238" t="inlineStr">
        <is>
          <t>Бумага шлифовальная</t>
        </is>
      </c>
      <c r="E130" s="333" t="inlineStr">
        <is>
          <t>кг</t>
        </is>
      </c>
      <c r="F130" s="235" t="n">
        <v>23.8</v>
      </c>
      <c r="G130" s="241" t="n">
        <v>50</v>
      </c>
      <c r="H130" s="229">
        <f>ROUND(F130*G130,2)</f>
        <v/>
      </c>
      <c r="I130" s="163" t="n"/>
      <c r="K130" s="152" t="n"/>
    </row>
    <row r="131">
      <c r="A131" s="171" t="n">
        <v>116</v>
      </c>
      <c r="B131" s="302" t="n"/>
      <c r="C131" s="235" t="inlineStr">
        <is>
          <t>01.7.11.07-0032</t>
        </is>
      </c>
      <c r="D131" s="238" t="inlineStr">
        <is>
          <t>Электроды сварочные Э42, диаметр 4 мм</t>
        </is>
      </c>
      <c r="E131" s="333" t="inlineStr">
        <is>
          <t>т</t>
        </is>
      </c>
      <c r="F131" s="235" t="n">
        <v>0.11</v>
      </c>
      <c r="G131" s="241" t="n">
        <v>10315.01</v>
      </c>
      <c r="H131" s="229">
        <f>ROUND(F131*G131,2)</f>
        <v/>
      </c>
      <c r="I131" s="163" t="n"/>
    </row>
    <row r="132">
      <c r="A132" s="171" t="n">
        <v>117</v>
      </c>
      <c r="B132" s="302" t="n"/>
      <c r="C132" s="235" t="inlineStr">
        <is>
          <t>01.7.07.12-0022</t>
        </is>
      </c>
      <c r="D132" s="238" t="inlineStr">
        <is>
          <t>Пленка полиэтиленовая, толщина 0,2-0,5 мм</t>
        </is>
      </c>
      <c r="E132" s="333" t="inlineStr">
        <is>
          <t>м2</t>
        </is>
      </c>
      <c r="F132" s="235" t="n">
        <v>88.13</v>
      </c>
      <c r="G132" s="241" t="n">
        <v>12.19</v>
      </c>
      <c r="H132" s="229">
        <f>ROUND(F132*G132,2)</f>
        <v/>
      </c>
      <c r="I132" s="163" t="n"/>
    </row>
    <row r="133" ht="25.5" customHeight="1" s="262">
      <c r="A133" s="171" t="n">
        <v>118</v>
      </c>
      <c r="B133" s="302" t="n"/>
      <c r="C133" s="235" t="inlineStr">
        <is>
          <t>07.2.07.04-0007</t>
        </is>
      </c>
      <c r="D133" s="238" t="inlineStr">
        <is>
          <t>Конструкции стальные индивидуальные решетчатые сварные, масса до 0,1 т</t>
        </is>
      </c>
      <c r="E133" s="333" t="inlineStr">
        <is>
          <t>т</t>
        </is>
      </c>
      <c r="F133" s="235" t="n">
        <v>0.09</v>
      </c>
      <c r="G133" s="241" t="n">
        <v>11500</v>
      </c>
      <c r="H133" s="229">
        <f>ROUND(F133*G133,2)</f>
        <v/>
      </c>
      <c r="I133" s="163" t="n"/>
    </row>
    <row r="134" ht="51" customHeight="1" s="262">
      <c r="A134" s="171" t="n">
        <v>119</v>
      </c>
      <c r="B134" s="302" t="n"/>
      <c r="C134" s="235" t="inlineStr">
        <is>
          <t>20.2.04.06-0066</t>
        </is>
      </c>
      <c r="D134" s="238" t="inlineStr">
        <is>
          <t>Короб кабельный угловой для поворота горизонтальной трассы вверх под углом 90 °, сейсмостойкий КУВ-0,1/0,4 (ККПС-УВ-0,1/0,4),  горячеоцинкованный</t>
        </is>
      </c>
      <c r="E134" s="333" t="inlineStr">
        <is>
          <t>шт</t>
        </is>
      </c>
      <c r="F134" s="235" t="n">
        <v>3</v>
      </c>
      <c r="G134" s="241" t="n">
        <v>336.97</v>
      </c>
      <c r="H134" s="229">
        <f>ROUND(F134*G134,2)</f>
        <v/>
      </c>
      <c r="I134" s="163" t="n"/>
    </row>
    <row r="135">
      <c r="A135" s="171" t="n">
        <v>120</v>
      </c>
      <c r="B135" s="302" t="n"/>
      <c r="C135" s="235" t="inlineStr">
        <is>
          <t>11.2.13.04-0012</t>
        </is>
      </c>
      <c r="D135" s="238" t="inlineStr">
        <is>
          <t>Щиты из досок, толщина 40 мм</t>
        </is>
      </c>
      <c r="E135" s="333" t="inlineStr">
        <is>
          <t>м2</t>
        </is>
      </c>
      <c r="F135" s="235" t="n">
        <v>16.33</v>
      </c>
      <c r="G135" s="241" t="n">
        <v>57.63</v>
      </c>
      <c r="H135" s="229">
        <f>ROUND(F135*G135,2)</f>
        <v/>
      </c>
      <c r="I135" s="163" t="n"/>
    </row>
    <row r="136">
      <c r="A136" s="171" t="n">
        <v>121</v>
      </c>
      <c r="B136" s="302" t="n"/>
      <c r="C136" s="235" t="inlineStr">
        <is>
          <t>11.2.13.04-0011</t>
        </is>
      </c>
      <c r="D136" s="238" t="inlineStr">
        <is>
          <t>Щиты из досок, толщина 25 мм</t>
        </is>
      </c>
      <c r="E136" s="333" t="inlineStr">
        <is>
          <t>м2</t>
        </is>
      </c>
      <c r="F136" s="235" t="n">
        <v>25.79</v>
      </c>
      <c r="G136" s="241" t="n">
        <v>35.53</v>
      </c>
      <c r="H136" s="229">
        <f>ROUND(F136*G136,2)</f>
        <v/>
      </c>
      <c r="I136" s="163" t="n"/>
    </row>
    <row r="137">
      <c r="A137" s="171" t="n">
        <v>122</v>
      </c>
      <c r="B137" s="302" t="n"/>
      <c r="C137" s="235" t="inlineStr">
        <is>
          <t>01.7.07.12-0024</t>
        </is>
      </c>
      <c r="D137" s="238" t="inlineStr">
        <is>
          <t>Пленка полиэтиленовая, толщина 0,15 мм</t>
        </is>
      </c>
      <c r="E137" s="333" t="inlineStr">
        <is>
          <t>м2</t>
        </is>
      </c>
      <c r="F137" s="235" t="n">
        <v>224.42</v>
      </c>
      <c r="G137" s="241" t="n">
        <v>3.62</v>
      </c>
      <c r="H137" s="229">
        <f>ROUND(F137*G137,2)</f>
        <v/>
      </c>
      <c r="I137" s="163" t="n"/>
    </row>
    <row r="138" ht="25.5" customHeight="1" s="262">
      <c r="A138" s="171" t="n">
        <v>123</v>
      </c>
      <c r="B138" s="302" t="n"/>
      <c r="C138" s="235" t="inlineStr">
        <is>
          <t>11.1.03.06-0095</t>
        </is>
      </c>
      <c r="D138" s="238" t="inlineStr">
        <is>
          <t>Доска обрезная, хвойных пород, ширина 75-150 мм, толщина 44 мм и более, длина 4-6,5 м, сорт III</t>
        </is>
      </c>
      <c r="E138" s="333" t="inlineStr">
        <is>
          <t>м3</t>
        </is>
      </c>
      <c r="F138" s="235" t="n">
        <v>0.68</v>
      </c>
      <c r="G138" s="241" t="n">
        <v>1056</v>
      </c>
      <c r="H138" s="229">
        <f>ROUND(F138*G138,2)</f>
        <v/>
      </c>
      <c r="I138" s="163" t="n"/>
    </row>
    <row r="139" ht="38.25" customHeight="1" s="262">
      <c r="A139" s="171" t="n">
        <v>124</v>
      </c>
      <c r="B139" s="302" t="n"/>
      <c r="C139" s="235" t="inlineStr">
        <is>
          <t>20.2.04.06-0069</t>
        </is>
      </c>
      <c r="D139" s="238" t="inlineStr">
        <is>
          <t>Короб кабельный угловой для поворота горизонтальной трассы вверх под углом 90 °, сейсмостойкий КУВ-0,05/0,1, горячеоцинкованный</t>
        </is>
      </c>
      <c r="E139" s="333" t="inlineStr">
        <is>
          <t>шт</t>
        </is>
      </c>
      <c r="F139" s="235" t="n">
        <v>4</v>
      </c>
      <c r="G139" s="241" t="n">
        <v>165.21</v>
      </c>
      <c r="H139" s="229">
        <f>ROUND(F139*G139,2)</f>
        <v/>
      </c>
      <c r="I139" s="163" t="n"/>
    </row>
    <row r="140">
      <c r="A140" s="171" t="n">
        <v>125</v>
      </c>
      <c r="B140" s="302" t="n"/>
      <c r="C140" s="235" t="inlineStr">
        <is>
          <t>01.7.11.07-0054</t>
        </is>
      </c>
      <c r="D140" s="238" t="inlineStr">
        <is>
          <t>Электроды сварочные Э42, диаметр 6 мм</t>
        </is>
      </c>
      <c r="E140" s="333" t="inlineStr">
        <is>
          <t>т</t>
        </is>
      </c>
      <c r="F140" s="235" t="n">
        <v>0.07000000000000001</v>
      </c>
      <c r="G140" s="241" t="n">
        <v>9424</v>
      </c>
      <c r="H140" s="229">
        <f>ROUND(F140*G140,2)</f>
        <v/>
      </c>
      <c r="I140" s="163" t="n"/>
    </row>
    <row r="141" ht="25.5" customFormat="1" customHeight="1" s="148">
      <c r="A141" s="171" t="n">
        <v>126</v>
      </c>
      <c r="B141" s="302" t="n"/>
      <c r="C141" s="235" t="inlineStr">
        <is>
          <t>08.3.05.02-0101</t>
        </is>
      </c>
      <c r="D141" s="238" t="inlineStr">
        <is>
          <t>Прокат толстолистовой горячекатаный в листах, марка стали ВСт3пс5, толщина 4-6 мм</t>
        </is>
      </c>
      <c r="E141" s="333" t="inlineStr">
        <is>
          <t>т</t>
        </is>
      </c>
      <c r="F141" s="235" t="n">
        <v>0.11</v>
      </c>
      <c r="G141" s="241" t="n">
        <v>5763</v>
      </c>
      <c r="H141" s="229">
        <f>ROUND(F141*G141,2)</f>
        <v/>
      </c>
      <c r="I141" s="163" t="n"/>
    </row>
    <row r="142">
      <c r="A142" s="171" t="n">
        <v>127</v>
      </c>
      <c r="B142" s="302" t="n"/>
      <c r="C142" s="235" t="inlineStr">
        <is>
          <t>20.5.04.04-0016</t>
        </is>
      </c>
      <c r="D142" s="238" t="inlineStr">
        <is>
          <t>Зажим натяжной НАС-600-1</t>
        </is>
      </c>
      <c r="E142" s="333" t="inlineStr">
        <is>
          <t>шт</t>
        </is>
      </c>
      <c r="F142" s="235" t="n">
        <v>2</v>
      </c>
      <c r="G142" s="241" t="n">
        <v>311.42</v>
      </c>
      <c r="H142" s="229">
        <f>ROUND(F142*G142,2)</f>
        <v/>
      </c>
      <c r="I142" s="163" t="n"/>
    </row>
    <row r="143" ht="25.5" customHeight="1" s="262">
      <c r="A143" s="171" t="n">
        <v>128</v>
      </c>
      <c r="B143" s="302" t="n"/>
      <c r="C143" s="235" t="inlineStr">
        <is>
          <t>10.3.02.03-0011</t>
        </is>
      </c>
      <c r="D143" s="238" t="inlineStr">
        <is>
          <t>Припои оловянно-свинцовые бессурьмянистые, марка ПОС30</t>
        </is>
      </c>
      <c r="E143" s="333" t="inlineStr">
        <is>
          <t>т</t>
        </is>
      </c>
      <c r="F143" s="235" t="n">
        <v>0.008999999999999999</v>
      </c>
      <c r="G143" s="241" t="n">
        <v>68050</v>
      </c>
      <c r="H143" s="229">
        <f>ROUND(F143*G143,2)</f>
        <v/>
      </c>
      <c r="I143" s="163" t="n"/>
      <c r="K143" s="152" t="n"/>
    </row>
    <row r="144" ht="25.5" customHeight="1" s="262">
      <c r="A144" s="171" t="n">
        <v>129</v>
      </c>
      <c r="B144" s="302" t="n"/>
      <c r="C144" s="235" t="inlineStr">
        <is>
          <t>08.4.03.02-0008</t>
        </is>
      </c>
      <c r="D144" s="238" t="inlineStr">
        <is>
          <t>Горячекатаная арматурная сталь гладкая класса А-I, диаметром: 25-28 мм</t>
        </is>
      </c>
      <c r="E144" s="333" t="inlineStr">
        <is>
          <t>т</t>
        </is>
      </c>
      <c r="F144" s="235" t="n">
        <v>0.1</v>
      </c>
      <c r="G144" s="241" t="n">
        <v>5410.16</v>
      </c>
      <c r="H144" s="229">
        <f>ROUND(F144*G144,2)</f>
        <v/>
      </c>
      <c r="I144" s="163" t="n"/>
      <c r="K144" s="152" t="n"/>
    </row>
    <row r="145">
      <c r="A145" s="171" t="n">
        <v>130</v>
      </c>
      <c r="B145" s="302" t="n"/>
      <c r="C145" s="235" t="inlineStr">
        <is>
          <t>20.1.01.12-0016</t>
        </is>
      </c>
      <c r="D145" s="238" t="inlineStr">
        <is>
          <t>Зажим поддерживающий глухой ПГН-5-3</t>
        </is>
      </c>
      <c r="E145" s="333" t="inlineStr">
        <is>
          <t>шт</t>
        </is>
      </c>
      <c r="F145" s="235" t="n">
        <v>2</v>
      </c>
      <c r="G145" s="241" t="n">
        <v>266.27</v>
      </c>
      <c r="H145" s="229">
        <f>ROUND(F145*G145,2)</f>
        <v/>
      </c>
      <c r="I145" s="163" t="n"/>
      <c r="K145" s="152" t="n"/>
    </row>
    <row r="146">
      <c r="A146" s="171" t="n">
        <v>131</v>
      </c>
      <c r="B146" s="302" t="n"/>
      <c r="C146" s="235" t="inlineStr">
        <is>
          <t>25.1.01.04-0031</t>
        </is>
      </c>
      <c r="D146" s="238" t="inlineStr">
        <is>
          <t>Шпалы непропитанные для железных дорог, тип I</t>
        </is>
      </c>
      <c r="E146" s="333" t="inlineStr">
        <is>
          <t>шт</t>
        </is>
      </c>
      <c r="F146" s="235" t="n">
        <v>1.92</v>
      </c>
      <c r="G146" s="241" t="n">
        <v>266.67</v>
      </c>
      <c r="H146" s="229">
        <f>ROUND(F146*G146,2)</f>
        <v/>
      </c>
      <c r="I146" s="163" t="n"/>
      <c r="K146" s="152" t="n"/>
    </row>
    <row r="147">
      <c r="A147" s="171" t="n">
        <v>132</v>
      </c>
      <c r="B147" s="302" t="n"/>
      <c r="C147" s="235" t="inlineStr">
        <is>
          <t>01.3.01.03-0002</t>
        </is>
      </c>
      <c r="D147" s="238" t="inlineStr">
        <is>
          <t>Керосин для технических целей</t>
        </is>
      </c>
      <c r="E147" s="333" t="inlineStr">
        <is>
          <t>т</t>
        </is>
      </c>
      <c r="F147" s="235" t="n">
        <v>0.18</v>
      </c>
      <c r="G147" s="241" t="n">
        <v>2606.9</v>
      </c>
      <c r="H147" s="229">
        <f>ROUND(F147*G147,2)</f>
        <v/>
      </c>
    </row>
    <row r="148">
      <c r="A148" s="171" t="n">
        <v>133</v>
      </c>
      <c r="B148" s="302" t="n"/>
      <c r="C148" s="235" t="inlineStr">
        <is>
          <t>01.3.02.08-0001</t>
        </is>
      </c>
      <c r="D148" s="238" t="inlineStr">
        <is>
          <t>Кислород газообразный технический</t>
        </is>
      </c>
      <c r="E148" s="333" t="inlineStr">
        <is>
          <t>м3</t>
        </is>
      </c>
      <c r="F148" s="235" t="n">
        <v>71.45999999999999</v>
      </c>
      <c r="G148" s="241" t="n">
        <v>6.22</v>
      </c>
      <c r="H148" s="229">
        <f>ROUND(F148*G148,2)</f>
        <v/>
      </c>
      <c r="I148" s="163" t="n"/>
    </row>
    <row r="149" ht="38.25" customHeight="1" s="262">
      <c r="A149" s="171" t="n">
        <v>134</v>
      </c>
      <c r="B149" s="302" t="n"/>
      <c r="C149" s="235" t="inlineStr">
        <is>
          <t>08.1.02.13-0011</t>
        </is>
      </c>
      <c r="D149" s="238" t="inlineStr">
        <is>
          <t>Рукава металлические из стальной оцинкованной ленты, негерметичные, простого профиля, РЗ-ЦХ, диаметр условный 32 мм (МПГ-32)</t>
        </is>
      </c>
      <c r="E149" s="333" t="inlineStr">
        <is>
          <t>м</t>
        </is>
      </c>
      <c r="F149" s="235" t="n">
        <v>30</v>
      </c>
      <c r="G149" s="241" t="n">
        <v>13.25</v>
      </c>
      <c r="H149" s="229">
        <f>ROUND(F149*G149,2)</f>
        <v/>
      </c>
      <c r="I149" s="163" t="n"/>
    </row>
    <row r="150">
      <c r="A150" s="171" t="n">
        <v>135</v>
      </c>
      <c r="B150" s="302" t="n"/>
      <c r="C150" s="235" t="inlineStr">
        <is>
          <t>20.1.01.02-0067</t>
        </is>
      </c>
      <c r="D150" s="238" t="inlineStr">
        <is>
          <t>Зажим аппаратный прессуемый: А4А-400-2</t>
        </is>
      </c>
      <c r="E150" s="333" t="inlineStr">
        <is>
          <t>100 шт</t>
        </is>
      </c>
      <c r="F150" s="235" t="n">
        <v>0.06</v>
      </c>
      <c r="G150" s="241" t="n">
        <v>6505</v>
      </c>
      <c r="H150" s="229">
        <f>ROUND(F150*G150,2)</f>
        <v/>
      </c>
      <c r="I150" s="163" t="n"/>
    </row>
    <row r="151">
      <c r="A151" s="171" t="n">
        <v>136</v>
      </c>
      <c r="B151" s="302" t="n"/>
      <c r="C151" s="235" t="inlineStr">
        <is>
          <t>20.1.02.22-0003</t>
        </is>
      </c>
      <c r="D151" s="238" t="inlineStr">
        <is>
          <t>Ушко двухлапчатое У2-12-16</t>
        </is>
      </c>
      <c r="E151" s="333" t="inlineStr">
        <is>
          <t>шт</t>
        </is>
      </c>
      <c r="F151" s="235" t="n">
        <v>2</v>
      </c>
      <c r="G151" s="241" t="n">
        <v>194.37</v>
      </c>
      <c r="H151" s="229">
        <f>ROUND(F151*G151,2)</f>
        <v/>
      </c>
      <c r="I151" s="163" t="n"/>
    </row>
    <row r="152">
      <c r="A152" s="171" t="n">
        <v>137</v>
      </c>
      <c r="B152" s="302" t="n"/>
      <c r="C152" s="235" t="inlineStr">
        <is>
          <t>01.7.03.01-0001</t>
        </is>
      </c>
      <c r="D152" s="238" t="inlineStr">
        <is>
          <t>Вода</t>
        </is>
      </c>
      <c r="E152" s="333" t="inlineStr">
        <is>
          <t>м3</t>
        </is>
      </c>
      <c r="F152" s="235" t="n">
        <v>155.46</v>
      </c>
      <c r="G152" s="241" t="n">
        <v>2.44</v>
      </c>
      <c r="H152" s="229">
        <f>ROUND(F152*G152,2)</f>
        <v/>
      </c>
      <c r="I152" s="163" t="n"/>
    </row>
    <row r="153">
      <c r="A153" s="171" t="n">
        <v>138</v>
      </c>
      <c r="B153" s="302" t="n"/>
      <c r="C153" s="235" t="inlineStr">
        <is>
          <t>01.7.15.06-0111</t>
        </is>
      </c>
      <c r="D153" s="238" t="inlineStr">
        <is>
          <t>Гвозди строительные</t>
        </is>
      </c>
      <c r="E153" s="333" t="inlineStr">
        <is>
          <t>т</t>
        </is>
      </c>
      <c r="F153" s="235" t="n">
        <v>0.03</v>
      </c>
      <c r="G153" s="241" t="n">
        <v>11978</v>
      </c>
      <c r="H153" s="229">
        <f>ROUND(F153*G153,2)</f>
        <v/>
      </c>
      <c r="I153" s="163" t="n"/>
    </row>
    <row r="154" ht="25.5" customFormat="1" customHeight="1" s="148">
      <c r="A154" s="171" t="n">
        <v>139</v>
      </c>
      <c r="B154" s="302" t="n"/>
      <c r="C154" s="235" t="inlineStr">
        <is>
          <t>08.4.03.03-0030</t>
        </is>
      </c>
      <c r="D154" s="238" t="inlineStr">
        <is>
          <t>Сталь арматурная, горячекатаная, периодического профиля, класс А-III, диаметр 8 мм</t>
        </is>
      </c>
      <c r="E154" s="333" t="inlineStr">
        <is>
          <t>т</t>
        </is>
      </c>
      <c r="F154" s="235" t="n">
        <v>0.04</v>
      </c>
      <c r="G154" s="241" t="n">
        <v>8102.64</v>
      </c>
      <c r="H154" s="229">
        <f>ROUND(F154*G154,2)</f>
        <v/>
      </c>
      <c r="I154" s="163" t="n"/>
    </row>
    <row r="155">
      <c r="A155" s="171" t="n">
        <v>140</v>
      </c>
      <c r="B155" s="302" t="n"/>
      <c r="C155" s="235" t="inlineStr">
        <is>
          <t>20.5.04.05-0001</t>
        </is>
      </c>
      <c r="D155" s="238" t="inlineStr">
        <is>
          <t>Зажим ответвительный ОА-400-1</t>
        </is>
      </c>
      <c r="E155" s="333" t="inlineStr">
        <is>
          <t>100 шт</t>
        </is>
      </c>
      <c r="F155" s="235" t="n">
        <v>0.05</v>
      </c>
      <c r="G155" s="241" t="n">
        <v>5933</v>
      </c>
      <c r="H155" s="229">
        <f>ROUND(F155*G155,2)</f>
        <v/>
      </c>
      <c r="I155" s="163" t="n"/>
    </row>
    <row r="156">
      <c r="A156" s="171" t="n">
        <v>141</v>
      </c>
      <c r="B156" s="302" t="n"/>
      <c r="C156" s="235" t="inlineStr">
        <is>
          <t>01.3.02.09-0022</t>
        </is>
      </c>
      <c r="D156" s="238" t="inlineStr">
        <is>
          <t>Пропан-бутан смесь техническая</t>
        </is>
      </c>
      <c r="E156" s="333" t="inlineStr">
        <is>
          <t>кг</t>
        </is>
      </c>
      <c r="F156" s="235" t="n">
        <v>48.6</v>
      </c>
      <c r="G156" s="241" t="n">
        <v>6.09</v>
      </c>
      <c r="H156" s="229">
        <f>ROUND(F156*G156,2)</f>
        <v/>
      </c>
      <c r="I156" s="163" t="n"/>
      <c r="K156" s="152" t="n"/>
    </row>
    <row r="157" ht="25.5" customHeight="1" s="262">
      <c r="A157" s="171" t="n">
        <v>142</v>
      </c>
      <c r="B157" s="302" t="n"/>
      <c r="C157" s="235" t="inlineStr">
        <is>
          <t>04.1.02.05-0029</t>
        </is>
      </c>
      <c r="D157" s="238" t="inlineStr">
        <is>
          <t>Смеси бетонные тяжелого бетона (БСТ), крупность заполнителя 10 мм, класс B25 (М350)</t>
        </is>
      </c>
      <c r="E157" s="333" t="inlineStr">
        <is>
          <t>м3</t>
        </is>
      </c>
      <c r="F157" s="235" t="n">
        <v>0.39</v>
      </c>
      <c r="G157" s="241" t="n">
        <v>748.04</v>
      </c>
      <c r="H157" s="229">
        <f>ROUND(F157*G157,2)</f>
        <v/>
      </c>
      <c r="I157" s="163" t="n"/>
      <c r="K157" s="152" t="n"/>
    </row>
    <row r="158">
      <c r="A158" s="171" t="n">
        <v>143</v>
      </c>
      <c r="B158" s="302" t="n"/>
      <c r="C158" s="235" t="inlineStr">
        <is>
          <t>21.2.02.01-0030</t>
        </is>
      </c>
      <c r="D158" s="238" t="inlineStr">
        <is>
          <t>Провод антенный МГ, сечение 50 мм2</t>
        </is>
      </c>
      <c r="E158" s="333" t="inlineStr">
        <is>
          <t>т</t>
        </is>
      </c>
      <c r="F158" s="235" t="n">
        <v>0.003978</v>
      </c>
      <c r="G158" s="241" t="n">
        <v>70013.25</v>
      </c>
      <c r="H158" s="229">
        <f>ROUND(F158*G158,2)</f>
        <v/>
      </c>
      <c r="I158" s="163" t="n"/>
      <c r="K158" s="152" t="n"/>
    </row>
    <row r="159">
      <c r="A159" s="171" t="n">
        <v>144</v>
      </c>
      <c r="B159" s="302" t="n"/>
      <c r="C159" s="235" t="inlineStr">
        <is>
          <t>01.7.15.03-0042</t>
        </is>
      </c>
      <c r="D159" s="238" t="inlineStr">
        <is>
          <t>Болты с гайками и шайбами строительные</t>
        </is>
      </c>
      <c r="E159" s="333" t="inlineStr">
        <is>
          <t>кг</t>
        </is>
      </c>
      <c r="F159" s="235" t="n">
        <v>30.25</v>
      </c>
      <c r="G159" s="241" t="n">
        <v>9.039999999999999</v>
      </c>
      <c r="H159" s="229">
        <f>ROUND(F159*G159,2)</f>
        <v/>
      </c>
      <c r="I159" s="163" t="n"/>
      <c r="K159" s="152" t="n"/>
    </row>
    <row r="160">
      <c r="A160" s="171" t="n">
        <v>145</v>
      </c>
      <c r="B160" s="302" t="n"/>
      <c r="C160" s="235" t="inlineStr">
        <is>
          <t>20.1.01.02-0054</t>
        </is>
      </c>
      <c r="D160" s="238" t="inlineStr">
        <is>
          <t>Зажим аппаратный прессуемый: А2А-400-2</t>
        </is>
      </c>
      <c r="E160" s="333" t="inlineStr">
        <is>
          <t>100 шт</t>
        </is>
      </c>
      <c r="F160" s="235" t="n">
        <v>0.05</v>
      </c>
      <c r="G160" s="241" t="n">
        <v>4986</v>
      </c>
      <c r="H160" s="229">
        <f>ROUND(F160*G160,2)</f>
        <v/>
      </c>
    </row>
    <row r="161" ht="38.25" customHeight="1" s="262">
      <c r="A161" s="171" t="n">
        <v>146</v>
      </c>
      <c r="B161" s="302" t="n"/>
      <c r="C161" s="235" t="inlineStr">
        <is>
          <t>20.2.04.06-0095</t>
        </is>
      </c>
      <c r="D161" s="238" t="inlineStr">
        <is>
          <t>Короб кабельный угловой для поворота горизонтальной трассы вниз под углом 90 °, сейсмостойкий КУН-0,05/0,1, горячеоцинкованный</t>
        </is>
      </c>
      <c r="E161" s="333" t="inlineStr">
        <is>
          <t>шт</t>
        </is>
      </c>
      <c r="F161" s="235" t="n">
        <v>1</v>
      </c>
      <c r="G161" s="241" t="n">
        <v>232.19</v>
      </c>
      <c r="H161" s="229">
        <f>ROUND(F161*G161,2)</f>
        <v/>
      </c>
    </row>
    <row r="162">
      <c r="A162" s="171" t="n">
        <v>147</v>
      </c>
      <c r="B162" s="302" t="n"/>
      <c r="C162" s="235" t="inlineStr">
        <is>
          <t>04.3.01.09-0014</t>
        </is>
      </c>
      <c r="D162" s="238" t="inlineStr">
        <is>
          <t>Раствор готовый кладочный, цементный, М100</t>
        </is>
      </c>
      <c r="E162" s="333" t="inlineStr">
        <is>
          <t>м3</t>
        </is>
      </c>
      <c r="F162" s="235" t="n">
        <v>0.43</v>
      </c>
      <c r="G162" s="241" t="n">
        <v>519.8</v>
      </c>
      <c r="H162" s="229">
        <f>ROUND(F162*G162,2)</f>
        <v/>
      </c>
      <c r="I162" s="163" t="n"/>
    </row>
    <row r="163">
      <c r="A163" s="171" t="n">
        <v>148</v>
      </c>
      <c r="B163" s="302" t="n"/>
      <c r="C163" s="235" t="inlineStr">
        <is>
          <t>14.5.09.11-0102</t>
        </is>
      </c>
      <c r="D163" s="238" t="inlineStr">
        <is>
          <t>Уайт-спирит</t>
        </is>
      </c>
      <c r="E163" s="333" t="inlineStr">
        <is>
          <t>кг</t>
        </is>
      </c>
      <c r="F163" s="235" t="n">
        <v>33.375</v>
      </c>
      <c r="G163" s="241" t="n">
        <v>6.67</v>
      </c>
      <c r="H163" s="229">
        <f>ROUND(F163*G163,2)</f>
        <v/>
      </c>
      <c r="I163" s="163" t="n"/>
    </row>
    <row r="164" ht="25.5" customHeight="1" s="262">
      <c r="A164" s="171" t="n">
        <v>149</v>
      </c>
      <c r="B164" s="302" t="n"/>
      <c r="C164" s="235" t="inlineStr">
        <is>
          <t>04.3.01.12-0111</t>
        </is>
      </c>
      <c r="D164" s="238" t="inlineStr">
        <is>
          <t>Раствор готовый отделочный тяжелый, цементно-известковый, состав 1:1:6</t>
        </is>
      </c>
      <c r="E164" s="333" t="inlineStr">
        <is>
          <t>м3</t>
        </is>
      </c>
      <c r="F164" s="235" t="n">
        <v>0.42</v>
      </c>
      <c r="G164" s="241" t="n">
        <v>517.91</v>
      </c>
      <c r="H164" s="229">
        <f>ROUND(F164*G164,2)</f>
        <v/>
      </c>
      <c r="I164" s="163" t="n"/>
    </row>
    <row r="165" ht="25.5" customHeight="1" s="262">
      <c r="A165" s="171" t="n">
        <v>150</v>
      </c>
      <c r="B165" s="302" t="n"/>
      <c r="C165" s="235" t="inlineStr">
        <is>
          <t>01.7.15.05-0024</t>
        </is>
      </c>
      <c r="D165" s="238" t="inlineStr">
        <is>
          <t>Гайки шестигранные, диаметр резьбы 12-14 мм, оцинкованные</t>
        </is>
      </c>
      <c r="E165" s="333" t="inlineStr">
        <is>
          <t>т</t>
        </is>
      </c>
      <c r="F165" s="235" t="n">
        <v>0.01</v>
      </c>
      <c r="G165" s="241" t="n">
        <v>21298.23</v>
      </c>
      <c r="H165" s="229">
        <f>ROUND(F165*G165,2)</f>
        <v/>
      </c>
      <c r="I165" s="163" t="n"/>
    </row>
    <row r="166">
      <c r="A166" s="171" t="n">
        <v>151</v>
      </c>
      <c r="B166" s="302" t="n"/>
      <c r="C166" s="235" t="inlineStr">
        <is>
          <t>25.2.01.01-0001</t>
        </is>
      </c>
      <c r="D166" s="238" t="inlineStr">
        <is>
          <t>Бирки-оконцеватели</t>
        </is>
      </c>
      <c r="E166" s="333" t="inlineStr">
        <is>
          <t>100 шт</t>
        </is>
      </c>
      <c r="F166" s="235" t="n">
        <v>3.36</v>
      </c>
      <c r="G166" s="241" t="n">
        <v>63</v>
      </c>
      <c r="H166" s="229">
        <f>ROUND(F166*G166,2)</f>
        <v/>
      </c>
      <c r="I166" s="163" t="n"/>
    </row>
    <row r="167">
      <c r="A167" s="171" t="n">
        <v>152</v>
      </c>
      <c r="B167" s="302" t="n"/>
      <c r="C167" s="235" t="inlineStr">
        <is>
          <t>20.2.10.04-0008</t>
        </is>
      </c>
      <c r="D167" s="238" t="inlineStr">
        <is>
          <t>Наконечники кабельные медные луженные ТМЛ-70</t>
        </is>
      </c>
      <c r="E167" s="333" t="inlineStr">
        <is>
          <t>100 шт</t>
        </is>
      </c>
      <c r="F167" s="235" t="n">
        <v>0.24</v>
      </c>
      <c r="G167" s="241" t="n">
        <v>801</v>
      </c>
      <c r="H167" s="229">
        <f>ROUND(F167*G167,2)</f>
        <v/>
      </c>
      <c r="I167" s="163" t="n"/>
    </row>
    <row r="168">
      <c r="A168" s="171" t="n">
        <v>153</v>
      </c>
      <c r="B168" s="302" t="n"/>
      <c r="C168" s="235" t="inlineStr">
        <is>
          <t>14.5.01.07-0134</t>
        </is>
      </c>
      <c r="D168" s="238" t="inlineStr">
        <is>
          <t>Герметик силиконовый для наружных швов</t>
        </is>
      </c>
      <c r="E168" s="333" t="inlineStr">
        <is>
          <t>л</t>
        </is>
      </c>
      <c r="F168" s="235" t="n">
        <v>2.48</v>
      </c>
      <c r="G168" s="241" t="n">
        <v>76.8</v>
      </c>
      <c r="H168" s="229">
        <f>ROUND(F168*G168,2)</f>
        <v/>
      </c>
      <c r="I168" s="163" t="n"/>
    </row>
    <row r="169">
      <c r="A169" s="171" t="n">
        <v>154</v>
      </c>
      <c r="B169" s="302" t="n"/>
      <c r="C169" s="235" t="inlineStr">
        <is>
          <t>14.5.09.11-0102</t>
        </is>
      </c>
      <c r="D169" s="238" t="inlineStr">
        <is>
          <t>Уайт-спирит</t>
        </is>
      </c>
      <c r="E169" s="333" t="inlineStr">
        <is>
          <t>кг</t>
        </is>
      </c>
      <c r="F169" s="235" t="n">
        <v>28.514825</v>
      </c>
      <c r="G169" s="241" t="n">
        <v>6.67</v>
      </c>
      <c r="H169" s="229">
        <f>ROUND(F169*G169,2)</f>
        <v/>
      </c>
      <c r="I169" s="163" t="n"/>
    </row>
    <row r="170" ht="25.5" customHeight="1" s="262">
      <c r="A170" s="171" t="n">
        <v>155</v>
      </c>
      <c r="B170" s="302" t="n"/>
      <c r="C170" s="235" t="inlineStr">
        <is>
          <t>01.7.15.03-0035</t>
        </is>
      </c>
      <c r="D170" s="238" t="inlineStr">
        <is>
          <t>Болты с гайками и шайбами оцинкованные, диаметр 20 мм</t>
        </is>
      </c>
      <c r="E170" s="333" t="inlineStr">
        <is>
          <t>кг</t>
        </is>
      </c>
      <c r="F170" s="235" t="n">
        <v>7.3</v>
      </c>
      <c r="G170" s="241" t="n">
        <v>24.97</v>
      </c>
      <c r="H170" s="229">
        <f>ROUND(F170*G170,2)</f>
        <v/>
      </c>
      <c r="I170" s="163" t="n"/>
    </row>
    <row r="171" ht="25.5" customFormat="1" customHeight="1" s="148">
      <c r="A171" s="171" t="n">
        <v>156</v>
      </c>
      <c r="B171" s="302" t="n"/>
      <c r="C171" s="235" t="inlineStr">
        <is>
          <t>01.3.01.06-0050</t>
        </is>
      </c>
      <c r="D171" s="238" t="inlineStr">
        <is>
          <t>Смазка универсальная тугоплавкая УТ (консталин жировой)</t>
        </is>
      </c>
      <c r="E171" s="333" t="inlineStr">
        <is>
          <t>т</t>
        </is>
      </c>
      <c r="F171" s="235" t="n">
        <v>0.01</v>
      </c>
      <c r="G171" s="241" t="n">
        <v>17500</v>
      </c>
      <c r="H171" s="229">
        <f>ROUND(F171*G171,2)</f>
        <v/>
      </c>
      <c r="I171" s="163" t="n"/>
    </row>
    <row r="172">
      <c r="A172" s="171" t="n">
        <v>157</v>
      </c>
      <c r="B172" s="302" t="n"/>
      <c r="C172" s="235" t="inlineStr">
        <is>
          <t>01.2.01.02-0054</t>
        </is>
      </c>
      <c r="D172" s="238" t="inlineStr">
        <is>
          <t>Битумы нефтяные строительные БН-90/10</t>
        </is>
      </c>
      <c r="E172" s="333" t="inlineStr">
        <is>
          <t>т</t>
        </is>
      </c>
      <c r="F172" s="235" t="n">
        <v>0.12</v>
      </c>
      <c r="G172" s="241" t="n">
        <v>1383.1</v>
      </c>
      <c r="H172" s="229">
        <f>ROUND(F172*G172,2)</f>
        <v/>
      </c>
      <c r="I172" s="163" t="n"/>
    </row>
    <row r="173" ht="25.5" customHeight="1" s="262">
      <c r="A173" s="171" t="n">
        <v>158</v>
      </c>
      <c r="B173" s="302" t="n"/>
      <c r="C173" s="235" t="inlineStr">
        <is>
          <t>11.1.02.04-0031</t>
        </is>
      </c>
      <c r="D173" s="238" t="inlineStr">
        <is>
          <t>Лесоматериалы круглые, хвойных пород, для строительства, диаметр 14-24 см, длина 3-6,5 м</t>
        </is>
      </c>
      <c r="E173" s="333" t="inlineStr">
        <is>
          <t>м3</t>
        </is>
      </c>
      <c r="F173" s="235" t="n">
        <v>0.29</v>
      </c>
      <c r="G173" s="241" t="n">
        <v>558.33</v>
      </c>
      <c r="H173" s="229">
        <f>ROUND(F173*G173,2)</f>
        <v/>
      </c>
      <c r="I173" s="163" t="n"/>
      <c r="K173" s="152" t="n"/>
    </row>
    <row r="174" ht="38.25" customHeight="1" s="262">
      <c r="A174" s="171" t="n">
        <v>159</v>
      </c>
      <c r="B174" s="302" t="n"/>
      <c r="C174" s="235" t="inlineStr">
        <is>
          <t>20.2.04.06-0032</t>
        </is>
      </c>
      <c r="D174" s="238" t="inlineStr">
        <is>
          <t>Короб кабельный угловой горизонтального поворота трассы под углом 90 °, сейсмостойкий КУГ-0,05/0,1, горячеоцинкованный</t>
        </is>
      </c>
      <c r="E174" s="333" t="inlineStr">
        <is>
          <t>шт</t>
        </is>
      </c>
      <c r="F174" s="235" t="n">
        <v>1</v>
      </c>
      <c r="G174" s="241" t="n">
        <v>158.66</v>
      </c>
      <c r="H174" s="229">
        <f>ROUND(F174*G174,2)</f>
        <v/>
      </c>
      <c r="I174" s="163" t="n"/>
      <c r="K174" s="152" t="n"/>
    </row>
    <row r="175" ht="25.5" customHeight="1" s="262">
      <c r="A175" s="171" t="n">
        <v>160</v>
      </c>
      <c r="B175" s="302" t="n"/>
      <c r="C175" s="235" t="inlineStr">
        <is>
          <t>14.4.02.04-0015</t>
        </is>
      </c>
      <c r="D175" s="238" t="inlineStr">
        <is>
          <t>Краска масляная для внутренних работ МА-015, черная густотертая</t>
        </is>
      </c>
      <c r="E175" s="333" t="inlineStr">
        <is>
          <t>т</t>
        </is>
      </c>
      <c r="F175" s="235" t="n">
        <v>0.01</v>
      </c>
      <c r="G175" s="241" t="n">
        <v>15707</v>
      </c>
      <c r="H175" s="229">
        <f>ROUND(F175*G175,2)</f>
        <v/>
      </c>
      <c r="I175" s="163" t="n"/>
      <c r="K175" s="152" t="n"/>
    </row>
    <row r="176">
      <c r="A176" s="171" t="n">
        <v>161</v>
      </c>
      <c r="B176" s="302" t="n"/>
      <c r="C176" s="235" t="inlineStr">
        <is>
          <t>20.2.09.13-0011</t>
        </is>
      </c>
      <c r="D176" s="238" t="inlineStr">
        <is>
          <t>Муфты</t>
        </is>
      </c>
      <c r="E176" s="333" t="inlineStr">
        <is>
          <t>шт</t>
        </is>
      </c>
      <c r="F176" s="235" t="n">
        <v>30</v>
      </c>
      <c r="G176" s="241" t="n">
        <v>5</v>
      </c>
      <c r="H176" s="229">
        <f>ROUND(F176*G176,2)</f>
        <v/>
      </c>
      <c r="I176" s="163" t="n"/>
      <c r="K176" s="152" t="n"/>
    </row>
    <row r="177" ht="25.5" customHeight="1" s="262">
      <c r="A177" s="171" t="n">
        <v>162</v>
      </c>
      <c r="B177" s="302" t="n"/>
      <c r="C177" s="235" t="inlineStr">
        <is>
          <t>08.3.07.01-0076</t>
        </is>
      </c>
      <c r="D177" s="238" t="inlineStr">
        <is>
          <t>Прокат полосовой, горячекатаный, марка стали Ст3сп, ширина 50-200 мм, толщина 4-5 мм</t>
        </is>
      </c>
      <c r="E177" s="333" t="inlineStr">
        <is>
          <t>т</t>
        </is>
      </c>
      <c r="F177" s="235" t="n">
        <v>0.03</v>
      </c>
      <c r="G177" s="241" t="n">
        <v>5000</v>
      </c>
      <c r="H177" s="229">
        <f>ROUND(F177*G177,2)</f>
        <v/>
      </c>
    </row>
    <row r="178" ht="25.5" customHeight="1" s="262">
      <c r="A178" s="171" t="n">
        <v>163</v>
      </c>
      <c r="B178" s="302" t="n"/>
      <c r="C178" s="235" t="inlineStr">
        <is>
          <t>11.1.03.05-0085</t>
        </is>
      </c>
      <c r="D178" s="238" t="inlineStr">
        <is>
          <t>Доска необрезная, хвойных пород, длина 4-6,5 м, все ширины, толщина 44 мм и более, сорт III</t>
        </is>
      </c>
      <c r="E178" s="333" t="inlineStr">
        <is>
          <t>м3</t>
        </is>
      </c>
      <c r="F178" s="235" t="n">
        <v>0.2</v>
      </c>
      <c r="G178" s="241" t="n">
        <v>684</v>
      </c>
      <c r="H178" s="229">
        <f>ROUND(F178*G178,2)</f>
        <v/>
      </c>
    </row>
    <row r="179">
      <c r="A179" s="171" t="n">
        <v>164</v>
      </c>
      <c r="B179" s="302" t="n"/>
      <c r="C179" s="235" t="inlineStr">
        <is>
          <t>22.2.02.04-0048</t>
        </is>
      </c>
      <c r="D179" s="238" t="inlineStr">
        <is>
          <t>Звено промежуточное трехлапчатое ПРТ-12/21-2</t>
        </is>
      </c>
      <c r="E179" s="333" t="inlineStr">
        <is>
          <t>шт</t>
        </is>
      </c>
      <c r="F179" s="235" t="n">
        <v>2</v>
      </c>
      <c r="G179" s="241" t="n">
        <v>66.12</v>
      </c>
      <c r="H179" s="229">
        <f>ROUND(F179*G179,2)</f>
        <v/>
      </c>
      <c r="I179" s="163" t="n"/>
    </row>
    <row r="180" ht="25.5" customHeight="1" s="262">
      <c r="A180" s="171" t="n">
        <v>165</v>
      </c>
      <c r="B180" s="302" t="n"/>
      <c r="C180" s="235" t="inlineStr">
        <is>
          <t>11.1.03.01-0079</t>
        </is>
      </c>
      <c r="D180" s="238" t="inlineStr">
        <is>
          <t>Бруски обрезные, хвойных пород, длина 4-6,5 м, ширина 75-150 мм, толщина 40-75 мм, сорт III</t>
        </is>
      </c>
      <c r="E180" s="333" t="inlineStr">
        <is>
          <t>м3</t>
        </is>
      </c>
      <c r="F180" s="235" t="n">
        <v>0.1</v>
      </c>
      <c r="G180" s="241" t="n">
        <v>1287</v>
      </c>
      <c r="H180" s="229">
        <f>ROUND(F180*G180,2)</f>
        <v/>
      </c>
      <c r="I180" s="163" t="n"/>
    </row>
    <row r="181">
      <c r="A181" s="171" t="n">
        <v>166</v>
      </c>
      <c r="B181" s="302" t="n"/>
      <c r="C181" s="235" t="inlineStr">
        <is>
          <t>01.7.15.10-0053</t>
        </is>
      </c>
      <c r="D181" s="238" t="inlineStr">
        <is>
          <t>Скобы металлические</t>
        </is>
      </c>
      <c r="E181" s="333" t="inlineStr">
        <is>
          <t>кг</t>
        </is>
      </c>
      <c r="F181" s="235" t="n">
        <v>20.01</v>
      </c>
      <c r="G181" s="241" t="n">
        <v>6.4</v>
      </c>
      <c r="H181" s="229">
        <f>ROUND(F181*G181,2)</f>
        <v/>
      </c>
      <c r="I181" s="163" t="n"/>
    </row>
    <row r="182">
      <c r="A182" s="171" t="n">
        <v>167</v>
      </c>
      <c r="B182" s="302" t="n"/>
      <c r="C182" s="235" t="inlineStr">
        <is>
          <t>01.7.15.10-0032</t>
        </is>
      </c>
      <c r="D182" s="238" t="inlineStr">
        <is>
          <t>Скобы СК-12-1А</t>
        </is>
      </c>
      <c r="E182" s="333" t="inlineStr">
        <is>
          <t>шт</t>
        </is>
      </c>
      <c r="F182" s="235" t="n">
        <v>2</v>
      </c>
      <c r="G182" s="241" t="n">
        <v>54.7</v>
      </c>
      <c r="H182" s="229">
        <f>ROUND(F182*G182,2)</f>
        <v/>
      </c>
      <c r="I182" s="163" t="n"/>
    </row>
    <row r="183">
      <c r="A183" s="171" t="n">
        <v>168</v>
      </c>
      <c r="B183" s="302" t="n"/>
      <c r="C183" s="235" t="inlineStr">
        <is>
          <t>20.1.02.21-0043</t>
        </is>
      </c>
      <c r="D183" s="238" t="inlineStr">
        <is>
          <t>Узел крепления КГП-7-3</t>
        </is>
      </c>
      <c r="E183" s="333" t="inlineStr">
        <is>
          <t>шт</t>
        </is>
      </c>
      <c r="F183" s="235" t="n">
        <v>4</v>
      </c>
      <c r="G183" s="241" t="n">
        <v>25.55</v>
      </c>
      <c r="H183" s="229">
        <f>ROUND(F183*G183,2)</f>
        <v/>
      </c>
      <c r="I183" s="163" t="n"/>
      <c r="K183" s="152" t="n"/>
    </row>
    <row r="184" ht="25.5" customHeight="1" s="262">
      <c r="A184" s="171" t="n">
        <v>169</v>
      </c>
      <c r="B184" s="302" t="n"/>
      <c r="C184" s="235" t="inlineStr">
        <is>
          <t>08.3.03.06-0002</t>
        </is>
      </c>
      <c r="D184" s="238" t="inlineStr">
        <is>
          <t>Проволока горячекатаная в мотках, диаметр 6,3-6,5 мм</t>
        </is>
      </c>
      <c r="E184" s="333" t="inlineStr">
        <is>
          <t>т</t>
        </is>
      </c>
      <c r="F184" s="235" t="n">
        <v>0.02</v>
      </c>
      <c r="G184" s="241" t="n">
        <v>4455.2</v>
      </c>
      <c r="H184" s="229">
        <f>ROUND(F184*G184,2)</f>
        <v/>
      </c>
      <c r="I184" s="163" t="n"/>
    </row>
    <row r="185">
      <c r="A185" s="171" t="n">
        <v>170</v>
      </c>
      <c r="B185" s="302" t="n"/>
      <c r="C185" s="235" t="inlineStr">
        <is>
          <t>18.5.08.09-0001</t>
        </is>
      </c>
      <c r="D185" s="238" t="inlineStr">
        <is>
          <t>Патрубки</t>
        </is>
      </c>
      <c r="E185" s="333" t="inlineStr">
        <is>
          <t>10 шт</t>
        </is>
      </c>
      <c r="F185" s="235" t="n">
        <v>0.3</v>
      </c>
      <c r="G185" s="241" t="n">
        <v>277.5</v>
      </c>
      <c r="H185" s="229">
        <f>ROUND(F185*G185,2)</f>
        <v/>
      </c>
      <c r="I185" s="163" t="n"/>
    </row>
    <row r="186">
      <c r="A186" s="171" t="n">
        <v>171</v>
      </c>
      <c r="B186" s="302" t="n"/>
      <c r="C186" s="235" t="inlineStr">
        <is>
          <t>14.4.02.09-0001</t>
        </is>
      </c>
      <c r="D186" s="238" t="inlineStr">
        <is>
          <t>Краска</t>
        </is>
      </c>
      <c r="E186" s="333" t="inlineStr">
        <is>
          <t>кг</t>
        </is>
      </c>
      <c r="F186" s="235" t="n">
        <v>2.46</v>
      </c>
      <c r="G186" s="241" t="n">
        <v>28.6</v>
      </c>
      <c r="H186" s="229">
        <f>ROUND(F186*G186,2)</f>
        <v/>
      </c>
      <c r="I186" s="163" t="n"/>
    </row>
    <row r="187" ht="25.5" customHeight="1" s="262">
      <c r="A187" s="171" t="n">
        <v>172</v>
      </c>
      <c r="B187" s="302" t="n"/>
      <c r="C187" s="235" t="inlineStr">
        <is>
          <t>20.2.03.01-0006</t>
        </is>
      </c>
      <c r="D187" s="238" t="inlineStr">
        <is>
          <t>Заглушка торцевая сейсмостойкая горячеоцинкованная ЗТ-0,1/0,3</t>
        </is>
      </c>
      <c r="E187" s="333" t="inlineStr">
        <is>
          <t>шт</t>
        </is>
      </c>
      <c r="F187" s="235" t="n">
        <v>3</v>
      </c>
      <c r="G187" s="241" t="n">
        <v>21.17</v>
      </c>
      <c r="H187" s="229">
        <f>ROUND(F187*G187,2)</f>
        <v/>
      </c>
      <c r="I187" s="163" t="n"/>
    </row>
    <row r="188" ht="38.25" customHeight="1" s="262">
      <c r="A188" s="171" t="n">
        <v>173</v>
      </c>
      <c r="B188" s="302" t="n"/>
      <c r="C188" s="235" t="inlineStr">
        <is>
          <t>14.4.01.20-0001</t>
        </is>
      </c>
      <c r="D188" s="238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E188" s="333" t="inlineStr">
        <is>
          <t>т</t>
        </is>
      </c>
      <c r="F188" s="235" t="n">
        <v>0.00059</v>
      </c>
      <c r="G188" s="241" t="n">
        <v>107351.35</v>
      </c>
      <c r="H188" s="229">
        <f>ROUND(F188*G188,2)</f>
        <v/>
      </c>
      <c r="I188" s="163" t="n"/>
    </row>
    <row r="189">
      <c r="A189" s="171" t="n">
        <v>174</v>
      </c>
      <c r="B189" s="302" t="n"/>
      <c r="C189" s="235" t="inlineStr">
        <is>
          <t>04.3.01.09-0012</t>
        </is>
      </c>
      <c r="D189" s="238" t="inlineStr">
        <is>
          <t>Раствор готовый кладочный, цементный, М50</t>
        </is>
      </c>
      <c r="E189" s="333" t="inlineStr">
        <is>
          <t>м3</t>
        </is>
      </c>
      <c r="F189" s="235" t="n">
        <v>0.13</v>
      </c>
      <c r="G189" s="241" t="n">
        <v>485.9</v>
      </c>
      <c r="H189" s="229">
        <f>ROUND(F189*G189,2)</f>
        <v/>
      </c>
      <c r="I189" s="163" t="n"/>
    </row>
    <row r="190">
      <c r="A190" s="171" t="n">
        <v>175</v>
      </c>
      <c r="B190" s="302" t="n"/>
      <c r="C190" s="235" t="inlineStr">
        <is>
          <t>08.1.02.11-0001</t>
        </is>
      </c>
      <c r="D190" s="238" t="inlineStr">
        <is>
          <t>Поковки из квадратных заготовок, масса 1,8 кг</t>
        </is>
      </c>
      <c r="E190" s="333" t="inlineStr">
        <is>
          <t>т</t>
        </is>
      </c>
      <c r="F190" s="235" t="n">
        <v>0.01</v>
      </c>
      <c r="G190" s="241" t="n">
        <v>5989</v>
      </c>
      <c r="H190" s="229">
        <f>ROUND(F190*G190,2)</f>
        <v/>
      </c>
      <c r="I190" s="163" t="n"/>
    </row>
    <row r="191" ht="25.5" customFormat="1" customHeight="1" s="148">
      <c r="A191" s="171" t="n">
        <v>176</v>
      </c>
      <c r="B191" s="302" t="n"/>
      <c r="C191" s="235" t="inlineStr">
        <is>
          <t>14.5.01.10-0024</t>
        </is>
      </c>
      <c r="D191" s="238" t="inlineStr">
        <is>
          <t>Пена монтажная для герметизации стыков в баллончике емкостью 0,75 л</t>
        </is>
      </c>
      <c r="E191" s="333" t="inlineStr">
        <is>
          <t>шт</t>
        </is>
      </c>
      <c r="F191" s="235" t="n">
        <v>1</v>
      </c>
      <c r="G191" s="241" t="n">
        <v>59.19</v>
      </c>
      <c r="H191" s="229">
        <f>ROUND(F191*G191,2)</f>
        <v/>
      </c>
      <c r="I191" s="163" t="n"/>
    </row>
    <row r="192">
      <c r="A192" s="171" t="n">
        <v>177</v>
      </c>
      <c r="B192" s="302" t="n"/>
      <c r="C192" s="235" t="inlineStr">
        <is>
          <t>01.7.15.10-0031</t>
        </is>
      </c>
      <c r="D192" s="238" t="inlineStr">
        <is>
          <t>Скобы СК-7-1А</t>
        </is>
      </c>
      <c r="E192" s="333" t="inlineStr">
        <is>
          <t>шт</t>
        </is>
      </c>
      <c r="F192" s="235" t="n">
        <v>2</v>
      </c>
      <c r="G192" s="241" t="n">
        <v>28.07</v>
      </c>
      <c r="H192" s="229">
        <f>ROUND(F192*G192,2)</f>
        <v/>
      </c>
      <c r="I192" s="163" t="n"/>
    </row>
    <row r="193">
      <c r="A193" s="171" t="n">
        <v>178</v>
      </c>
      <c r="B193" s="302" t="n"/>
      <c r="C193" s="235" t="inlineStr">
        <is>
          <t>20.2.08.07-0033</t>
        </is>
      </c>
      <c r="D193" s="238" t="inlineStr">
        <is>
          <t>Скоба У1078</t>
        </is>
      </c>
      <c r="E193" s="333" t="inlineStr">
        <is>
          <t>100 шт</t>
        </is>
      </c>
      <c r="F193" s="235" t="n">
        <v>0.09</v>
      </c>
      <c r="G193" s="241" t="n">
        <v>617</v>
      </c>
      <c r="H193" s="229">
        <f>ROUND(F193*G193,2)</f>
        <v/>
      </c>
      <c r="I193" s="163" t="n"/>
      <c r="K193" s="152" t="n"/>
    </row>
    <row r="194" ht="25.5" customHeight="1" s="262">
      <c r="A194" s="171" t="n">
        <v>179</v>
      </c>
      <c r="B194" s="302" t="n"/>
      <c r="C194" s="235" t="inlineStr">
        <is>
          <t>11.1.03.06-0087</t>
        </is>
      </c>
      <c r="D194" s="238" t="inlineStr">
        <is>
          <t>Доска обрезная, хвойных пород, ширина 75-150 мм, толщина 25 мм, длина 4-6,5 м, сорт III</t>
        </is>
      </c>
      <c r="E194" s="333" t="inlineStr">
        <is>
          <t>м3</t>
        </is>
      </c>
      <c r="F194" s="235" t="n">
        <v>0.05</v>
      </c>
      <c r="G194" s="241" t="n">
        <v>1100</v>
      </c>
      <c r="H194" s="229">
        <f>ROUND(F194*G194,2)</f>
        <v/>
      </c>
      <c r="I194" s="163" t="n"/>
      <c r="K194" s="152" t="n"/>
    </row>
    <row r="195">
      <c r="A195" s="171" t="n">
        <v>180</v>
      </c>
      <c r="B195" s="302" t="n"/>
      <c r="C195" s="235" t="inlineStr">
        <is>
          <t>22.2.02.04-0005</t>
        </is>
      </c>
      <c r="D195" s="238" t="inlineStr">
        <is>
          <t>Звено промежуточное монтажное ПТМ-7-2</t>
        </is>
      </c>
      <c r="E195" s="333" t="inlineStr">
        <is>
          <t>шт</t>
        </is>
      </c>
      <c r="F195" s="235" t="n">
        <v>2</v>
      </c>
      <c r="G195" s="241" t="n">
        <v>25.36</v>
      </c>
      <c r="H195" s="229">
        <f>ROUND(F195*G195,2)</f>
        <v/>
      </c>
      <c r="I195" s="163" t="n"/>
      <c r="K195" s="152" t="n"/>
    </row>
    <row r="196">
      <c r="A196" s="171" t="n">
        <v>181</v>
      </c>
      <c r="B196" s="302" t="n"/>
      <c r="C196" s="235" t="inlineStr">
        <is>
          <t>05.1.02.03-0001</t>
        </is>
      </c>
      <c r="D196" s="238" t="inlineStr">
        <is>
          <t>Бруски железобетонные для прокладки лотков</t>
        </is>
      </c>
      <c r="E196" s="333" t="inlineStr">
        <is>
          <t>м3</t>
        </is>
      </c>
      <c r="F196" s="235" t="n">
        <v>0.03</v>
      </c>
      <c r="G196" s="241" t="n">
        <v>1684.93</v>
      </c>
      <c r="H196" s="229">
        <f>ROUND(F196*G196,2)</f>
        <v/>
      </c>
      <c r="I196" s="163" t="n"/>
      <c r="K196" s="152" t="n"/>
    </row>
    <row r="197">
      <c r="A197" s="171" t="n">
        <v>182</v>
      </c>
      <c r="B197" s="302" t="n"/>
      <c r="C197" s="235" t="inlineStr">
        <is>
          <t>01.7.15.11-0046</t>
        </is>
      </c>
      <c r="D197" s="238" t="inlineStr">
        <is>
          <t>Шайбы оцинкованные, диаметр 12 мм</t>
        </is>
      </c>
      <c r="E197" s="333" t="inlineStr">
        <is>
          <t>кг</t>
        </is>
      </c>
      <c r="F197" s="235" t="n">
        <v>1.43</v>
      </c>
      <c r="G197" s="241" t="n">
        <v>32.88</v>
      </c>
      <c r="H197" s="229">
        <f>ROUND(F197*G197,2)</f>
        <v/>
      </c>
    </row>
    <row r="198">
      <c r="A198" s="171" t="n">
        <v>183</v>
      </c>
      <c r="B198" s="302" t="n"/>
      <c r="C198" s="235" t="inlineStr">
        <is>
          <t>14.1.02.01-0002</t>
        </is>
      </c>
      <c r="D198" s="238" t="inlineStr">
        <is>
          <t>Клей БМК-5к</t>
        </is>
      </c>
      <c r="E198" s="333" t="inlineStr">
        <is>
          <t>кг</t>
        </is>
      </c>
      <c r="F198" s="235" t="n">
        <v>1.81</v>
      </c>
      <c r="G198" s="241" t="n">
        <v>25.8</v>
      </c>
      <c r="H198" s="229">
        <f>ROUND(F198*G198,2)</f>
        <v/>
      </c>
    </row>
    <row r="199">
      <c r="A199" s="171" t="n">
        <v>184</v>
      </c>
      <c r="B199" s="302" t="n"/>
      <c r="C199" s="235" t="inlineStr">
        <is>
          <t>04.3.01.09-0023</t>
        </is>
      </c>
      <c r="D199" s="238" t="inlineStr">
        <is>
          <t>Раствор отделочный тяжелый цементный, состав 1:3</t>
        </is>
      </c>
      <c r="E199" s="333" t="inlineStr">
        <is>
          <t>м3</t>
        </is>
      </c>
      <c r="F199" s="235" t="n">
        <v>0.09</v>
      </c>
      <c r="G199" s="241" t="n">
        <v>497</v>
      </c>
      <c r="H199" s="229">
        <f>ROUND(F199*G199,2)</f>
        <v/>
      </c>
      <c r="I199" s="163" t="n"/>
    </row>
    <row r="200">
      <c r="A200" s="171" t="n">
        <v>185</v>
      </c>
      <c r="B200" s="302" t="n"/>
      <c r="C200" s="235" t="inlineStr">
        <is>
          <t>01.7.15.07-0014</t>
        </is>
      </c>
      <c r="D200" s="238" t="inlineStr">
        <is>
          <t>Дюбели распорные полипропиленовые</t>
        </is>
      </c>
      <c r="E200" s="333" t="inlineStr">
        <is>
          <t>100 шт</t>
        </is>
      </c>
      <c r="F200" s="235" t="n">
        <v>0.49</v>
      </c>
      <c r="G200" s="241" t="n">
        <v>86</v>
      </c>
      <c r="H200" s="229">
        <f>ROUND(F200*G200,2)</f>
        <v/>
      </c>
      <c r="I200" s="163" t="n"/>
    </row>
    <row r="201" ht="38.25" customHeight="1" s="262">
      <c r="A201" s="171" t="n">
        <v>186</v>
      </c>
      <c r="B201" s="302" t="n"/>
      <c r="C201" s="235" t="inlineStr">
        <is>
          <t>14.4.01.20-0012</t>
        </is>
      </c>
      <c r="D201" s="238" t="inlineStr">
        <is>
          <t>Грунтовка антикоррозионная цинкнаполненная быстросохнущая, преобразователь ржавчины и окалины</t>
        </is>
      </c>
      <c r="E201" s="333" t="inlineStr">
        <is>
          <t>т</t>
        </is>
      </c>
      <c r="F201" s="235" t="n">
        <v>0.000443</v>
      </c>
      <c r="G201" s="241" t="n">
        <v>86794.72</v>
      </c>
      <c r="H201" s="229">
        <f>ROUND(F201*G201,2)</f>
        <v/>
      </c>
      <c r="I201" s="163" t="n"/>
    </row>
    <row r="202" ht="25.5" customHeight="1" s="262">
      <c r="A202" s="171" t="n">
        <v>187</v>
      </c>
      <c r="B202" s="302" t="n"/>
      <c r="C202" s="235" t="inlineStr">
        <is>
          <t>11.1.03.06-0078</t>
        </is>
      </c>
      <c r="D202" s="238" t="inlineStr">
        <is>
          <t>Доска обрезная, хвойных пород, ширина 75-150 мм, толщина 44 мм и более, длина 2-3,75 м, сорт II</t>
        </is>
      </c>
      <c r="E202" s="333" t="inlineStr">
        <is>
          <t>м3</t>
        </is>
      </c>
      <c r="F202" s="235" t="n">
        <v>0.03</v>
      </c>
      <c r="G202" s="241" t="n">
        <v>1247</v>
      </c>
      <c r="H202" s="229">
        <f>ROUND(F202*G202,2)</f>
        <v/>
      </c>
      <c r="I202" s="163" t="n"/>
    </row>
    <row r="203" ht="25.5" customHeight="1" s="262">
      <c r="A203" s="171" t="n">
        <v>188</v>
      </c>
      <c r="B203" s="302" t="n"/>
      <c r="C203" s="235" t="inlineStr">
        <is>
          <t>20.2.03.01-1064</t>
        </is>
      </c>
      <c r="D203" s="238" t="inlineStr">
        <is>
          <t>Заглушка торцевая сейсмостойкая из оцинкованной стали ЗТ-0,05/0,1</t>
        </is>
      </c>
      <c r="E203" s="333" t="inlineStr">
        <is>
          <t>шт</t>
        </is>
      </c>
      <c r="F203" s="235" t="n">
        <v>3</v>
      </c>
      <c r="G203" s="241" t="n">
        <v>11.59</v>
      </c>
      <c r="H203" s="229">
        <f>ROUND(F203*G203,2)</f>
        <v/>
      </c>
      <c r="I203" s="163" t="n"/>
      <c r="K203" s="152" t="n"/>
    </row>
    <row r="204" ht="25.5" customHeight="1" s="262">
      <c r="A204" s="171" t="n">
        <v>189</v>
      </c>
      <c r="B204" s="302" t="n"/>
      <c r="C204" s="235" t="inlineStr">
        <is>
          <t>01.7.15.06-0121</t>
        </is>
      </c>
      <c r="D204" s="238" t="inlineStr">
        <is>
          <t>Гвозди строительные с плоской головкой, размер 1,6х50 мм</t>
        </is>
      </c>
      <c r="E204" s="333" t="inlineStr">
        <is>
          <t>т</t>
        </is>
      </c>
      <c r="F204" s="235" t="n">
        <v>0.0036</v>
      </c>
      <c r="G204" s="241" t="n">
        <v>8475</v>
      </c>
      <c r="H204" s="229">
        <f>ROUND(F204*G204,2)</f>
        <v/>
      </c>
      <c r="I204" s="163" t="n"/>
    </row>
    <row r="205">
      <c r="A205" s="171" t="n">
        <v>190</v>
      </c>
      <c r="B205" s="302" t="n"/>
      <c r="C205" s="235" t="inlineStr">
        <is>
          <t>01.7.02.07-0011</t>
        </is>
      </c>
      <c r="D205" s="238" t="inlineStr">
        <is>
          <t>Прессшпан листовой, марка А</t>
        </is>
      </c>
      <c r="E205" s="333" t="inlineStr">
        <is>
          <t>кг</t>
        </is>
      </c>
      <c r="F205" s="235" t="n">
        <v>0.63</v>
      </c>
      <c r="G205" s="241" t="n">
        <v>47.57</v>
      </c>
      <c r="H205" s="229">
        <f>ROUND(F205*G205,2)</f>
        <v/>
      </c>
      <c r="I205" s="163" t="n"/>
    </row>
    <row r="206">
      <c r="A206" s="171" t="n">
        <v>191</v>
      </c>
      <c r="B206" s="302" t="n"/>
      <c r="C206" s="235" t="inlineStr">
        <is>
          <t>03.1.02.03-0011</t>
        </is>
      </c>
      <c r="D206" s="238" t="inlineStr">
        <is>
          <t>Известь строительная негашеная комовая, сорт I</t>
        </is>
      </c>
      <c r="E206" s="333" t="inlineStr">
        <is>
          <t>т</t>
        </is>
      </c>
      <c r="F206" s="235" t="n">
        <v>0.04</v>
      </c>
      <c r="G206" s="241" t="n">
        <v>734.5</v>
      </c>
      <c r="H206" s="229">
        <f>ROUND(F206*G206,2)</f>
        <v/>
      </c>
      <c r="I206" s="163" t="n"/>
    </row>
    <row r="207">
      <c r="A207" s="171" t="n">
        <v>192</v>
      </c>
      <c r="B207" s="302" t="n"/>
      <c r="C207" s="235" t="inlineStr">
        <is>
          <t>20.1.02.14-1006</t>
        </is>
      </c>
      <c r="D207" s="238" t="inlineStr">
        <is>
          <t>Серьга СР-12-16</t>
        </is>
      </c>
      <c r="E207" s="333" t="inlineStr">
        <is>
          <t>шт</t>
        </is>
      </c>
      <c r="F207" s="235" t="n">
        <v>2</v>
      </c>
      <c r="G207" s="241" t="n">
        <v>13.29</v>
      </c>
      <c r="H207" s="229">
        <f>ROUND(F207*G207,2)</f>
        <v/>
      </c>
      <c r="I207" s="163" t="n"/>
    </row>
    <row r="208">
      <c r="A208" s="171" t="n">
        <v>193</v>
      </c>
      <c r="B208" s="302" t="n"/>
      <c r="C208" s="235" t="inlineStr">
        <is>
          <t>01.7.06.12-0004</t>
        </is>
      </c>
      <c r="D208" s="238" t="inlineStr">
        <is>
          <t>Лента киперная, ширина 40 мм</t>
        </is>
      </c>
      <c r="E208" s="333" t="inlineStr">
        <is>
          <t>100 м</t>
        </is>
      </c>
      <c r="F208" s="235" t="n">
        <v>0.21</v>
      </c>
      <c r="G208" s="241" t="n">
        <v>94</v>
      </c>
      <c r="H208" s="229">
        <f>ROUND(F208*G208,2)</f>
        <v/>
      </c>
      <c r="I208" s="163" t="n"/>
    </row>
    <row r="209">
      <c r="A209" s="171" t="n">
        <v>194</v>
      </c>
      <c r="B209" s="302" t="n"/>
      <c r="C209" s="235" t="inlineStr">
        <is>
          <t>20.1.02.14-1014</t>
        </is>
      </c>
      <c r="D209" s="238" t="inlineStr">
        <is>
          <t>Серьга СР-7-16</t>
        </is>
      </c>
      <c r="E209" s="333" t="inlineStr">
        <is>
          <t>шт</t>
        </is>
      </c>
      <c r="F209" s="235" t="n">
        <v>2</v>
      </c>
      <c r="G209" s="241" t="n">
        <v>9.359999999999999</v>
      </c>
      <c r="H209" s="229">
        <f>ROUND(F209*G209,2)</f>
        <v/>
      </c>
      <c r="I209" s="163" t="n"/>
    </row>
    <row r="210">
      <c r="A210" s="171" t="n">
        <v>195</v>
      </c>
      <c r="B210" s="302" t="n"/>
      <c r="C210" s="235" t="inlineStr">
        <is>
          <t>01.7.07.20-0002</t>
        </is>
      </c>
      <c r="D210" s="238" t="inlineStr">
        <is>
          <t>Тальк молотый, сорт I</t>
        </is>
      </c>
      <c r="E210" s="333" t="inlineStr">
        <is>
          <t>т</t>
        </is>
      </c>
      <c r="F210" s="235" t="n">
        <v>0.01</v>
      </c>
      <c r="G210" s="241" t="n">
        <v>1820</v>
      </c>
      <c r="H210" s="229">
        <f>ROUND(F210*G210,2)</f>
        <v/>
      </c>
      <c r="I210" s="163" t="n"/>
    </row>
    <row r="211" ht="25.5" customHeight="1" s="262">
      <c r="A211" s="171" t="n">
        <v>196</v>
      </c>
      <c r="B211" s="302" t="n"/>
      <c r="C211" s="235" t="inlineStr">
        <is>
          <t>08.3.08.02-0052</t>
        </is>
      </c>
      <c r="D211" s="238" t="inlineStr">
        <is>
          <t>Уголок горячекатаный, марка стали ВСт3кп2, размер 50х50х5 мм</t>
        </is>
      </c>
      <c r="E211" s="333" t="inlineStr">
        <is>
          <t>т</t>
        </is>
      </c>
      <c r="F211" s="235" t="n">
        <v>0.003</v>
      </c>
      <c r="G211" s="241" t="n">
        <v>5763</v>
      </c>
      <c r="H211" s="229">
        <f>ROUND(F211*G211,2)</f>
        <v/>
      </c>
      <c r="I211" s="163" t="n"/>
    </row>
    <row r="212">
      <c r="A212" s="171" t="n">
        <v>197</v>
      </c>
      <c r="B212" s="302" t="n"/>
      <c r="C212" s="235" t="inlineStr">
        <is>
          <t>14.4.03.03-0002</t>
        </is>
      </c>
      <c r="D212" s="238" t="inlineStr">
        <is>
          <t>Лак битумный БТ-123</t>
        </is>
      </c>
      <c r="E212" s="333" t="inlineStr">
        <is>
          <t>т</t>
        </is>
      </c>
      <c r="F212" s="235" t="n">
        <v>0.001503</v>
      </c>
      <c r="G212" s="241" t="n">
        <v>7826.9</v>
      </c>
      <c r="H212" s="229">
        <f>ROUND(F212*G212,2)</f>
        <v/>
      </c>
      <c r="I212" s="163" t="n"/>
    </row>
    <row r="213">
      <c r="A213" s="171" t="n">
        <v>198</v>
      </c>
      <c r="B213" s="302" t="n"/>
      <c r="C213" s="235" t="inlineStr">
        <is>
          <t>20.2.12.03-0013</t>
        </is>
      </c>
      <c r="D213" s="238" t="inlineStr">
        <is>
          <t>Трубы гибкие гофрированные из ПВХ, диаметр 32 мм</t>
        </is>
      </c>
      <c r="E213" s="333" t="inlineStr">
        <is>
          <t>м</t>
        </is>
      </c>
      <c r="F213" s="235" t="n">
        <v>3</v>
      </c>
      <c r="G213" s="241" t="n">
        <v>3.1</v>
      </c>
      <c r="H213" s="229">
        <f>ROUND(F213*G213,2)</f>
        <v/>
      </c>
      <c r="I213" s="163" t="n"/>
    </row>
    <row r="214" customFormat="1" s="148">
      <c r="A214" s="171" t="n">
        <v>199</v>
      </c>
      <c r="B214" s="302" t="n"/>
      <c r="C214" s="235" t="inlineStr">
        <is>
          <t>01.7.15.04-0011</t>
        </is>
      </c>
      <c r="D214" s="238" t="inlineStr">
        <is>
          <t>Винты с полукруглой головкой, длина 50 мм</t>
        </is>
      </c>
      <c r="E214" s="333" t="inlineStr">
        <is>
          <t>т</t>
        </is>
      </c>
      <c r="F214" s="235" t="n">
        <v>0.000654</v>
      </c>
      <c r="G214" s="241" t="n">
        <v>12430</v>
      </c>
      <c r="H214" s="229">
        <f>ROUND(F214*G214,2)</f>
        <v/>
      </c>
      <c r="I214" s="163" t="n"/>
    </row>
    <row r="215" ht="38.25" customHeight="1" s="262">
      <c r="A215" s="171" t="n">
        <v>200</v>
      </c>
      <c r="B215" s="302" t="n"/>
      <c r="C215" s="235" t="inlineStr">
        <is>
          <t>23.3.06.04-0011</t>
        </is>
      </c>
      <c r="D215" s="238" t="inlineStr">
        <is>
          <t>Трубы стальные сварные неоцинкованные водогазопроводные с резьбой, легкие, номинальный диаметр 50 мм, толщина стенки 3 мм</t>
        </is>
      </c>
      <c r="E215" s="333" t="inlineStr">
        <is>
          <t>м</t>
        </is>
      </c>
      <c r="F215" s="235" t="n">
        <v>0.23</v>
      </c>
      <c r="G215" s="241" t="n">
        <v>28.05</v>
      </c>
      <c r="H215" s="229">
        <f>ROUND(F215*G215,2)</f>
        <v/>
      </c>
      <c r="I215" s="163" t="n"/>
    </row>
    <row r="216">
      <c r="A216" s="171" t="n">
        <v>201</v>
      </c>
      <c r="B216" s="302" t="n"/>
      <c r="C216" s="235" t="inlineStr">
        <is>
          <t>20.1.02.23-0082</t>
        </is>
      </c>
      <c r="D216" s="238" t="inlineStr">
        <is>
          <t>Перемычки гибкие, тип ПГС-50</t>
        </is>
      </c>
      <c r="E216" s="333" t="inlineStr">
        <is>
          <t>10 шт</t>
        </is>
      </c>
      <c r="F216" s="235" t="n">
        <v>0.15</v>
      </c>
      <c r="G216" s="241" t="n">
        <v>39</v>
      </c>
      <c r="H216" s="229">
        <f>ROUND(F216*G216,2)</f>
        <v/>
      </c>
      <c r="I216" s="163" t="n"/>
      <c r="K216" s="152" t="n"/>
    </row>
    <row r="217">
      <c r="A217" s="171" t="n">
        <v>202</v>
      </c>
      <c r="B217" s="302" t="n"/>
      <c r="C217" s="235" t="inlineStr">
        <is>
          <t>01.7.20.08-0051</t>
        </is>
      </c>
      <c r="D217" s="238" t="inlineStr">
        <is>
          <t>Ветошь</t>
        </is>
      </c>
      <c r="E217" s="333" t="inlineStr">
        <is>
          <t>кг</t>
        </is>
      </c>
      <c r="F217" s="235" t="n">
        <v>0.8100000000000001</v>
      </c>
      <c r="G217" s="241" t="n">
        <v>1.82</v>
      </c>
      <c r="H217" s="229">
        <f>ROUND(F217*G217,2)</f>
        <v/>
      </c>
      <c r="I217" s="163" t="n"/>
      <c r="K217" s="152" t="n"/>
    </row>
    <row r="218">
      <c r="A218" s="171" t="n">
        <v>203</v>
      </c>
      <c r="B218" s="302" t="n"/>
      <c r="C218" s="235" t="inlineStr">
        <is>
          <t>20.2.02.01-0019</t>
        </is>
      </c>
      <c r="D218" s="238" t="inlineStr">
        <is>
          <t>Втулки изолирующие</t>
        </is>
      </c>
      <c r="E218" s="333" t="inlineStr">
        <is>
          <t>1000 шт</t>
        </is>
      </c>
      <c r="F218" s="235" t="n">
        <v>0.003</v>
      </c>
      <c r="G218" s="241" t="n">
        <v>270</v>
      </c>
      <c r="H218" s="229">
        <f>ROUND(F218*G218,2)</f>
        <v/>
      </c>
      <c r="I218" s="163" t="n"/>
      <c r="K218" s="152" t="n"/>
    </row>
    <row r="219">
      <c r="A219" s="171" t="n">
        <v>204</v>
      </c>
      <c r="B219" s="302" t="n"/>
      <c r="C219" s="235" t="inlineStr">
        <is>
          <t>14.5.09.07-0029</t>
        </is>
      </c>
      <c r="D219" s="238" t="inlineStr">
        <is>
          <t>Растворитель марки: Р-4</t>
        </is>
      </c>
      <c r="E219" s="333" t="inlineStr">
        <is>
          <t>т</t>
        </is>
      </c>
      <c r="F219" s="235" t="n">
        <v>5.2e-05</v>
      </c>
      <c r="G219" s="241" t="n">
        <v>9420</v>
      </c>
      <c r="H219" s="229">
        <f>ROUND(F219*G219,2)</f>
        <v/>
      </c>
      <c r="I219" s="163" t="n"/>
      <c r="K219" s="152" t="n"/>
    </row>
    <row r="220" ht="38.25" customHeight="1" s="262">
      <c r="A220" s="171" t="n">
        <v>205</v>
      </c>
      <c r="B220" s="302" t="n"/>
      <c r="C220" s="235" t="inlineStr">
        <is>
          <t>01.7.15.14-0043</t>
        </is>
      </c>
      <c r="D220" s="238" t="inlineStr">
        <is>
          <t>Шурупы самонарезающий прокалывающий, для крепления металлических профилей или листовых деталей 3,5/11 мм</t>
        </is>
      </c>
      <c r="E220" s="333" t="inlineStr">
        <is>
          <t>100 шт</t>
        </is>
      </c>
      <c r="F220" s="235" t="n">
        <v>0.18</v>
      </c>
      <c r="G220" s="241" t="n">
        <v>2</v>
      </c>
      <c r="H220" s="229">
        <f>ROUND(F220*G220,2)</f>
        <v/>
      </c>
    </row>
    <row r="221" ht="25.5" customHeight="1" s="262">
      <c r="A221" s="171" t="n">
        <v>206</v>
      </c>
      <c r="B221" s="302" t="n"/>
      <c r="C221" s="235" t="inlineStr">
        <is>
          <t>02.4.03.02-0001</t>
        </is>
      </c>
      <c r="D221" s="238" t="inlineStr">
        <is>
          <t>Пемза шлаковая (Щебень пористый из металлургического шлака М 600, фракция 5-10 мм)</t>
        </is>
      </c>
      <c r="E221" s="333" t="inlineStr">
        <is>
          <t>м3</t>
        </is>
      </c>
      <c r="F221" s="235" t="n">
        <v>0.00212</v>
      </c>
      <c r="G221" s="241" t="n">
        <v>74.58</v>
      </c>
      <c r="H221" s="229">
        <f>ROUND(F221*G221,2)</f>
        <v/>
      </c>
      <c r="I221" s="163" t="n"/>
    </row>
    <row r="224">
      <c r="B224" s="264" t="inlineStr">
        <is>
          <t>Составил ______________________    Е. М. Добровольская</t>
        </is>
      </c>
    </row>
    <row r="225">
      <c r="B225" s="138" t="inlineStr">
        <is>
          <t xml:space="preserve">                         (подпись, инициалы, фамилия)</t>
        </is>
      </c>
    </row>
    <row r="227">
      <c r="B227" s="264" t="inlineStr">
        <is>
          <t>Проверил ______________________        А.В. Костянецкая</t>
        </is>
      </c>
    </row>
    <row r="228">
      <c r="B228" s="138" t="inlineStr">
        <is>
          <t xml:space="preserve">                        (подпись, инициалы, фамилия)</t>
        </is>
      </c>
    </row>
  </sheetData>
  <mergeCells count="16">
    <mergeCell ref="A4:H4"/>
    <mergeCell ref="A3:H3"/>
    <mergeCell ref="A35:E35"/>
    <mergeCell ref="A8:A9"/>
    <mergeCell ref="E8:E9"/>
    <mergeCell ref="C8:C9"/>
    <mergeCell ref="F8:F9"/>
    <mergeCell ref="A82:E82"/>
    <mergeCell ref="A2:H2"/>
    <mergeCell ref="A33:E33"/>
    <mergeCell ref="A11:E11"/>
    <mergeCell ref="D8:D9"/>
    <mergeCell ref="B8:B9"/>
    <mergeCell ref="A84:E84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3" sqref="D43"/>
    </sheetView>
  </sheetViews>
  <sheetFormatPr baseColWidth="8" defaultColWidth="9.140625" defaultRowHeight="15"/>
  <cols>
    <col width="4.140625" customWidth="1" style="262" min="1" max="1"/>
    <col width="36.28515625" customWidth="1" style="262" min="2" max="2"/>
    <col width="18.85546875" customWidth="1" style="262" min="3" max="3"/>
    <col width="18.28515625" customWidth="1" style="262" min="4" max="4"/>
    <col width="18.85546875" customWidth="1" style="262" min="5" max="5"/>
    <col width="13.42578125" customWidth="1" style="262" min="7" max="7"/>
    <col width="13.5703125" customWidth="1" style="262" min="12" max="12"/>
  </cols>
  <sheetData>
    <row r="1">
      <c r="B1" s="261" t="n"/>
      <c r="C1" s="261" t="n"/>
      <c r="D1" s="261" t="n"/>
      <c r="E1" s="261" t="n"/>
    </row>
    <row r="2">
      <c r="B2" s="261" t="n"/>
      <c r="C2" s="261" t="n"/>
      <c r="D2" s="261" t="n"/>
      <c r="E2" s="328" t="inlineStr">
        <is>
          <t>Приложение № 4</t>
        </is>
      </c>
    </row>
    <row r="3">
      <c r="B3" s="261" t="n"/>
      <c r="C3" s="261" t="n"/>
      <c r="D3" s="261" t="n"/>
      <c r="E3" s="261" t="n"/>
    </row>
    <row r="4">
      <c r="B4" s="261" t="n"/>
      <c r="C4" s="261" t="n"/>
      <c r="D4" s="261" t="n"/>
      <c r="E4" s="261" t="n"/>
    </row>
    <row r="5">
      <c r="B5" s="280" t="inlineStr">
        <is>
          <t>Ресурсная модель</t>
        </is>
      </c>
    </row>
    <row r="6">
      <c r="B6" s="157" t="n"/>
      <c r="C6" s="261" t="n"/>
      <c r="D6" s="261" t="n"/>
      <c r="E6" s="261" t="n"/>
    </row>
    <row r="7" ht="25.5" customHeight="1" s="262">
      <c r="B7" s="310" t="inlineStr">
        <is>
          <t>Наименование разрабатываемого показателя УНЦ — Демонтаж  ШР 110-750кВ</t>
        </is>
      </c>
    </row>
    <row r="8">
      <c r="B8" s="311" t="inlineStr">
        <is>
          <t>Единица измерения  — 1 ячейка</t>
        </is>
      </c>
    </row>
    <row r="9">
      <c r="B9" s="157" t="n"/>
      <c r="C9" s="261" t="n"/>
      <c r="D9" s="261" t="n"/>
      <c r="E9" s="261" t="n"/>
    </row>
    <row r="10" ht="51" customHeight="1" s="262">
      <c r="B10" s="315" t="inlineStr">
        <is>
          <t>Наименование</t>
        </is>
      </c>
      <c r="C10" s="315" t="inlineStr">
        <is>
          <t>Сметная стоимость в ценах на 01.01.2023
 (руб.)</t>
        </is>
      </c>
      <c r="D10" s="315" t="inlineStr">
        <is>
          <t>Удельный вес, 
(в СМР)</t>
        </is>
      </c>
      <c r="E10" s="31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52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52">
        <f>'Прил.5 Расчет СМР и ОБ'!J29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52">
        <f>'Прил.5 Расчет СМР и ОБ'!J70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52">
        <f>'Прил.5 Расчет СМР и ОБ'!J72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52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5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52">
        <f>'Прил.5 Расчет СМР и ОБ'!J82</f>
        <v/>
      </c>
      <c r="D17" s="26">
        <f>C17/$C$24</f>
        <v/>
      </c>
      <c r="E17" s="26">
        <f>C17/$C$40</f>
        <v/>
      </c>
      <c r="G17" s="398" t="n"/>
    </row>
    <row r="18">
      <c r="B18" s="24" t="inlineStr">
        <is>
          <t>МАТЕРИАЛЫ, ВСЕГО:</t>
        </is>
      </c>
      <c r="C18" s="25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5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5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3">
        <f>'Прил.5 Расчет СМР и ОБ'!D88</f>
        <v/>
      </c>
      <c r="D21" s="26" t="n"/>
      <c r="E21" s="24" t="n"/>
    </row>
    <row r="22">
      <c r="B22" s="24" t="inlineStr">
        <is>
          <t>Накладные расходы, руб.</t>
        </is>
      </c>
      <c r="C22" s="25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3">
        <f>'Прил.5 Расчет СМР и ОБ'!D86</f>
        <v/>
      </c>
      <c r="D23" s="26" t="n"/>
      <c r="E23" s="24" t="n"/>
    </row>
    <row r="24">
      <c r="B24" s="24" t="inlineStr">
        <is>
          <t>ВСЕГО СМР с НР и СП</t>
        </is>
      </c>
      <c r="C24" s="252">
        <f>C19+C20+C22</f>
        <v/>
      </c>
      <c r="D24" s="26">
        <f>C24/$C$24</f>
        <v/>
      </c>
      <c r="E24" s="26">
        <f>C24/$C$40</f>
        <v/>
      </c>
    </row>
    <row r="25" ht="25.5" customHeight="1" s="262">
      <c r="B25" s="24" t="inlineStr">
        <is>
          <t>ВСЕГО стоимость оборудования, в том числе</t>
        </is>
      </c>
      <c r="C25" s="252">
        <f>'Прил.5 Расчет СМР и ОБ'!J77</f>
        <v/>
      </c>
      <c r="D25" s="26" t="n"/>
      <c r="E25" s="26">
        <f>C25/$C$40</f>
        <v/>
      </c>
    </row>
    <row r="26" ht="25.5" customHeight="1" s="262">
      <c r="B26" s="24" t="inlineStr">
        <is>
          <t>стоимость оборудования технологического</t>
        </is>
      </c>
      <c r="C26" s="252">
        <f>'Прил.5 Расчет СМР и ОБ'!J78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7">
        <f>'Прил.5 Расчет СМР и ОБ'!J91</f>
        <v/>
      </c>
      <c r="D27" s="26" t="n"/>
      <c r="E27" s="26">
        <f>C27/$C$40</f>
        <v/>
      </c>
      <c r="G27" s="155" t="n"/>
    </row>
    <row r="28" ht="33" customHeight="1" s="26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62">
      <c r="B29" s="24" t="inlineStr">
        <is>
          <t>Временные здания и сооружения - 3,9%</t>
        </is>
      </c>
      <c r="C29" s="187">
        <f>ROUND(C24*3.9%,2)</f>
        <v/>
      </c>
      <c r="D29" s="24" t="n"/>
      <c r="E29" s="26" t="n">
        <v>0.039</v>
      </c>
    </row>
    <row r="30" ht="38.25" customHeight="1" s="262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7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168" t="n">
        <v>0</v>
      </c>
      <c r="D31" s="24" t="n"/>
      <c r="E31" s="26">
        <f>C31/$C$40</f>
        <v/>
      </c>
    </row>
    <row r="32" ht="25.5" customHeight="1" s="262">
      <c r="B32" s="24" t="inlineStr">
        <is>
          <t>Затраты по перевозке работников к месту работы и обратно</t>
        </is>
      </c>
      <c r="C32" s="187" t="n">
        <v>0</v>
      </c>
      <c r="D32" s="24" t="n"/>
      <c r="E32" s="26">
        <f>C32/$C$40</f>
        <v/>
      </c>
    </row>
    <row r="33" ht="25.5" customHeight="1" s="262">
      <c r="B33" s="24" t="inlineStr">
        <is>
          <t>Затраты, связанные с осуществлением работ вахтовым методом</t>
        </is>
      </c>
      <c r="C33" s="187">
        <f>ROUND(C27*0%,2)</f>
        <v/>
      </c>
      <c r="D33" s="24" t="n"/>
      <c r="E33" s="26">
        <f>C33/$C$40</f>
        <v/>
      </c>
    </row>
    <row r="34" ht="51" customHeight="1" s="26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7" t="n">
        <v>0</v>
      </c>
      <c r="D34" s="24" t="n"/>
      <c r="E34" s="26">
        <f>C34/$C$40</f>
        <v/>
      </c>
    </row>
    <row r="35" ht="76.5" customHeight="1" s="26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7">
        <f>ROUND(C27*0%,2)</f>
        <v/>
      </c>
      <c r="D35" s="24" t="n"/>
      <c r="E35" s="26">
        <f>C35/$C$40</f>
        <v/>
      </c>
    </row>
    <row r="36" ht="25.5" customHeight="1" s="262">
      <c r="B36" s="24" t="inlineStr">
        <is>
          <t>Строительный контроль и содержание службы заказчика - 2,14%</t>
        </is>
      </c>
      <c r="C36" s="187">
        <f>ROUND((C27+C32+C33+C34+C35+C29+C31+C30)*2.14%,2)</f>
        <v/>
      </c>
      <c r="D36" s="24" t="n"/>
      <c r="E36" s="26">
        <f>C36/$C$40</f>
        <v/>
      </c>
      <c r="G36" s="208" t="n"/>
      <c r="L36" s="155" t="n"/>
    </row>
    <row r="37">
      <c r="B37" s="24" t="inlineStr">
        <is>
          <t>Авторский надзор - 0,2%</t>
        </is>
      </c>
      <c r="C37" s="187">
        <f>ROUND((C27+C32+C33+C34+C35+C29+C31+C30)*0.2%,2)</f>
        <v/>
      </c>
      <c r="D37" s="24" t="n"/>
      <c r="E37" s="26">
        <f>C37/$C$40</f>
        <v/>
      </c>
      <c r="G37" s="209" t="n"/>
      <c r="L37" s="155" t="n"/>
    </row>
    <row r="38" ht="38.25" customHeight="1" s="262">
      <c r="B38" s="24" t="inlineStr">
        <is>
          <t>ИТОГО (СМР+ОБОРУДОВАНИЕ+ПРОЧ. ЗАТР., УЧТЕННЫЕ ПОКАЗАТЕЛЕМ)</t>
        </is>
      </c>
      <c r="C38" s="252">
        <f>C27+C32+C33+C34+C35+C29+C31+C30+C36+C37</f>
        <v/>
      </c>
      <c r="D38" s="24" t="n"/>
      <c r="E38" s="26">
        <f>C38/$C$40</f>
        <v/>
      </c>
    </row>
    <row r="39" ht="13.5" customHeight="1" s="262">
      <c r="B39" s="24" t="inlineStr">
        <is>
          <t>Непредвиденные расходы</t>
        </is>
      </c>
      <c r="C39" s="25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5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52">
        <f>C40/'Прил.5 Расчет СМР и ОБ'!E92</f>
        <v/>
      </c>
      <c r="D41" s="24" t="n"/>
      <c r="E41" s="24" t="n"/>
    </row>
    <row r="42">
      <c r="B42" s="254" t="n"/>
      <c r="C42" s="261" t="n"/>
      <c r="D42" s="261" t="n"/>
      <c r="E42" s="261" t="n"/>
    </row>
    <row r="43">
      <c r="B43" s="254" t="inlineStr">
        <is>
          <t>Составил ____________________________  Е. М. Добровольская</t>
        </is>
      </c>
      <c r="C43" s="261" t="n"/>
      <c r="D43" s="261" t="n"/>
      <c r="E43" s="261" t="n"/>
    </row>
    <row r="44">
      <c r="B44" s="254" t="inlineStr">
        <is>
          <t xml:space="preserve">(должность, подпись, инициалы, фамилия) </t>
        </is>
      </c>
      <c r="C44" s="261" t="n"/>
      <c r="D44" s="261" t="n"/>
      <c r="E44" s="261" t="n"/>
    </row>
    <row r="45">
      <c r="B45" s="254" t="n"/>
      <c r="C45" s="261" t="n"/>
      <c r="D45" s="261" t="n"/>
      <c r="E45" s="261" t="n"/>
    </row>
    <row r="46">
      <c r="B46" s="254" t="inlineStr">
        <is>
          <t>Проверил ____________________________ А.В. Костянецкая</t>
        </is>
      </c>
      <c r="C46" s="261" t="n"/>
      <c r="D46" s="261" t="n"/>
      <c r="E46" s="261" t="n"/>
    </row>
    <row r="47">
      <c r="B47" s="311" t="inlineStr">
        <is>
          <t>(должность, подпись, инициалы, фамилия)</t>
        </is>
      </c>
      <c r="D47" s="261" t="n"/>
      <c r="E47" s="261" t="n"/>
    </row>
    <row r="49">
      <c r="B49" s="261" t="n"/>
      <c r="C49" s="261" t="n"/>
      <c r="D49" s="261" t="n"/>
      <c r="E49" s="261" t="n"/>
    </row>
    <row r="50">
      <c r="B50" s="261" t="n"/>
      <c r="C50" s="261" t="n"/>
      <c r="D50" s="261" t="n"/>
      <c r="E50" s="26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8"/>
  <sheetViews>
    <sheetView view="pageBreakPreview" workbookViewId="0">
      <selection activeCell="D97" sqref="D97"/>
    </sheetView>
  </sheetViews>
  <sheetFormatPr baseColWidth="8" defaultColWidth="9.140625" defaultRowHeight="15" outlineLevelRow="1"/>
  <cols>
    <col width="5.7109375" customWidth="1" style="259" min="1" max="1"/>
    <col width="22.5703125" customWidth="1" style="259" min="2" max="2"/>
    <col width="39.140625" customWidth="1" style="259" min="3" max="3"/>
    <col width="13.5703125" customWidth="1" style="259" min="4" max="4"/>
    <col width="12.7109375" customWidth="1" style="259" min="5" max="5"/>
    <col width="14.5703125" customWidth="1" style="259" min="6" max="6"/>
    <col width="15.85546875" customWidth="1" style="259" min="7" max="7"/>
    <col width="12.7109375" customWidth="1" style="259" min="8" max="8"/>
    <col width="15.85546875" customWidth="1" style="259" min="9" max="9"/>
    <col width="17.5703125" customWidth="1" style="259" min="10" max="10"/>
    <col width="10.85546875" customWidth="1" style="259" min="11" max="11"/>
    <col width="13.85546875" customWidth="1" style="259" min="12" max="12"/>
  </cols>
  <sheetData>
    <row r="1">
      <c r="M1" s="259" t="n"/>
      <c r="N1" s="259" t="n"/>
    </row>
    <row r="2" ht="15.75" customHeight="1" s="262">
      <c r="H2" s="312" t="inlineStr">
        <is>
          <t>Приложение №5</t>
        </is>
      </c>
      <c r="M2" s="259" t="n"/>
      <c r="N2" s="259" t="n"/>
    </row>
    <row r="3">
      <c r="M3" s="259" t="n"/>
      <c r="N3" s="259" t="n"/>
    </row>
    <row r="4" ht="12.75" customFormat="1" customHeight="1" s="261">
      <c r="A4" s="280" t="inlineStr">
        <is>
          <t>Расчет стоимости СМР и оборудования</t>
        </is>
      </c>
    </row>
    <row r="5" ht="12.75" customFormat="1" customHeight="1" s="261">
      <c r="A5" s="280" t="n"/>
      <c r="B5" s="280" t="n"/>
      <c r="C5" s="335" t="n"/>
      <c r="D5" s="280" t="n"/>
      <c r="E5" s="280" t="n"/>
      <c r="F5" s="280" t="n"/>
      <c r="G5" s="280" t="n"/>
      <c r="H5" s="280" t="n"/>
      <c r="I5" s="280" t="n"/>
      <c r="J5" s="280" t="n"/>
    </row>
    <row r="6" ht="12.75" customFormat="1" customHeight="1" s="261">
      <c r="A6" s="136" t="inlineStr">
        <is>
          <t>Наименование разрабатываемого показателя УНЦ</t>
        </is>
      </c>
      <c r="B6" s="135" t="n"/>
      <c r="C6" s="135" t="n"/>
      <c r="D6" s="283" t="inlineStr">
        <is>
          <t>Демонтаж  ШР 110-750кВ</t>
        </is>
      </c>
    </row>
    <row r="7" ht="12.75" customFormat="1" customHeight="1" s="261">
      <c r="A7" s="283" t="inlineStr">
        <is>
          <t>Единица измерения  — 1 ячейка</t>
        </is>
      </c>
      <c r="I7" s="310" t="n"/>
      <c r="J7" s="310" t="n"/>
    </row>
    <row r="8" ht="13.5" customFormat="1" customHeight="1" s="261">
      <c r="A8" s="283" t="n"/>
    </row>
    <row r="9" ht="27" customHeight="1" s="262">
      <c r="A9" s="315" t="inlineStr">
        <is>
          <t>№ пп.</t>
        </is>
      </c>
      <c r="B9" s="315" t="inlineStr">
        <is>
          <t>Код ресурса</t>
        </is>
      </c>
      <c r="C9" s="315" t="inlineStr">
        <is>
          <t>Наименование</t>
        </is>
      </c>
      <c r="D9" s="315" t="inlineStr">
        <is>
          <t>Ед. изм.</t>
        </is>
      </c>
      <c r="E9" s="315" t="inlineStr">
        <is>
          <t>Кол-во единиц по проектным данным</t>
        </is>
      </c>
      <c r="F9" s="315" t="inlineStr">
        <is>
          <t>Сметная стоимость в ценах на 01.01.2000 (руб.)</t>
        </is>
      </c>
      <c r="G9" s="388" t="n"/>
      <c r="H9" s="315" t="inlineStr">
        <is>
          <t>Удельный вес, %</t>
        </is>
      </c>
      <c r="I9" s="315" t="inlineStr">
        <is>
          <t>Сметная стоимость в ценах на 01.01.2023 (руб.)</t>
        </is>
      </c>
      <c r="J9" s="388" t="n"/>
      <c r="M9" s="259" t="n"/>
      <c r="N9" s="259" t="n"/>
    </row>
    <row r="10" ht="28.5" customHeight="1" s="262">
      <c r="A10" s="390" t="n"/>
      <c r="B10" s="390" t="n"/>
      <c r="C10" s="390" t="n"/>
      <c r="D10" s="390" t="n"/>
      <c r="E10" s="390" t="n"/>
      <c r="F10" s="315" t="inlineStr">
        <is>
          <t>на ед. изм.</t>
        </is>
      </c>
      <c r="G10" s="315" t="inlineStr">
        <is>
          <t>общая</t>
        </is>
      </c>
      <c r="H10" s="390" t="n"/>
      <c r="I10" s="315" t="inlineStr">
        <is>
          <t>на ед. изм.</t>
        </is>
      </c>
      <c r="J10" s="315" t="inlineStr">
        <is>
          <t>общая</t>
        </is>
      </c>
      <c r="M10" s="259" t="n"/>
      <c r="N10" s="259" t="n"/>
    </row>
    <row r="11">
      <c r="A11" s="315" t="n">
        <v>1</v>
      </c>
      <c r="B11" s="315" t="n">
        <v>2</v>
      </c>
      <c r="C11" s="315" t="n">
        <v>3</v>
      </c>
      <c r="D11" s="315" t="n">
        <v>4</v>
      </c>
      <c r="E11" s="315" t="n">
        <v>5</v>
      </c>
      <c r="F11" s="315" t="n">
        <v>6</v>
      </c>
      <c r="G11" s="315" t="n">
        <v>7</v>
      </c>
      <c r="H11" s="315" t="n">
        <v>8</v>
      </c>
      <c r="I11" s="316" t="n">
        <v>9</v>
      </c>
      <c r="J11" s="316" t="n">
        <v>10</v>
      </c>
      <c r="M11" s="259" t="n"/>
      <c r="N11" s="259" t="n"/>
    </row>
    <row r="12">
      <c r="A12" s="315" t="n"/>
      <c r="B12" s="300" t="inlineStr">
        <is>
          <t>Затраты труда рабочих-строителей</t>
        </is>
      </c>
      <c r="C12" s="387" t="n"/>
      <c r="D12" s="387" t="n"/>
      <c r="E12" s="387" t="n"/>
      <c r="F12" s="387" t="n"/>
      <c r="G12" s="387" t="n"/>
      <c r="H12" s="388" t="n"/>
      <c r="I12" s="179" t="n"/>
      <c r="J12" s="179" t="n"/>
    </row>
    <row r="13" ht="25.5" customHeight="1" s="262">
      <c r="A13" s="315" t="n">
        <v>1</v>
      </c>
      <c r="B13" s="224" t="inlineStr">
        <is>
          <t>1-3-6</t>
        </is>
      </c>
      <c r="C13" s="318" t="inlineStr">
        <is>
          <t>Затраты труда рабочих-строителей среднего разряда (3,6)</t>
        </is>
      </c>
      <c r="D13" s="315" t="inlineStr">
        <is>
          <t>чел.-ч.</t>
        </is>
      </c>
      <c r="E13" s="399">
        <f>G13/F13</f>
        <v/>
      </c>
      <c r="F13" s="229" t="n">
        <v>9.18</v>
      </c>
      <c r="G13" s="229">
        <f>'Прил. 3'!H11</f>
        <v/>
      </c>
      <c r="H13" s="321">
        <f>G13/G14</f>
        <v/>
      </c>
      <c r="I13" s="229">
        <f>'ФОТр.тек.'!E13</f>
        <v/>
      </c>
      <c r="J13" s="229">
        <f>ROUND(I13*E13,2)</f>
        <v/>
      </c>
    </row>
    <row r="14" ht="25.5" customFormat="1" customHeight="1" s="259">
      <c r="A14" s="315" t="n"/>
      <c r="B14" s="315" t="n"/>
      <c r="C14" s="300" t="inlineStr">
        <is>
          <t>Итого по разделу "Затраты труда рабочих-строителей"</t>
        </is>
      </c>
      <c r="D14" s="315" t="inlineStr">
        <is>
          <t>чел.-ч.</t>
        </is>
      </c>
      <c r="E14" s="399">
        <f>SUM(E13:E13)</f>
        <v/>
      </c>
      <c r="F14" s="229" t="n"/>
      <c r="G14" s="229">
        <f>SUM(G13:G13)</f>
        <v/>
      </c>
      <c r="H14" s="322" t="n">
        <v>1</v>
      </c>
      <c r="I14" s="179" t="n"/>
      <c r="J14" s="229">
        <f>SUM(J13:J13)</f>
        <v/>
      </c>
    </row>
    <row r="15" ht="38.25" customFormat="1" customHeight="1" s="259">
      <c r="A15" s="315" t="n"/>
      <c r="B15" s="315" t="n"/>
      <c r="C15" s="300" t="inlineStr">
        <is>
          <t>Итого по разделу "Затраты труда рабочих-строителей" 
(с коэффициентом на демонтаж 0,7)</t>
        </is>
      </c>
      <c r="D15" s="315" t="inlineStr">
        <is>
          <t>чел.-ч.</t>
        </is>
      </c>
      <c r="E15" s="319" t="n"/>
      <c r="F15" s="320" t="n"/>
      <c r="G15" s="229">
        <f>SUM(G14)*0.7</f>
        <v/>
      </c>
      <c r="H15" s="322" t="n">
        <v>1</v>
      </c>
      <c r="I15" s="179" t="n"/>
      <c r="J15" s="229">
        <f>SUM(J13)*0.7</f>
        <v/>
      </c>
    </row>
    <row r="16" ht="14.25" customFormat="1" customHeight="1" s="259">
      <c r="A16" s="315" t="n"/>
      <c r="B16" s="318" t="inlineStr">
        <is>
          <t>Затраты труда машинистов</t>
        </is>
      </c>
      <c r="C16" s="387" t="n"/>
      <c r="D16" s="387" t="n"/>
      <c r="E16" s="387" t="n"/>
      <c r="F16" s="387" t="n"/>
      <c r="G16" s="387" t="n"/>
      <c r="H16" s="388" t="n"/>
      <c r="I16" s="179" t="n"/>
      <c r="J16" s="179" t="n"/>
    </row>
    <row r="17" ht="14.25" customFormat="1" customHeight="1" s="259">
      <c r="A17" s="315" t="n">
        <v>2</v>
      </c>
      <c r="B17" s="315" t="n">
        <v>2</v>
      </c>
      <c r="C17" s="318" t="inlineStr">
        <is>
          <t>Затраты труда машинистов</t>
        </is>
      </c>
      <c r="D17" s="315" t="inlineStr">
        <is>
          <t>чел.-ч.</t>
        </is>
      </c>
      <c r="E17" s="399">
        <f>'Прил. 3'!F34</f>
        <v/>
      </c>
      <c r="F17" s="229">
        <f>G17/E17</f>
        <v/>
      </c>
      <c r="G17" s="229">
        <f>'Прил. 3'!H33</f>
        <v/>
      </c>
      <c r="H17" s="322" t="n">
        <v>1</v>
      </c>
      <c r="I17" s="229">
        <f>ROUND(F17*'Прил. 10'!D11,2)</f>
        <v/>
      </c>
      <c r="J17" s="229">
        <f>ROUND(I17*E17,2)</f>
        <v/>
      </c>
    </row>
    <row r="18" ht="25.5" customFormat="1" customHeight="1" s="259">
      <c r="A18" s="315" t="n"/>
      <c r="B18" s="315" t="n"/>
      <c r="C18" s="188" t="inlineStr">
        <is>
          <t>Затраты труда машинистов 
(с коэффициентом на демонтаж 0,7)</t>
        </is>
      </c>
      <c r="D18" s="182" t="n"/>
      <c r="E18" s="182" t="n"/>
      <c r="F18" s="182" t="n"/>
      <c r="G18" s="187">
        <f>G17*0.7</f>
        <v/>
      </c>
      <c r="H18" s="183">
        <f>H17</f>
        <v/>
      </c>
      <c r="I18" s="184" t="n"/>
      <c r="J18" s="187">
        <f>J17*0.7</f>
        <v/>
      </c>
    </row>
    <row r="19" ht="14.25" customFormat="1" customHeight="1" s="259">
      <c r="A19" s="315" t="n"/>
      <c r="B19" s="300" t="inlineStr">
        <is>
          <t>Машины и механизмы</t>
        </is>
      </c>
      <c r="C19" s="387" t="n"/>
      <c r="D19" s="387" t="n"/>
      <c r="E19" s="387" t="n"/>
      <c r="F19" s="387" t="n"/>
      <c r="G19" s="387" t="n"/>
      <c r="H19" s="388" t="n"/>
      <c r="I19" s="179" t="n"/>
      <c r="J19" s="179" t="n"/>
    </row>
    <row r="20" ht="14.25" customFormat="1" customHeight="1" s="259">
      <c r="A20" s="315" t="n"/>
      <c r="B20" s="318" t="inlineStr">
        <is>
          <t>Основные машины и механизмы</t>
        </is>
      </c>
      <c r="C20" s="387" t="n"/>
      <c r="D20" s="387" t="n"/>
      <c r="E20" s="387" t="n"/>
      <c r="F20" s="387" t="n"/>
      <c r="G20" s="387" t="n"/>
      <c r="H20" s="388" t="n"/>
      <c r="I20" s="179" t="n"/>
      <c r="J20" s="179" t="n"/>
    </row>
    <row r="21" ht="25.5" customFormat="1" customHeight="1" s="259">
      <c r="A21" s="315" t="n">
        <v>3</v>
      </c>
      <c r="B21" s="224" t="inlineStr">
        <is>
          <t>91.14.03-002</t>
        </is>
      </c>
      <c r="C21" s="318" t="inlineStr">
        <is>
          <t>Автомобили-самосвалы, грузоподъемность до 10 т</t>
        </is>
      </c>
      <c r="D21" s="315" t="inlineStr">
        <is>
          <t>маш.-ч</t>
        </is>
      </c>
      <c r="E21" s="399" t="n">
        <v>2237.07</v>
      </c>
      <c r="F21" s="320" t="n">
        <v>87.48999999999999</v>
      </c>
      <c r="G21" s="229">
        <f>ROUND(E21*F21,2)</f>
        <v/>
      </c>
      <c r="H21" s="321">
        <f>G21/$G$71</f>
        <v/>
      </c>
      <c r="I21" s="229">
        <f>ROUND(F21*'Прил. 10'!$D$12,2)</f>
        <v/>
      </c>
      <c r="J21" s="229">
        <f>ROUND(I21*E21,2)</f>
        <v/>
      </c>
    </row>
    <row r="22" ht="25.5" customFormat="1" customHeight="1" s="259">
      <c r="A22" s="315" t="n">
        <v>4</v>
      </c>
      <c r="B22" s="224" t="inlineStr">
        <is>
          <t>91.05.05-014</t>
        </is>
      </c>
      <c r="C22" s="318" t="inlineStr">
        <is>
          <t>Краны на автомобильном ходу, грузоподъемность 10 т</t>
        </is>
      </c>
      <c r="D22" s="315" t="inlineStr">
        <is>
          <t>маш.-ч</t>
        </is>
      </c>
      <c r="E22" s="399" t="n">
        <v>530</v>
      </c>
      <c r="F22" s="320" t="n">
        <v>111.99</v>
      </c>
      <c r="G22" s="229">
        <f>ROUND(E22*F22,2)</f>
        <v/>
      </c>
      <c r="H22" s="321">
        <f>G22/$G$71</f>
        <v/>
      </c>
      <c r="I22" s="229">
        <f>ROUND(F22*'Прил. 10'!$D$12,2)</f>
        <v/>
      </c>
      <c r="J22" s="229">
        <f>ROUND(I22*E22,2)</f>
        <v/>
      </c>
    </row>
    <row r="23" ht="51" customFormat="1" customHeight="1" s="259">
      <c r="A23" s="315" t="n">
        <v>5</v>
      </c>
      <c r="B23" s="224" t="inlineStr">
        <is>
          <t>91.18.01-007</t>
        </is>
      </c>
      <c r="C23" s="31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315" t="inlineStr">
        <is>
          <t>маш.-ч</t>
        </is>
      </c>
      <c r="E23" s="399" t="n">
        <v>484.04</v>
      </c>
      <c r="F23" s="320" t="n">
        <v>90</v>
      </c>
      <c r="G23" s="229">
        <f>ROUND(E23*F23,2)</f>
        <v/>
      </c>
      <c r="H23" s="321">
        <f>G23/$G$71</f>
        <v/>
      </c>
      <c r="I23" s="229">
        <f>ROUND(F23*'Прил. 10'!$D$12,2)</f>
        <v/>
      </c>
      <c r="J23" s="229">
        <f>ROUND(I23*E23,2)</f>
        <v/>
      </c>
    </row>
    <row r="24" ht="25.5" customFormat="1" customHeight="1" s="259">
      <c r="A24" s="315" t="n">
        <v>6</v>
      </c>
      <c r="B24" s="224" t="inlineStr">
        <is>
          <t>91.01.05-085</t>
        </is>
      </c>
      <c r="C24" s="318" t="inlineStr">
        <is>
          <t>Экскаваторы одноковшовые дизельные на гусеничном ходу, емкость ковша 0,5 м3</t>
        </is>
      </c>
      <c r="D24" s="315" t="inlineStr">
        <is>
          <t>маш.-ч</t>
        </is>
      </c>
      <c r="E24" s="399" t="n">
        <v>113</v>
      </c>
      <c r="F24" s="320" t="n">
        <v>100</v>
      </c>
      <c r="G24" s="229">
        <f>ROUND(E24*F24,2)</f>
        <v/>
      </c>
      <c r="H24" s="321">
        <f>G24/$G$71</f>
        <v/>
      </c>
      <c r="I24" s="229">
        <f>ROUND(F24*'Прил. 10'!$D$12,2)</f>
        <v/>
      </c>
      <c r="J24" s="229">
        <f>ROUND(I24*E24,2)</f>
        <v/>
      </c>
    </row>
    <row r="25" ht="25.5" customFormat="1" customHeight="1" s="259">
      <c r="A25" s="315" t="n">
        <v>7</v>
      </c>
      <c r="B25" s="224" t="inlineStr">
        <is>
          <t>91.21.22-432</t>
        </is>
      </c>
      <c r="C25" s="318" t="inlineStr">
        <is>
          <t>Установки вакуумной обработки трансформаторного масла</t>
        </is>
      </c>
      <c r="D25" s="315" t="inlineStr">
        <is>
          <t>маш.-ч</t>
        </is>
      </c>
      <c r="E25" s="399" t="n">
        <v>110.61</v>
      </c>
      <c r="F25" s="320" t="n">
        <v>77.03</v>
      </c>
      <c r="G25" s="229">
        <f>ROUND(E25*F25,2)</f>
        <v/>
      </c>
      <c r="H25" s="321">
        <f>G25/$G$71</f>
        <v/>
      </c>
      <c r="I25" s="229">
        <f>ROUND(F25*'Прил. 10'!$D$12,2)</f>
        <v/>
      </c>
      <c r="J25" s="229">
        <f>ROUND(I25*E25,2)</f>
        <v/>
      </c>
    </row>
    <row r="26" ht="25.5" customFormat="1" customHeight="1" s="259">
      <c r="A26" s="315" t="n">
        <v>8</v>
      </c>
      <c r="B26" s="224" t="inlineStr">
        <is>
          <t>91.14.02-001</t>
        </is>
      </c>
      <c r="C26" s="318" t="inlineStr">
        <is>
          <t>Автомобили бортовые, грузоподъемность до 5 т</t>
        </is>
      </c>
      <c r="D26" s="315" t="inlineStr">
        <is>
          <t>маш.-ч</t>
        </is>
      </c>
      <c r="E26" s="399" t="n">
        <v>117.34</v>
      </c>
      <c r="F26" s="320" t="n">
        <v>65.70999999999999</v>
      </c>
      <c r="G26" s="229">
        <f>ROUND(E26*F26,2)</f>
        <v/>
      </c>
      <c r="H26" s="321">
        <f>G26/$G$71</f>
        <v/>
      </c>
      <c r="I26" s="229">
        <f>ROUND(F26*'Прил. 10'!$D$12,2)</f>
        <v/>
      </c>
      <c r="J26" s="229">
        <f>ROUND(I26*E26,2)</f>
        <v/>
      </c>
    </row>
    <row r="27" ht="38.25" customFormat="1" customHeight="1" s="259">
      <c r="A27" s="315" t="n">
        <v>9</v>
      </c>
      <c r="B27" s="224" t="inlineStr">
        <is>
          <t>91.06.05-057</t>
        </is>
      </c>
      <c r="C27" s="318" t="inlineStr">
        <is>
          <t>Погрузчики одноковшовые универсальные фронтальные пневмоколесные, грузоподъемность 3 т</t>
        </is>
      </c>
      <c r="D27" s="315" t="inlineStr">
        <is>
          <t>маш.-ч</t>
        </is>
      </c>
      <c r="E27" s="399" t="n">
        <v>80.79000000000001</v>
      </c>
      <c r="F27" s="320" t="n">
        <v>90.40000000000001</v>
      </c>
      <c r="G27" s="229">
        <f>ROUND(E27*F27,2)</f>
        <v/>
      </c>
      <c r="H27" s="321">
        <f>G27/$G$71</f>
        <v/>
      </c>
      <c r="I27" s="229">
        <f>ROUND(F27*'Прил. 10'!$D$12,2)</f>
        <v/>
      </c>
      <c r="J27" s="229">
        <f>ROUND(I27*E27,2)</f>
        <v/>
      </c>
    </row>
    <row r="28" ht="14.25" customFormat="1" customHeight="1" s="259">
      <c r="A28" s="315" t="n">
        <v>10</v>
      </c>
      <c r="B28" s="315" t="n"/>
      <c r="C28" s="318" t="inlineStr">
        <is>
          <t>Итого основные машины и механизмы</t>
        </is>
      </c>
      <c r="D28" s="315" t="n"/>
      <c r="E28" s="399" t="n"/>
      <c r="F28" s="229" t="n"/>
      <c r="G28" s="229">
        <f>SUM(G21:G27)</f>
        <v/>
      </c>
      <c r="H28" s="322">
        <f>G28/G71</f>
        <v/>
      </c>
      <c r="I28" s="127" t="n"/>
      <c r="J28" s="229">
        <f>SUM(J21:J27)</f>
        <v/>
      </c>
    </row>
    <row r="29" ht="25.5" customFormat="1" customHeight="1" s="259">
      <c r="A29" s="315" t="n">
        <v>11</v>
      </c>
      <c r="B29" s="315" t="n"/>
      <c r="C29" s="188" t="inlineStr">
        <is>
          <t>Итого основные машины и механизмы 
(с коэффициентом на демонтаж 0,7)</t>
        </is>
      </c>
      <c r="D29" s="315" t="n"/>
      <c r="E29" s="400" t="n"/>
      <c r="F29" s="319" t="n"/>
      <c r="G29" s="229">
        <f>G28*0.7</f>
        <v/>
      </c>
      <c r="H29" s="321">
        <f>G29/G72</f>
        <v/>
      </c>
      <c r="I29" s="229" t="n"/>
      <c r="J29" s="229">
        <f>J28*0.7</f>
        <v/>
      </c>
    </row>
    <row r="30" hidden="1" outlineLevel="1" ht="14.25" customFormat="1" customHeight="1" s="259">
      <c r="A30" s="315" t="n">
        <v>12</v>
      </c>
      <c r="B30" s="224" t="inlineStr">
        <is>
          <t>91.21.18-011</t>
        </is>
      </c>
      <c r="C30" s="318" t="inlineStr">
        <is>
          <t>Маслоподогреватели</t>
        </is>
      </c>
      <c r="D30" s="315" t="inlineStr">
        <is>
          <t>маш.-ч</t>
        </is>
      </c>
      <c r="E30" s="399" t="n">
        <v>181.32</v>
      </c>
      <c r="F30" s="320" t="n">
        <v>38.87</v>
      </c>
      <c r="G30" s="229">
        <f>ROUND(E30*F30,2)</f>
        <v/>
      </c>
      <c r="H30" s="321">
        <f>G30/$G$71</f>
        <v/>
      </c>
      <c r="I30" s="229">
        <f>ROUND(F30*'Прил. 10'!$D$12,2)</f>
        <v/>
      </c>
      <c r="J30" s="229">
        <f>ROUND(I30*E30,2)</f>
        <v/>
      </c>
    </row>
    <row r="31" hidden="1" outlineLevel="1" ht="25.5" customFormat="1" customHeight="1" s="259">
      <c r="A31" s="315" t="n">
        <v>13</v>
      </c>
      <c r="B31" s="224" t="inlineStr">
        <is>
          <t>91.05.06-007</t>
        </is>
      </c>
      <c r="C31" s="318" t="inlineStr">
        <is>
          <t>Краны на гусеничном ходу, грузоподъемность 25 т</t>
        </is>
      </c>
      <c r="D31" s="315" t="inlineStr">
        <is>
          <t>маш.-ч</t>
        </is>
      </c>
      <c r="E31" s="399" t="n">
        <v>57.1</v>
      </c>
      <c r="F31" s="320" t="n">
        <v>120.04</v>
      </c>
      <c r="G31" s="229">
        <f>ROUND(E31*F31,2)</f>
        <v/>
      </c>
      <c r="H31" s="321">
        <f>G31/$G$71</f>
        <v/>
      </c>
      <c r="I31" s="229">
        <f>ROUND(F31*'Прил. 10'!$D$12,2)</f>
        <v/>
      </c>
      <c r="J31" s="229">
        <f>ROUND(I31*E31,2)</f>
        <v/>
      </c>
    </row>
    <row r="32" hidden="1" outlineLevel="1" ht="14.25" customFormat="1" customHeight="1" s="259">
      <c r="A32" s="315" t="n">
        <v>14</v>
      </c>
      <c r="B32" s="224" t="inlineStr">
        <is>
          <t>91.21.22-447</t>
        </is>
      </c>
      <c r="C32" s="318" t="inlineStr">
        <is>
          <t>Установки электрометаллизационные</t>
        </is>
      </c>
      <c r="D32" s="315" t="inlineStr">
        <is>
          <t>маш.-ч</t>
        </is>
      </c>
      <c r="E32" s="399" t="n">
        <v>65.08</v>
      </c>
      <c r="F32" s="320" t="n">
        <v>74.23999999999999</v>
      </c>
      <c r="G32" s="229">
        <f>ROUND(E32*F32,2)</f>
        <v/>
      </c>
      <c r="H32" s="321">
        <f>G32/$G$71</f>
        <v/>
      </c>
      <c r="I32" s="229">
        <f>ROUND(F32*'Прил. 10'!$D$12,2)</f>
        <v/>
      </c>
      <c r="J32" s="229">
        <f>ROUND(I32*E32,2)</f>
        <v/>
      </c>
    </row>
    <row r="33" hidden="1" outlineLevel="1" ht="14.25" customFormat="1" customHeight="1" s="259">
      <c r="A33" s="315" t="n">
        <v>15</v>
      </c>
      <c r="B33" s="224" t="inlineStr">
        <is>
          <t>91.19.12-021</t>
        </is>
      </c>
      <c r="C33" s="318" t="inlineStr">
        <is>
          <t>Насосы вакуумные 3,6 м3/мин</t>
        </is>
      </c>
      <c r="D33" s="315" t="inlineStr">
        <is>
          <t>маш.-ч</t>
        </is>
      </c>
      <c r="E33" s="399" t="n">
        <v>715.2</v>
      </c>
      <c r="F33" s="320" t="n">
        <v>6.28</v>
      </c>
      <c r="G33" s="229">
        <f>ROUND(E33*F33,2)</f>
        <v/>
      </c>
      <c r="H33" s="321">
        <f>G33/$G$71</f>
        <v/>
      </c>
      <c r="I33" s="229">
        <f>ROUND(F33*'Прил. 10'!$D$12,2)</f>
        <v/>
      </c>
      <c r="J33" s="229">
        <f>ROUND(I33*E33,2)</f>
        <v/>
      </c>
    </row>
    <row r="34" hidden="1" outlineLevel="1" ht="14.25" customFormat="1" customHeight="1" s="259">
      <c r="A34" s="315" t="n">
        <v>16</v>
      </c>
      <c r="B34" s="224" t="inlineStr">
        <is>
          <t>91.21.22-438</t>
        </is>
      </c>
      <c r="C34" s="318" t="inlineStr">
        <is>
          <t>Установки передвижные цеолитовые</t>
        </is>
      </c>
      <c r="D34" s="315" t="inlineStr">
        <is>
          <t>маш.-ч</t>
        </is>
      </c>
      <c r="E34" s="399" t="n">
        <v>105.72</v>
      </c>
      <c r="F34" s="320" t="n">
        <v>38.65</v>
      </c>
      <c r="G34" s="229">
        <f>ROUND(E34*F34,2)</f>
        <v/>
      </c>
      <c r="H34" s="321">
        <f>G34/$G$71</f>
        <v/>
      </c>
      <c r="I34" s="229">
        <f>ROUND(F34*'Прил. 10'!$D$12,2)</f>
        <v/>
      </c>
      <c r="J34" s="229">
        <f>ROUND(I34*E34,2)</f>
        <v/>
      </c>
    </row>
    <row r="35" hidden="1" outlineLevel="1" ht="14.25" customFormat="1" customHeight="1" s="259">
      <c r="A35" s="315" t="n">
        <v>17</v>
      </c>
      <c r="B35" s="224" t="inlineStr">
        <is>
          <t>91.05.01-017</t>
        </is>
      </c>
      <c r="C35" s="318" t="inlineStr">
        <is>
          <t>Краны башенные, грузоподъемность 8 т</t>
        </is>
      </c>
      <c r="D35" s="315" t="inlineStr">
        <is>
          <t>маш.-ч</t>
        </is>
      </c>
      <c r="E35" s="399" t="n">
        <v>46.89</v>
      </c>
      <c r="F35" s="320" t="n">
        <v>86.40000000000001</v>
      </c>
      <c r="G35" s="229">
        <f>ROUND(E35*F35,2)</f>
        <v/>
      </c>
      <c r="H35" s="321">
        <f>G35/$G$71</f>
        <v/>
      </c>
      <c r="I35" s="229">
        <f>ROUND(F35*'Прил. 10'!$D$12,2)</f>
        <v/>
      </c>
      <c r="J35" s="229">
        <f>ROUND(I35*E35,2)</f>
        <v/>
      </c>
    </row>
    <row r="36" hidden="1" outlineLevel="1" ht="14.25" customFormat="1" customHeight="1" s="259">
      <c r="A36" s="315" t="n">
        <v>18</v>
      </c>
      <c r="B36" s="224" t="inlineStr">
        <is>
          <t>91.21.22-447</t>
        </is>
      </c>
      <c r="C36" s="318" t="inlineStr">
        <is>
          <t>Установки электрометаллизационные</t>
        </is>
      </c>
      <c r="D36" s="315" t="inlineStr">
        <is>
          <t>маш.час</t>
        </is>
      </c>
      <c r="E36" s="399" t="n">
        <v>53.61</v>
      </c>
      <c r="F36" s="320" t="n">
        <v>74.23999999999999</v>
      </c>
      <c r="G36" s="229">
        <f>ROUND(E36*F36,2)</f>
        <v/>
      </c>
      <c r="H36" s="321">
        <f>G36/$G$71</f>
        <v/>
      </c>
      <c r="I36" s="229">
        <f>ROUND(F36*'Прил. 10'!$D$12,2)</f>
        <v/>
      </c>
      <c r="J36" s="229">
        <f>ROUND(I36*E36,2)</f>
        <v/>
      </c>
    </row>
    <row r="37" hidden="1" outlineLevel="1" ht="14.25" customFormat="1" customHeight="1" s="259">
      <c r="A37" s="315" t="n">
        <v>19</v>
      </c>
      <c r="B37" s="224" t="inlineStr">
        <is>
          <t>91.06.09-011</t>
        </is>
      </c>
      <c r="C37" s="318" t="inlineStr">
        <is>
          <t>Люльки</t>
        </is>
      </c>
      <c r="D37" s="315" t="inlineStr">
        <is>
          <t>маш.-ч</t>
        </is>
      </c>
      <c r="E37" s="399" t="n">
        <v>58.74</v>
      </c>
      <c r="F37" s="320" t="n">
        <v>53.87</v>
      </c>
      <c r="G37" s="229">
        <f>ROUND(E37*F37,2)</f>
        <v/>
      </c>
      <c r="H37" s="321">
        <f>G37/$G$71</f>
        <v/>
      </c>
      <c r="I37" s="229">
        <f>ROUND(F37*'Прил. 10'!$D$12,2)</f>
        <v/>
      </c>
      <c r="J37" s="229">
        <f>ROUND(I37*E37,2)</f>
        <v/>
      </c>
    </row>
    <row r="38" hidden="1" outlineLevel="1" ht="25.5" customFormat="1" customHeight="1" s="259">
      <c r="A38" s="315" t="n">
        <v>20</v>
      </c>
      <c r="B38" s="224" t="inlineStr">
        <is>
          <t>91.17.04-233</t>
        </is>
      </c>
      <c r="C38" s="318" t="inlineStr">
        <is>
          <t>Установки для сварки ручной дуговой (постоянного тока)</t>
        </is>
      </c>
      <c r="D38" s="315" t="inlineStr">
        <is>
          <t>маш.-ч</t>
        </is>
      </c>
      <c r="E38" s="399" t="n">
        <v>269.18</v>
      </c>
      <c r="F38" s="320" t="n">
        <v>8.1</v>
      </c>
      <c r="G38" s="229">
        <f>ROUND(E38*F38,2)</f>
        <v/>
      </c>
      <c r="H38" s="321">
        <f>G38/$G$71</f>
        <v/>
      </c>
      <c r="I38" s="229">
        <f>ROUND(F38*'Прил. 10'!$D$12,2)</f>
        <v/>
      </c>
      <c r="J38" s="229">
        <f>ROUND(I38*E38,2)</f>
        <v/>
      </c>
    </row>
    <row r="39" hidden="1" outlineLevel="1" ht="25.5" customFormat="1" customHeight="1" s="259">
      <c r="A39" s="315" t="n">
        <v>21</v>
      </c>
      <c r="B39" s="224" t="inlineStr">
        <is>
          <t>91.10.01-002</t>
        </is>
      </c>
      <c r="C39" s="318" t="inlineStr">
        <is>
          <t>Агрегаты наполнительно-опрессовочные до 300 м3/ч</t>
        </is>
      </c>
      <c r="D39" s="315" t="inlineStr">
        <is>
          <t>маш.-ч</t>
        </is>
      </c>
      <c r="E39" s="399" t="n">
        <v>6.33</v>
      </c>
      <c r="F39" s="320" t="n">
        <v>287.99</v>
      </c>
      <c r="G39" s="229">
        <f>ROUND(E39*F39,2)</f>
        <v/>
      </c>
      <c r="H39" s="321">
        <f>G39/$G$71</f>
        <v/>
      </c>
      <c r="I39" s="229">
        <f>ROUND(F39*'Прил. 10'!$D$12,2)</f>
        <v/>
      </c>
      <c r="J39" s="229">
        <f>ROUND(I39*E39,2)</f>
        <v/>
      </c>
    </row>
    <row r="40" hidden="1" outlineLevel="1" ht="25.5" customFormat="1" customHeight="1" s="259">
      <c r="A40" s="315" t="n">
        <v>22</v>
      </c>
      <c r="B40" s="224" t="inlineStr">
        <is>
          <t>91.21.18-031</t>
        </is>
      </c>
      <c r="C40" s="318" t="inlineStr">
        <is>
          <t>Установки для защиты изоляции трансформаторов от увлажнения</t>
        </is>
      </c>
      <c r="D40" s="315" t="inlineStr">
        <is>
          <t>маш.-ч</t>
        </is>
      </c>
      <c r="E40" s="399" t="n">
        <v>114.6</v>
      </c>
      <c r="F40" s="320" t="n">
        <v>13.49</v>
      </c>
      <c r="G40" s="229">
        <f>ROUND(E40*F40,2)</f>
        <v/>
      </c>
      <c r="H40" s="321">
        <f>G40/$G$71</f>
        <v/>
      </c>
      <c r="I40" s="229">
        <f>ROUND(F40*'Прил. 10'!$D$12,2)</f>
        <v/>
      </c>
      <c r="J40" s="229">
        <f>ROUND(I40*E40,2)</f>
        <v/>
      </c>
    </row>
    <row r="41" hidden="1" outlineLevel="1" ht="25.5" customFormat="1" customHeight="1" s="259">
      <c r="A41" s="315" t="n">
        <v>23</v>
      </c>
      <c r="B41" s="224" t="inlineStr">
        <is>
          <t>91.21.22-091</t>
        </is>
      </c>
      <c r="C41" s="318" t="inlineStr">
        <is>
          <t>Выпрямители полупроводниковые для подогрева трансформаторов</t>
        </is>
      </c>
      <c r="D41" s="315" t="inlineStr">
        <is>
          <t>маш.-ч</t>
        </is>
      </c>
      <c r="E41" s="399" t="n">
        <v>348.9</v>
      </c>
      <c r="F41" s="320" t="n">
        <v>3.82</v>
      </c>
      <c r="G41" s="229">
        <f>ROUND(E41*F41,2)</f>
        <v/>
      </c>
      <c r="H41" s="321">
        <f>G41/$G$71</f>
        <v/>
      </c>
      <c r="I41" s="229">
        <f>ROUND(F41*'Прил. 10'!$D$12,2)</f>
        <v/>
      </c>
      <c r="J41" s="229">
        <f>ROUND(I41*E41,2)</f>
        <v/>
      </c>
    </row>
    <row r="42" hidden="1" outlineLevel="1" ht="25.5" customFormat="1" customHeight="1" s="259">
      <c r="A42" s="315" t="n">
        <v>24</v>
      </c>
      <c r="B42" s="224" t="inlineStr">
        <is>
          <t>91.05.06-012</t>
        </is>
      </c>
      <c r="C42" s="318" t="inlineStr">
        <is>
          <t>Краны на гусеничном ходу, грузоподъемность до 16 т</t>
        </is>
      </c>
      <c r="D42" s="315" t="inlineStr">
        <is>
          <t>маш.-ч</t>
        </is>
      </c>
      <c r="E42" s="399" t="n">
        <v>12.02</v>
      </c>
      <c r="F42" s="320" t="n">
        <v>96.89</v>
      </c>
      <c r="G42" s="229">
        <f>ROUND(E42*F42,2)</f>
        <v/>
      </c>
      <c r="H42" s="321">
        <f>G42/$G$71</f>
        <v/>
      </c>
      <c r="I42" s="229">
        <f>ROUND(F42*'Прил. 10'!$D$12,2)</f>
        <v/>
      </c>
      <c r="J42" s="229">
        <f>ROUND(I42*E42,2)</f>
        <v/>
      </c>
    </row>
    <row r="43" hidden="1" outlineLevel="1" ht="14.25" customFormat="1" customHeight="1" s="259">
      <c r="A43" s="315" t="n">
        <v>25</v>
      </c>
      <c r="B43" s="224" t="inlineStr">
        <is>
          <t>91.09.12-101</t>
        </is>
      </c>
      <c r="C43" s="318" t="inlineStr">
        <is>
          <t>Станки рельсорезные</t>
        </is>
      </c>
      <c r="D43" s="315" t="inlineStr">
        <is>
          <t>маш.-ч</t>
        </is>
      </c>
      <c r="E43" s="399" t="n">
        <v>27.95</v>
      </c>
      <c r="F43" s="320" t="n">
        <v>20</v>
      </c>
      <c r="G43" s="229">
        <f>ROUND(E43*F43,2)</f>
        <v/>
      </c>
      <c r="H43" s="321">
        <f>G43/$G$71</f>
        <v/>
      </c>
      <c r="I43" s="229">
        <f>ROUND(F43*'Прил. 10'!$D$12,2)</f>
        <v/>
      </c>
      <c r="J43" s="229">
        <f>ROUND(I43*E43,2)</f>
        <v/>
      </c>
    </row>
    <row r="44" hidden="1" outlineLevel="1" ht="14.25" customFormat="1" customHeight="1" s="259">
      <c r="A44" s="315" t="n">
        <v>26</v>
      </c>
      <c r="B44" s="224" t="inlineStr">
        <is>
          <t>91.21.18-051</t>
        </is>
      </c>
      <c r="C44" s="318" t="inlineStr">
        <is>
          <t>Шкафы сушильные</t>
        </is>
      </c>
      <c r="D44" s="315" t="inlineStr">
        <is>
          <t>маш.-ч</t>
        </is>
      </c>
      <c r="E44" s="399" t="n">
        <v>187.92</v>
      </c>
      <c r="F44" s="320" t="n">
        <v>2.67</v>
      </c>
      <c r="G44" s="229">
        <f>ROUND(E44*F44,2)</f>
        <v/>
      </c>
      <c r="H44" s="321">
        <f>G44/$G$71</f>
        <v/>
      </c>
      <c r="I44" s="229">
        <f>ROUND(F44*'Прил. 10'!$D$12,2)</f>
        <v/>
      </c>
      <c r="J44" s="229">
        <f>ROUND(I44*E44,2)</f>
        <v/>
      </c>
    </row>
    <row r="45" hidden="1" outlineLevel="1" ht="14.25" customFormat="1" customHeight="1" s="259">
      <c r="A45" s="315" t="n">
        <v>27</v>
      </c>
      <c r="B45" s="224" t="inlineStr">
        <is>
          <t>91.08.04-021</t>
        </is>
      </c>
      <c r="C45" s="318" t="inlineStr">
        <is>
          <t>Котлы битумные передвижные 400 л</t>
        </is>
      </c>
      <c r="D45" s="315" t="inlineStr">
        <is>
          <t>маш.-ч</t>
        </is>
      </c>
      <c r="E45" s="399" t="n">
        <v>14.43</v>
      </c>
      <c r="F45" s="320" t="n">
        <v>30</v>
      </c>
      <c r="G45" s="229">
        <f>ROUND(E45*F45,2)</f>
        <v/>
      </c>
      <c r="H45" s="321">
        <f>G45/$G$71</f>
        <v/>
      </c>
      <c r="I45" s="229">
        <f>ROUND(F45*'Прил. 10'!$D$12,2)</f>
        <v/>
      </c>
      <c r="J45" s="229">
        <f>ROUND(I45*E45,2)</f>
        <v/>
      </c>
    </row>
    <row r="46" hidden="1" outlineLevel="1" ht="14.25" customFormat="1" customHeight="1" s="259">
      <c r="A46" s="315" t="n">
        <v>28</v>
      </c>
      <c r="B46" s="224" t="inlineStr">
        <is>
          <t>91.01.01-035</t>
        </is>
      </c>
      <c r="C46" s="318" t="inlineStr">
        <is>
          <t>Бульдозеры, мощность 79 кВт (108 л.с.)</t>
        </is>
      </c>
      <c r="D46" s="315" t="inlineStr">
        <is>
          <t>маш.-ч</t>
        </is>
      </c>
      <c r="E46" s="399" t="n">
        <v>5.38</v>
      </c>
      <c r="F46" s="320" t="n">
        <v>79.06999999999999</v>
      </c>
      <c r="G46" s="229">
        <f>ROUND(E46*F46,2)</f>
        <v/>
      </c>
      <c r="H46" s="321">
        <f>G46/$G$71</f>
        <v/>
      </c>
      <c r="I46" s="229">
        <f>ROUND(F46*'Прил. 10'!$D$12,2)</f>
        <v/>
      </c>
      <c r="J46" s="229">
        <f>ROUND(I46*E46,2)</f>
        <v/>
      </c>
    </row>
    <row r="47" hidden="1" outlineLevel="1" ht="25.5" customFormat="1" customHeight="1" s="259">
      <c r="A47" s="315" t="n">
        <v>29</v>
      </c>
      <c r="B47" s="224" t="inlineStr">
        <is>
          <t>91.08.09-023</t>
        </is>
      </c>
      <c r="C47" s="318" t="inlineStr">
        <is>
          <t>Трамбовки пневматические при работе от передвижных компрессорных станций</t>
        </is>
      </c>
      <c r="D47" s="315" t="inlineStr">
        <is>
          <t>маш.-ч</t>
        </is>
      </c>
      <c r="E47" s="399" t="n">
        <v>753.42</v>
      </c>
      <c r="F47" s="320" t="n">
        <v>0.55</v>
      </c>
      <c r="G47" s="229">
        <f>ROUND(E47*F47,2)</f>
        <v/>
      </c>
      <c r="H47" s="321">
        <f>G47/$G$71</f>
        <v/>
      </c>
      <c r="I47" s="229">
        <f>ROUND(F47*'Прил. 10'!$D$12,2)</f>
        <v/>
      </c>
      <c r="J47" s="229">
        <f>ROUND(I47*E47,2)</f>
        <v/>
      </c>
    </row>
    <row r="48" hidden="1" outlineLevel="1" ht="25.5" customFormat="1" customHeight="1" s="259">
      <c r="A48" s="315" t="n">
        <v>30</v>
      </c>
      <c r="B48" s="224" t="inlineStr">
        <is>
          <t>91.06.03-058</t>
        </is>
      </c>
      <c r="C48" s="318" t="inlineStr">
        <is>
          <t>Лебедки электрические тяговым усилием 156,96 кН (16 т)</t>
        </is>
      </c>
      <c r="D48" s="315" t="inlineStr">
        <is>
          <t>маш.-ч</t>
        </is>
      </c>
      <c r="E48" s="399" t="n">
        <v>3.11</v>
      </c>
      <c r="F48" s="320" t="n">
        <v>131.44</v>
      </c>
      <c r="G48" s="229">
        <f>ROUND(E48*F48,2)</f>
        <v/>
      </c>
      <c r="H48" s="321">
        <f>G48/$G$71</f>
        <v/>
      </c>
      <c r="I48" s="229">
        <f>ROUND(F48*'Прил. 10'!$D$12,2)</f>
        <v/>
      </c>
      <c r="J48" s="229">
        <f>ROUND(I48*E48,2)</f>
        <v/>
      </c>
    </row>
    <row r="49" hidden="1" outlineLevel="1" ht="25.5" customFormat="1" customHeight="1" s="259">
      <c r="A49" s="315" t="n">
        <v>31</v>
      </c>
      <c r="B49" s="224" t="inlineStr">
        <is>
          <t>91.06.06-042</t>
        </is>
      </c>
      <c r="C49" s="318" t="inlineStr">
        <is>
          <t>Подъемники гидравлические, высота подъема 10 м</t>
        </is>
      </c>
      <c r="D49" s="315" t="inlineStr">
        <is>
          <t>маш.-ч</t>
        </is>
      </c>
      <c r="E49" s="399" t="n">
        <v>13.42</v>
      </c>
      <c r="F49" s="320" t="n">
        <v>29.6</v>
      </c>
      <c r="G49" s="229">
        <f>ROUND(E49*F49,2)</f>
        <v/>
      </c>
      <c r="H49" s="321">
        <f>G49/$G$71</f>
        <v/>
      </c>
      <c r="I49" s="229">
        <f>ROUND(F49*'Прил. 10'!$D$12,2)</f>
        <v/>
      </c>
      <c r="J49" s="229">
        <f>ROUND(I49*E49,2)</f>
        <v/>
      </c>
    </row>
    <row r="50" hidden="1" outlineLevel="1" ht="25.5" customFormat="1" customHeight="1" s="259">
      <c r="A50" s="315" t="n">
        <v>32</v>
      </c>
      <c r="B50" s="224" t="inlineStr">
        <is>
          <t>91.16.01-002</t>
        </is>
      </c>
      <c r="C50" s="318" t="inlineStr">
        <is>
          <t>Электростанции передвижные, мощность 4 кВт</t>
        </is>
      </c>
      <c r="D50" s="315" t="inlineStr">
        <is>
          <t>маш.-ч</t>
        </is>
      </c>
      <c r="E50" s="399" t="n">
        <v>13.97</v>
      </c>
      <c r="F50" s="320" t="n">
        <v>27.11</v>
      </c>
      <c r="G50" s="229">
        <f>ROUND(E50*F50,2)</f>
        <v/>
      </c>
      <c r="H50" s="321">
        <f>G50/$G$71</f>
        <v/>
      </c>
      <c r="I50" s="229">
        <f>ROUND(F50*'Прил. 10'!$D$12,2)</f>
        <v/>
      </c>
      <c r="J50" s="229">
        <f>ROUND(I50*E50,2)</f>
        <v/>
      </c>
    </row>
    <row r="51" hidden="1" outlineLevel="1" ht="38.25" customFormat="1" customHeight="1" s="259">
      <c r="A51" s="315" t="n">
        <v>33</v>
      </c>
      <c r="B51" s="224" t="inlineStr">
        <is>
          <t>91.17.04-036</t>
        </is>
      </c>
      <c r="C51" s="318" t="inlineStr">
        <is>
          <t>Агрегаты сварочные передвижные с дизельным двигателем, номинальный сварочный ток 250-400 А</t>
        </is>
      </c>
      <c r="D51" s="315" t="inlineStr">
        <is>
          <t>маш.-ч</t>
        </is>
      </c>
      <c r="E51" s="399" t="n">
        <v>20.9</v>
      </c>
      <c r="F51" s="320" t="n">
        <v>14</v>
      </c>
      <c r="G51" s="229">
        <f>ROUND(E51*F51,2)</f>
        <v/>
      </c>
      <c r="H51" s="321">
        <f>G51/$G$71</f>
        <v/>
      </c>
      <c r="I51" s="229">
        <f>ROUND(F51*'Прил. 10'!$D$12,2)</f>
        <v/>
      </c>
      <c r="J51" s="229">
        <f>ROUND(I51*E51,2)</f>
        <v/>
      </c>
    </row>
    <row r="52" hidden="1" outlineLevel="1" ht="38.25" customFormat="1" customHeight="1" s="259">
      <c r="A52" s="315" t="n">
        <v>34</v>
      </c>
      <c r="B52" s="224" t="inlineStr">
        <is>
          <t>91.01.05-086</t>
        </is>
      </c>
      <c r="C52" s="318" t="inlineStr">
        <is>
          <t>Экскаваторы одноковшовые дизельные на гусеничном ходу, емкость ковша 0,65 м3</t>
        </is>
      </c>
      <c r="D52" s="315" t="inlineStr">
        <is>
          <t>маш.-ч</t>
        </is>
      </c>
      <c r="E52" s="399" t="n">
        <v>2.46</v>
      </c>
      <c r="F52" s="320" t="n">
        <v>115.27</v>
      </c>
      <c r="G52" s="229">
        <f>ROUND(E52*F52,2)</f>
        <v/>
      </c>
      <c r="H52" s="321">
        <f>G52/$G$71</f>
        <v/>
      </c>
      <c r="I52" s="229">
        <f>ROUND(F52*'Прил. 10'!$D$12,2)</f>
        <v/>
      </c>
      <c r="J52" s="229">
        <f>ROUND(I52*E52,2)</f>
        <v/>
      </c>
    </row>
    <row r="53" hidden="1" outlineLevel="1" ht="25.5" customFormat="1" customHeight="1" s="259">
      <c r="A53" s="315" t="n">
        <v>35</v>
      </c>
      <c r="B53" s="224" t="inlineStr">
        <is>
          <t>91.14.02-002</t>
        </is>
      </c>
      <c r="C53" s="318" t="inlineStr">
        <is>
          <t>Автомобили бортовые, грузоподъемность до 8 т</t>
        </is>
      </c>
      <c r="D53" s="315" t="inlineStr">
        <is>
          <t>маш.-ч</t>
        </is>
      </c>
      <c r="E53" s="399" t="n">
        <v>3.12</v>
      </c>
      <c r="F53" s="320" t="n">
        <v>85.84</v>
      </c>
      <c r="G53" s="229">
        <f>ROUND(E53*F53,2)</f>
        <v/>
      </c>
      <c r="H53" s="321">
        <f>G53/$G$71</f>
        <v/>
      </c>
      <c r="I53" s="229">
        <f>ROUND(F53*'Прил. 10'!$D$12,2)</f>
        <v/>
      </c>
      <c r="J53" s="229">
        <f>ROUND(I53*E53,2)</f>
        <v/>
      </c>
    </row>
    <row r="54" hidden="1" outlineLevel="1" ht="38.25" customFormat="1" customHeight="1" s="259">
      <c r="A54" s="315" t="n">
        <v>36</v>
      </c>
      <c r="B54" s="224" t="inlineStr">
        <is>
          <t>91.21.22-231</t>
        </is>
      </c>
      <c r="C54" s="318" t="inlineStr">
        <is>
          <t>Мотопомпы бензиновые производительностью 54 м3/час, высота подъема 26 м, глубина всасывания 8 м</t>
        </is>
      </c>
      <c r="D54" s="315" t="inlineStr">
        <is>
          <t>маш.-ч</t>
        </is>
      </c>
      <c r="E54" s="399" t="n">
        <v>28.78</v>
      </c>
      <c r="F54" s="320" t="n">
        <v>9.08</v>
      </c>
      <c r="G54" s="229">
        <f>ROUND(E54*F54,2)</f>
        <v/>
      </c>
      <c r="H54" s="321">
        <f>G54/$G$71</f>
        <v/>
      </c>
      <c r="I54" s="229">
        <f>ROUND(F54*'Прил. 10'!$D$12,2)</f>
        <v/>
      </c>
      <c r="J54" s="229">
        <f>ROUND(I54*E54,2)</f>
        <v/>
      </c>
    </row>
    <row r="55" hidden="1" outlineLevel="1" ht="25.5" customFormat="1" customHeight="1" s="259">
      <c r="A55" s="315" t="n">
        <v>37</v>
      </c>
      <c r="B55" s="224" t="inlineStr">
        <is>
          <t>91.15.03-014</t>
        </is>
      </c>
      <c r="C55" s="318" t="inlineStr">
        <is>
          <t>Тракторы на пневмоколесном ходу, мощность 59 кВт (80 л.с.)</t>
        </is>
      </c>
      <c r="D55" s="315" t="inlineStr">
        <is>
          <t>маш.-ч</t>
        </is>
      </c>
      <c r="E55" s="399" t="n">
        <v>3.3</v>
      </c>
      <c r="F55" s="320" t="n">
        <v>74.61</v>
      </c>
      <c r="G55" s="229">
        <f>ROUND(E55*F55,2)</f>
        <v/>
      </c>
      <c r="H55" s="321">
        <f>G55/$G$71</f>
        <v/>
      </c>
      <c r="I55" s="229">
        <f>ROUND(F55*'Прил. 10'!$D$12,2)</f>
        <v/>
      </c>
      <c r="J55" s="229">
        <f>ROUND(I55*E55,2)</f>
        <v/>
      </c>
    </row>
    <row r="56" hidden="1" outlineLevel="1" ht="25.5" customFormat="1" customHeight="1" s="259">
      <c r="A56" s="315" t="n">
        <v>38</v>
      </c>
      <c r="B56" s="224" t="inlineStr">
        <is>
          <t>91.14.02-001</t>
        </is>
      </c>
      <c r="C56" s="318" t="inlineStr">
        <is>
          <t>Автомобили бортовые, грузоподъемность до 5 т</t>
        </is>
      </c>
      <c r="D56" s="315" t="inlineStr">
        <is>
          <t>маш.час</t>
        </is>
      </c>
      <c r="E56" s="399" t="n">
        <v>3.42</v>
      </c>
      <c r="F56" s="320" t="n">
        <v>65.70999999999999</v>
      </c>
      <c r="G56" s="229">
        <f>ROUND(E56*F56,2)</f>
        <v/>
      </c>
      <c r="H56" s="321">
        <f>G56/$G$71</f>
        <v/>
      </c>
      <c r="I56" s="229">
        <f>ROUND(F56*'Прил. 10'!$D$12,2)</f>
        <v/>
      </c>
      <c r="J56" s="229">
        <f>ROUND(I56*E56,2)</f>
        <v/>
      </c>
    </row>
    <row r="57" hidden="1" outlineLevel="1" ht="14.25" customFormat="1" customHeight="1" s="259">
      <c r="A57" s="315" t="n">
        <v>39</v>
      </c>
      <c r="B57" s="224" t="inlineStr">
        <is>
          <t>91.14.04-002</t>
        </is>
      </c>
      <c r="C57" s="318" t="inlineStr">
        <is>
          <t>Тягачи седельные, грузоподъемность 15 т</t>
        </is>
      </c>
      <c r="D57" s="315" t="inlineStr">
        <is>
          <t>маш.-ч</t>
        </is>
      </c>
      <c r="E57" s="399" t="n">
        <v>2.29</v>
      </c>
      <c r="F57" s="320" t="n">
        <v>94.38</v>
      </c>
      <c r="G57" s="229">
        <f>ROUND(E57*F57,2)</f>
        <v/>
      </c>
      <c r="H57" s="321">
        <f>G57/$G$71</f>
        <v/>
      </c>
      <c r="I57" s="229">
        <f>ROUND(F57*'Прил. 10'!$D$12,2)</f>
        <v/>
      </c>
      <c r="J57" s="229">
        <f>ROUND(I57*E57,2)</f>
        <v/>
      </c>
    </row>
    <row r="58" hidden="1" outlineLevel="1" ht="14.25" customFormat="1" customHeight="1" s="259">
      <c r="A58" s="315" t="n">
        <v>40</v>
      </c>
      <c r="B58" s="224" t="inlineStr">
        <is>
          <t>91.06.05-011</t>
        </is>
      </c>
      <c r="C58" s="318" t="inlineStr">
        <is>
          <t>Погрузчики, грузоподъемность 5 т</t>
        </is>
      </c>
      <c r="D58" s="315" t="inlineStr">
        <is>
          <t>маш.-ч</t>
        </is>
      </c>
      <c r="E58" s="399" t="n">
        <v>2.09</v>
      </c>
      <c r="F58" s="320" t="n">
        <v>89.98999999999999</v>
      </c>
      <c r="G58" s="229">
        <f>ROUND(E58*F58,2)</f>
        <v/>
      </c>
      <c r="H58" s="321">
        <f>G58/$G$71</f>
        <v/>
      </c>
      <c r="I58" s="229">
        <f>ROUND(F58*'Прил. 10'!$D$12,2)</f>
        <v/>
      </c>
      <c r="J58" s="229">
        <f>ROUND(I58*E58,2)</f>
        <v/>
      </c>
    </row>
    <row r="59" hidden="1" outlineLevel="1" ht="25.5" customFormat="1" customHeight="1" s="259">
      <c r="A59" s="315" t="n">
        <v>41</v>
      </c>
      <c r="B59" s="224" t="inlineStr">
        <is>
          <t>91.06.01-003</t>
        </is>
      </c>
      <c r="C59" s="318" t="inlineStr">
        <is>
          <t>Домкраты гидравлические, грузоподъемность 63-100 т</t>
        </is>
      </c>
      <c r="D59" s="315" t="inlineStr">
        <is>
          <t>маш.-ч</t>
        </is>
      </c>
      <c r="E59" s="399" t="n">
        <v>133.63</v>
      </c>
      <c r="F59" s="320" t="n">
        <v>0.9</v>
      </c>
      <c r="G59" s="229">
        <f>ROUND(E59*F59,2)</f>
        <v/>
      </c>
      <c r="H59" s="321">
        <f>G59/$G$71</f>
        <v/>
      </c>
      <c r="I59" s="229">
        <f>ROUND(F59*'Прил. 10'!$D$12,2)</f>
        <v/>
      </c>
      <c r="J59" s="229">
        <f>ROUND(I59*E59,2)</f>
        <v/>
      </c>
    </row>
    <row r="60" hidden="1" outlineLevel="1" ht="25.5" customFormat="1" customHeight="1" s="259">
      <c r="A60" s="315" t="n">
        <v>42</v>
      </c>
      <c r="B60" s="224" t="inlineStr">
        <is>
          <t>91.14.05-002</t>
        </is>
      </c>
      <c r="C60" s="318" t="inlineStr">
        <is>
          <t>Полуприцепы-тяжеловозы, грузоподъемность 40 т</t>
        </is>
      </c>
      <c r="D60" s="315" t="inlineStr">
        <is>
          <t>маш.-ч</t>
        </is>
      </c>
      <c r="E60" s="399" t="n">
        <v>2.29</v>
      </c>
      <c r="F60" s="320" t="n">
        <v>28.65</v>
      </c>
      <c r="G60" s="229">
        <f>ROUND(E60*F60,2)</f>
        <v/>
      </c>
      <c r="H60" s="321">
        <f>G60/$G$71</f>
        <v/>
      </c>
      <c r="I60" s="229">
        <f>ROUND(F60*'Прил. 10'!$D$12,2)</f>
        <v/>
      </c>
      <c r="J60" s="229">
        <f>ROUND(I60*E60,2)</f>
        <v/>
      </c>
    </row>
    <row r="61" hidden="1" outlineLevel="1" ht="14.25" customFormat="1" customHeight="1" s="259">
      <c r="A61" s="315" t="n">
        <v>43</v>
      </c>
      <c r="B61" s="224" t="inlineStr">
        <is>
          <t>91.07.04-001</t>
        </is>
      </c>
      <c r="C61" s="318" t="inlineStr">
        <is>
          <t>Вибраторы глубинные</t>
        </is>
      </c>
      <c r="D61" s="315" t="inlineStr">
        <is>
          <t>маш.-ч</t>
        </is>
      </c>
      <c r="E61" s="399" t="n">
        <v>29.54</v>
      </c>
      <c r="F61" s="320" t="n">
        <v>1.9</v>
      </c>
      <c r="G61" s="229">
        <f>ROUND(E61*F61,2)</f>
        <v/>
      </c>
      <c r="H61" s="321">
        <f>G61/$G$71</f>
        <v/>
      </c>
      <c r="I61" s="229">
        <f>ROUND(F61*'Прил. 10'!$D$12,2)</f>
        <v/>
      </c>
      <c r="J61" s="229">
        <f>ROUND(I61*E61,2)</f>
        <v/>
      </c>
    </row>
    <row r="62" hidden="1" outlineLevel="1" ht="25.5" customFormat="1" customHeight="1" s="259">
      <c r="A62" s="315" t="n">
        <v>44</v>
      </c>
      <c r="B62" s="224" t="inlineStr">
        <is>
          <t>91.19.02-002</t>
        </is>
      </c>
      <c r="C62" s="318" t="inlineStr">
        <is>
          <t>Маслонасосы шестеренные, производительность 2,3 м3/час</t>
        </is>
      </c>
      <c r="D62" s="315" t="inlineStr">
        <is>
          <t>маш.-ч</t>
        </is>
      </c>
      <c r="E62" s="399" t="n">
        <v>57.96</v>
      </c>
      <c r="F62" s="320" t="n">
        <v>0.9</v>
      </c>
      <c r="G62" s="229">
        <f>ROUND(E62*F62,2)</f>
        <v/>
      </c>
      <c r="H62" s="321">
        <f>G62/$G$71</f>
        <v/>
      </c>
      <c r="I62" s="229">
        <f>ROUND(F62*'Прил. 10'!$D$12,2)</f>
        <v/>
      </c>
      <c r="J62" s="229">
        <f>ROUND(I62*E62,2)</f>
        <v/>
      </c>
    </row>
    <row r="63" hidden="1" outlineLevel="1" ht="14.25" customFormat="1" customHeight="1" s="259">
      <c r="A63" s="315" t="n">
        <v>45</v>
      </c>
      <c r="B63" s="224" t="inlineStr">
        <is>
          <t>91.01.01-036</t>
        </is>
      </c>
      <c r="C63" s="318" t="inlineStr">
        <is>
          <t>Бульдозеры, мощность 96 кВт (130 л.с.)</t>
        </is>
      </c>
      <c r="D63" s="315" t="inlineStr">
        <is>
          <t>маш.-ч</t>
        </is>
      </c>
      <c r="E63" s="399" t="n">
        <v>0.55</v>
      </c>
      <c r="F63" s="320" t="n">
        <v>94.05</v>
      </c>
      <c r="G63" s="229">
        <f>ROUND(E63*F63,2)</f>
        <v/>
      </c>
      <c r="H63" s="321">
        <f>G63/$G$71</f>
        <v/>
      </c>
      <c r="I63" s="229">
        <f>ROUND(F63*'Прил. 10'!$D$12,2)</f>
        <v/>
      </c>
      <c r="J63" s="229">
        <f>ROUND(I63*E63,2)</f>
        <v/>
      </c>
    </row>
    <row r="64" hidden="1" outlineLevel="1" ht="14.25" customFormat="1" customHeight="1" s="259">
      <c r="A64" s="315" t="n">
        <v>46</v>
      </c>
      <c r="B64" s="224" t="inlineStr">
        <is>
          <t>91.06.05-011</t>
        </is>
      </c>
      <c r="C64" s="318" t="inlineStr">
        <is>
          <t>Погрузчики, грузоподъемность 5 т</t>
        </is>
      </c>
      <c r="D64" s="315" t="inlineStr">
        <is>
          <t>маш.час</t>
        </is>
      </c>
      <c r="E64" s="399" t="n">
        <v>0.57</v>
      </c>
      <c r="F64" s="320" t="n">
        <v>89.98999999999999</v>
      </c>
      <c r="G64" s="229">
        <f>ROUND(E64*F64,2)</f>
        <v/>
      </c>
      <c r="H64" s="321">
        <f>G64/$G$71</f>
        <v/>
      </c>
      <c r="I64" s="229">
        <f>ROUND(F64*'Прил. 10'!$D$12,2)</f>
        <v/>
      </c>
      <c r="J64" s="229">
        <f>ROUND(I64*E64,2)</f>
        <v/>
      </c>
    </row>
    <row r="65" hidden="1" outlineLevel="1" ht="25.5" customFormat="1" customHeight="1" s="259">
      <c r="A65" s="315" t="n">
        <v>47</v>
      </c>
      <c r="B65" s="224" t="inlineStr">
        <is>
          <t>91.19.10-031</t>
        </is>
      </c>
      <c r="C65" s="318" t="inlineStr">
        <is>
          <t>Станции насосные для привода гидродомкратов</t>
        </is>
      </c>
      <c r="D65" s="315" t="inlineStr">
        <is>
          <t>маш.-ч</t>
        </is>
      </c>
      <c r="E65" s="399" t="n">
        <v>27.15</v>
      </c>
      <c r="F65" s="320" t="n">
        <v>1.82</v>
      </c>
      <c r="G65" s="229">
        <f>ROUND(E65*F65,2)</f>
        <v/>
      </c>
      <c r="H65" s="321">
        <f>G65/$G$71</f>
        <v/>
      </c>
      <c r="I65" s="229">
        <f>ROUND(F65*'Прил. 10'!$D$12,2)</f>
        <v/>
      </c>
      <c r="J65" s="229">
        <f>ROUND(I65*E65,2)</f>
        <v/>
      </c>
    </row>
    <row r="66" hidden="1" outlineLevel="1" ht="38.25" customFormat="1" customHeight="1" s="259">
      <c r="A66" s="315" t="n">
        <v>48</v>
      </c>
      <c r="B66" s="224" t="inlineStr">
        <is>
          <t>91.21.01-012</t>
        </is>
      </c>
      <c r="C66" s="318" t="inlineStr">
        <is>
          <t>Агрегаты окрасочные высокого давления для окраски поверхностей конструкций, мощность 1 кВт</t>
        </is>
      </c>
      <c r="D66" s="315" t="inlineStr">
        <is>
          <t>маш.-ч</t>
        </is>
      </c>
      <c r="E66" s="399" t="n">
        <v>3.54</v>
      </c>
      <c r="F66" s="320" t="n">
        <v>6.82</v>
      </c>
      <c r="G66" s="229">
        <f>ROUND(E66*F66,2)</f>
        <v/>
      </c>
      <c r="H66" s="321">
        <f>G66/$G$71</f>
        <v/>
      </c>
      <c r="I66" s="229">
        <f>ROUND(F66*'Прил. 10'!$D$12,2)</f>
        <v/>
      </c>
      <c r="J66" s="229">
        <f>ROUND(I66*E66,2)</f>
        <v/>
      </c>
    </row>
    <row r="67" hidden="1" outlineLevel="1" ht="14.25" customFormat="1" customHeight="1" s="259">
      <c r="A67" s="315" t="n">
        <v>49</v>
      </c>
      <c r="B67" s="224" t="inlineStr">
        <is>
          <t>91.07.04-002</t>
        </is>
      </c>
      <c r="C67" s="318" t="inlineStr">
        <is>
          <t>Вибраторы поверхностные</t>
        </is>
      </c>
      <c r="D67" s="315" t="inlineStr">
        <is>
          <t>маш.-ч</t>
        </is>
      </c>
      <c r="E67" s="399" t="n">
        <v>37.53</v>
      </c>
      <c r="F67" s="320" t="n">
        <v>0.5</v>
      </c>
      <c r="G67" s="229">
        <f>ROUND(E67*F67,2)</f>
        <v/>
      </c>
      <c r="H67" s="321">
        <f>G67/$G$71</f>
        <v/>
      </c>
      <c r="I67" s="229">
        <f>ROUND(F67*'Прил. 10'!$D$12,2)</f>
        <v/>
      </c>
      <c r="J67" s="229">
        <f>ROUND(I67*E67,2)</f>
        <v/>
      </c>
    </row>
    <row r="68" hidden="1" outlineLevel="1" ht="25.5" customFormat="1" customHeight="1" s="259">
      <c r="A68" s="315" t="n">
        <v>50</v>
      </c>
      <c r="B68" s="224" t="inlineStr">
        <is>
          <t>91.07.08-024</t>
        </is>
      </c>
      <c r="C68" s="318" t="inlineStr">
        <is>
          <t>Растворосмесители передвижные, объем барабана 65 л</t>
        </is>
      </c>
      <c r="D68" s="315" t="inlineStr">
        <is>
          <t>маш.-ч</t>
        </is>
      </c>
      <c r="E68" s="399" t="n">
        <v>0.53</v>
      </c>
      <c r="F68" s="320" t="n">
        <v>12.39</v>
      </c>
      <c r="G68" s="229">
        <f>ROUND(E68*F68,2)</f>
        <v/>
      </c>
      <c r="H68" s="321">
        <f>G68/$G$71</f>
        <v/>
      </c>
      <c r="I68" s="229">
        <f>ROUND(F68*'Прил. 10'!$D$12,2)</f>
        <v/>
      </c>
      <c r="J68" s="229">
        <f>ROUND(I68*E68,2)</f>
        <v/>
      </c>
    </row>
    <row r="69" collapsed="1" ht="14.25" customFormat="1" customHeight="1" s="259">
      <c r="A69" s="315" t="n"/>
      <c r="B69" s="315" t="n"/>
      <c r="C69" s="318" t="inlineStr">
        <is>
          <t>Итого прочие машины и механизмы</t>
        </is>
      </c>
      <c r="D69" s="315" t="n"/>
      <c r="E69" s="319" t="n"/>
      <c r="F69" s="229" t="n"/>
      <c r="G69" s="127">
        <f>SUM(G30:G68)</f>
        <v/>
      </c>
      <c r="H69" s="321">
        <f>G69/G71</f>
        <v/>
      </c>
      <c r="I69" s="229" t="n"/>
      <c r="J69" s="127">
        <f>SUM(J30:J68)</f>
        <v/>
      </c>
    </row>
    <row r="70" ht="25.5" customFormat="1" customHeight="1" s="259">
      <c r="A70" s="315" t="n"/>
      <c r="B70" s="315" t="n"/>
      <c r="C70" s="188" t="inlineStr">
        <is>
          <t>Итого прочие машины и механизмы 
(с коэффициентом на демонтаж 0,7)</t>
        </is>
      </c>
      <c r="D70" s="315" t="n"/>
      <c r="E70" s="319" t="n"/>
      <c r="F70" s="229" t="n"/>
      <c r="G70" s="229">
        <f>G69*0.7</f>
        <v/>
      </c>
      <c r="H70" s="321">
        <f>G70/G72</f>
        <v/>
      </c>
      <c r="I70" s="229" t="n"/>
      <c r="J70" s="229">
        <f>J69*0.7</f>
        <v/>
      </c>
    </row>
    <row r="71" ht="25.5" customFormat="1" customHeight="1" s="259">
      <c r="A71" s="315" t="n"/>
      <c r="B71" s="315" t="n"/>
      <c r="C71" s="300" t="inlineStr">
        <is>
          <t>Итого по разделу «Машины и механизмы»</t>
        </is>
      </c>
      <c r="D71" s="315" t="n"/>
      <c r="E71" s="319" t="n"/>
      <c r="F71" s="229" t="n"/>
      <c r="G71" s="229">
        <f>G69+G28</f>
        <v/>
      </c>
      <c r="H71" s="200" t="n">
        <v>1</v>
      </c>
      <c r="I71" s="201" t="n"/>
      <c r="J71" s="199">
        <f>J69+J28</f>
        <v/>
      </c>
    </row>
    <row r="72" ht="38.25" customFormat="1" customHeight="1" s="259">
      <c r="A72" s="315" t="n"/>
      <c r="B72" s="315" t="n"/>
      <c r="C72" s="196" t="inlineStr">
        <is>
          <t>Итого по разделу «Машины и механизмы»  
(с коэффициентом на демонтаж 0,7)</t>
        </is>
      </c>
      <c r="D72" s="317" t="n"/>
      <c r="E72" s="198" t="n"/>
      <c r="F72" s="199" t="n"/>
      <c r="G72" s="199">
        <f>G29+G70</f>
        <v/>
      </c>
      <c r="H72" s="200" t="n">
        <v>1</v>
      </c>
      <c r="I72" s="201" t="n"/>
      <c r="J72" s="199">
        <f>J29+J70</f>
        <v/>
      </c>
    </row>
    <row r="73" ht="14.25" customFormat="1" customHeight="1" s="259">
      <c r="A73" s="315" t="n"/>
      <c r="B73" s="300" t="inlineStr">
        <is>
          <t>Оборудование</t>
        </is>
      </c>
      <c r="C73" s="387" t="n"/>
      <c r="D73" s="387" t="n"/>
      <c r="E73" s="387" t="n"/>
      <c r="F73" s="387" t="n"/>
      <c r="G73" s="387" t="n"/>
      <c r="H73" s="388" t="n"/>
      <c r="I73" s="179" t="n"/>
      <c r="J73" s="179" t="n"/>
    </row>
    <row r="74">
      <c r="A74" s="315" t="n"/>
      <c r="B74" s="318" t="inlineStr">
        <is>
          <t>Основное оборудование</t>
        </is>
      </c>
      <c r="C74" s="387" t="n"/>
      <c r="D74" s="387" t="n"/>
      <c r="E74" s="387" t="n"/>
      <c r="F74" s="387" t="n"/>
      <c r="G74" s="387" t="n"/>
      <c r="H74" s="388" t="n"/>
      <c r="I74" s="179" t="n"/>
      <c r="J74" s="179" t="n"/>
    </row>
    <row r="75">
      <c r="A75" s="315" t="n"/>
      <c r="B75" s="169" t="n"/>
      <c r="C75" s="170" t="inlineStr">
        <is>
          <t>Итого основное оборудование</t>
        </is>
      </c>
      <c r="D75" s="315" t="n"/>
      <c r="E75" s="399" t="n"/>
      <c r="F75" s="320" t="n"/>
      <c r="G75" s="229" t="n">
        <v>0</v>
      </c>
      <c r="H75" s="322" t="n">
        <v>0</v>
      </c>
      <c r="I75" s="127" t="n"/>
      <c r="J75" s="229" t="n">
        <v>0</v>
      </c>
    </row>
    <row r="76">
      <c r="A76" s="315" t="n"/>
      <c r="B76" s="315" t="n"/>
      <c r="C76" s="318" t="inlineStr">
        <is>
          <t>Итого прочее оборудование</t>
        </is>
      </c>
      <c r="D76" s="315" t="n"/>
      <c r="E76" s="399" t="n"/>
      <c r="F76" s="320" t="n"/>
      <c r="G76" s="229" t="n">
        <v>0</v>
      </c>
      <c r="H76" s="321" t="n">
        <v>0</v>
      </c>
      <c r="I76" s="127" t="n"/>
      <c r="J76" s="229" t="n">
        <v>0</v>
      </c>
    </row>
    <row r="77">
      <c r="A77" s="315" t="n"/>
      <c r="B77" s="315" t="n"/>
      <c r="C77" s="300" t="inlineStr">
        <is>
          <t>Итого по разделу «Оборудование»</t>
        </is>
      </c>
      <c r="D77" s="315" t="n"/>
      <c r="E77" s="319" t="n"/>
      <c r="F77" s="320" t="n"/>
      <c r="G77" s="229">
        <f>G76+G75</f>
        <v/>
      </c>
      <c r="H77" s="322">
        <f>H76+H75</f>
        <v/>
      </c>
      <c r="I77" s="127" t="n"/>
      <c r="J77" s="229">
        <f>J76+J75</f>
        <v/>
      </c>
    </row>
    <row r="78" ht="25.5" customHeight="1" s="262">
      <c r="A78" s="315" t="n"/>
      <c r="B78" s="315" t="n"/>
      <c r="C78" s="318" t="inlineStr">
        <is>
          <t>в том числе технологическое оборудование</t>
        </is>
      </c>
      <c r="D78" s="315" t="n"/>
      <c r="E78" s="400" t="n"/>
      <c r="F78" s="320" t="n"/>
      <c r="G78" s="229" t="n">
        <v>0</v>
      </c>
      <c r="H78" s="322" t="n"/>
      <c r="I78" s="127" t="n"/>
      <c r="J78" s="229">
        <f>J77</f>
        <v/>
      </c>
    </row>
    <row r="79" ht="14.25" customFormat="1" customHeight="1" s="259">
      <c r="A79" s="315" t="n"/>
      <c r="B79" s="300" t="inlineStr">
        <is>
          <t>Материалы</t>
        </is>
      </c>
      <c r="C79" s="387" t="n"/>
      <c r="D79" s="387" t="n"/>
      <c r="E79" s="387" t="n"/>
      <c r="F79" s="387" t="n"/>
      <c r="G79" s="387" t="n"/>
      <c r="H79" s="388" t="n"/>
      <c r="I79" s="203" t="n"/>
      <c r="J79" s="203" t="n"/>
    </row>
    <row r="80" ht="14.25" customFormat="1" customHeight="1" s="259">
      <c r="A80" s="315" t="n"/>
      <c r="B80" s="318" t="inlineStr">
        <is>
          <t>Основные материалы</t>
        </is>
      </c>
      <c r="C80" s="387" t="n"/>
      <c r="D80" s="387" t="n"/>
      <c r="E80" s="387" t="n"/>
      <c r="F80" s="387" t="n"/>
      <c r="G80" s="387" t="n"/>
      <c r="H80" s="388" t="n"/>
      <c r="I80" s="203" t="n"/>
      <c r="J80" s="203" t="n"/>
    </row>
    <row r="81" ht="14.25" customFormat="1" customHeight="1" s="259">
      <c r="A81" s="315" t="n"/>
      <c r="B81" s="224" t="n"/>
      <c r="C81" s="318" t="inlineStr">
        <is>
          <t>Итого основные материалы</t>
        </is>
      </c>
      <c r="D81" s="315" t="n"/>
      <c r="E81" s="399" t="n"/>
      <c r="F81" s="229" t="n"/>
      <c r="G81" s="229" t="n">
        <v>0</v>
      </c>
      <c r="H81" s="321" t="n">
        <v>0</v>
      </c>
      <c r="I81" s="229" t="n"/>
      <c r="J81" s="229" t="n">
        <v>0</v>
      </c>
    </row>
    <row r="82" ht="14.25" customFormat="1" customHeight="1" s="259">
      <c r="A82" s="315" t="n"/>
      <c r="B82" s="315" t="n"/>
      <c r="C82" s="318" t="inlineStr">
        <is>
          <t>Итого прочие материалы</t>
        </is>
      </c>
      <c r="D82" s="315" t="n"/>
      <c r="E82" s="319" t="n"/>
      <c r="F82" s="320" t="n"/>
      <c r="G82" s="229" t="n">
        <v>0</v>
      </c>
      <c r="H82" s="321" t="n">
        <v>0</v>
      </c>
      <c r="I82" s="229" t="n"/>
      <c r="J82" s="229" t="n">
        <v>0</v>
      </c>
    </row>
    <row r="83" ht="14.25" customFormat="1" customHeight="1" s="259">
      <c r="A83" s="315" t="n"/>
      <c r="B83" s="315" t="n"/>
      <c r="C83" s="300" t="inlineStr">
        <is>
          <t>Итого по разделу «Материалы»</t>
        </is>
      </c>
      <c r="D83" s="315" t="n"/>
      <c r="E83" s="319" t="n"/>
      <c r="F83" s="320" t="n"/>
      <c r="G83" s="229">
        <f>G81+G82</f>
        <v/>
      </c>
      <c r="H83" s="321" t="n">
        <v>0</v>
      </c>
      <c r="I83" s="229" t="n"/>
      <c r="J83" s="229">
        <f>J81+J82</f>
        <v/>
      </c>
    </row>
    <row r="84" ht="14.25" customFormat="1" customHeight="1" s="259">
      <c r="A84" s="315" t="n"/>
      <c r="B84" s="315" t="n"/>
      <c r="C84" s="318" t="inlineStr">
        <is>
          <t>ИТОГО ПО РМ</t>
        </is>
      </c>
      <c r="D84" s="315" t="n"/>
      <c r="E84" s="319" t="n"/>
      <c r="F84" s="320" t="n"/>
      <c r="G84" s="229">
        <f>G14+G71</f>
        <v/>
      </c>
      <c r="H84" s="321" t="n"/>
      <c r="I84" s="229" t="n"/>
      <c r="J84" s="229">
        <f>J14+J71+J83</f>
        <v/>
      </c>
    </row>
    <row r="85" ht="25.5" customFormat="1" customHeight="1" s="259">
      <c r="A85" s="315" t="n"/>
      <c r="B85" s="315" t="n"/>
      <c r="C85" s="318" t="inlineStr">
        <is>
          <t>ИТОГО ПО РМ
(с коэффициентом на демонтаж 0,7)</t>
        </is>
      </c>
      <c r="D85" s="315" t="n"/>
      <c r="E85" s="319" t="n"/>
      <c r="F85" s="320" t="n"/>
      <c r="G85" s="229">
        <f>G15+G72</f>
        <v/>
      </c>
      <c r="H85" s="321" t="n"/>
      <c r="I85" s="229" t="n"/>
      <c r="J85" s="229">
        <f>J14*0.7+J71*0.7+J83</f>
        <v/>
      </c>
    </row>
    <row r="86" ht="14.25" customFormat="1" customHeight="1" s="259">
      <c r="A86" s="315" t="n"/>
      <c r="B86" s="315" t="n"/>
      <c r="C86" s="318" t="inlineStr">
        <is>
          <t>Накладные расходы</t>
        </is>
      </c>
      <c r="D86" s="133">
        <f>ROUND(G86/(G$17+$G$14),2)</f>
        <v/>
      </c>
      <c r="E86" s="319" t="n"/>
      <c r="F86" s="320" t="n"/>
      <c r="G86" s="229" t="n">
        <v>162663.03</v>
      </c>
      <c r="H86" s="322" t="n"/>
      <c r="I86" s="229" t="n"/>
      <c r="J86" s="229">
        <f>ROUND(D86*(J14+J17),2)</f>
        <v/>
      </c>
    </row>
    <row r="87" ht="25.5" customFormat="1" customHeight="1" s="259">
      <c r="A87" s="315" t="n"/>
      <c r="B87" s="315" t="n"/>
      <c r="C87" s="318" t="inlineStr">
        <is>
          <t>Накладные расходы 
(с коэффициентом на демонтаж 0,7)</t>
        </is>
      </c>
      <c r="D87" s="202">
        <f>ROUND(G87/(G$18+$G$15),2)</f>
        <v/>
      </c>
      <c r="E87" s="319" t="n"/>
      <c r="F87" s="320" t="n"/>
      <c r="G87" s="229">
        <f>G86*0.7</f>
        <v/>
      </c>
      <c r="H87" s="322" t="n"/>
      <c r="I87" s="229" t="n"/>
      <c r="J87" s="229">
        <f>ROUND(D87*(J15+J18),2)</f>
        <v/>
      </c>
    </row>
    <row r="88" ht="14.25" customFormat="1" customHeight="1" s="259">
      <c r="A88" s="315" t="n"/>
      <c r="B88" s="315" t="n"/>
      <c r="C88" s="318" t="inlineStr">
        <is>
          <t>Сметная прибыль</t>
        </is>
      </c>
      <c r="D88" s="133">
        <f>ROUND(G88/(G$14+G$17),2)</f>
        <v/>
      </c>
      <c r="E88" s="319" t="n"/>
      <c r="F88" s="320" t="n"/>
      <c r="G88" s="229" t="n">
        <v>108066.7</v>
      </c>
      <c r="H88" s="322" t="n"/>
      <c r="I88" s="229" t="n"/>
      <c r="J88" s="229">
        <f>ROUND(D88*(J14+J17),2)</f>
        <v/>
      </c>
    </row>
    <row r="89" ht="25.5" customFormat="1" customHeight="1" s="259">
      <c r="A89" s="315" t="n"/>
      <c r="B89" s="315" t="n"/>
      <c r="C89" s="318" t="inlineStr">
        <is>
          <t>Сметная прибыль 
(с коэффициентом на демонтаж 0,7)</t>
        </is>
      </c>
      <c r="D89" s="202">
        <f>ROUND(G89/(G$15+G$18),2)</f>
        <v/>
      </c>
      <c r="E89" s="319" t="n"/>
      <c r="F89" s="320" t="n"/>
      <c r="G89" s="229">
        <f>G88*0.7</f>
        <v/>
      </c>
      <c r="H89" s="322" t="n"/>
      <c r="I89" s="229" t="n"/>
      <c r="J89" s="229">
        <f>ROUND(D89*(J15+J18),2)</f>
        <v/>
      </c>
    </row>
    <row r="90" ht="47.25" customFormat="1" customHeight="1" s="259">
      <c r="A90" s="315" t="n"/>
      <c r="B90" s="315" t="n"/>
      <c r="C90" s="318" t="inlineStr">
        <is>
          <t>Итого СМР (с НР и СП) 
(с коэффициентом на демонтаж 0,7)</t>
        </is>
      </c>
      <c r="D90" s="315" t="n"/>
      <c r="E90" s="319" t="n"/>
      <c r="F90" s="320" t="n"/>
      <c r="G90" s="229">
        <f>ROUND((G85+G87+G89),2)</f>
        <v/>
      </c>
      <c r="H90" s="322" t="n"/>
      <c r="I90" s="229" t="n"/>
      <c r="J90" s="229">
        <f>ROUND((J85+J87+J89),2)</f>
        <v/>
      </c>
    </row>
    <row r="91" ht="25.5" customFormat="1" customHeight="1" s="259">
      <c r="A91" s="315" t="n"/>
      <c r="B91" s="315" t="n"/>
      <c r="C91" s="318" t="inlineStr">
        <is>
          <t>ВСЕГО СМР + ОБОРУДОВАНИЕ 
(с коэффициентом на демонтаж 0,7)</t>
        </is>
      </c>
      <c r="D91" s="315" t="n"/>
      <c r="E91" s="319" t="n"/>
      <c r="F91" s="320" t="n"/>
      <c r="G91" s="229">
        <f>G90</f>
        <v/>
      </c>
      <c r="H91" s="322" t="n"/>
      <c r="I91" s="229" t="n"/>
      <c r="J91" s="229">
        <f>J90</f>
        <v/>
      </c>
    </row>
    <row r="92" ht="34.5" customFormat="1" customHeight="1" s="259">
      <c r="A92" s="315" t="n"/>
      <c r="B92" s="315" t="n"/>
      <c r="C92" s="318" t="inlineStr">
        <is>
          <t>ИТОГО ПОКАЗАТЕЛЬ НА ЕД. ИЗМ.</t>
        </is>
      </c>
      <c r="D92" s="315" t="inlineStr">
        <is>
          <t>ед</t>
        </is>
      </c>
      <c r="E92" s="319" t="n">
        <v>1</v>
      </c>
      <c r="F92" s="320" t="n"/>
      <c r="G92" s="229">
        <f>G91/E92</f>
        <v/>
      </c>
      <c r="H92" s="322" t="n"/>
      <c r="I92" s="229" t="n"/>
      <c r="J92" s="199">
        <f>J91/E92</f>
        <v/>
      </c>
    </row>
    <row r="94" ht="14.25" customFormat="1" customHeight="1" s="259">
      <c r="A94" s="261" t="inlineStr">
        <is>
          <t>Составил ______________________     Е. М. Добровольская</t>
        </is>
      </c>
    </row>
    <row r="95" ht="14.25" customFormat="1" customHeight="1" s="259">
      <c r="A95" s="258" t="inlineStr">
        <is>
          <t xml:space="preserve">                         (подпись, инициалы, фамилия)</t>
        </is>
      </c>
    </row>
    <row r="96" ht="14.25" customFormat="1" customHeight="1" s="259">
      <c r="A96" s="261" t="n"/>
    </row>
    <row r="97" ht="14.25" customFormat="1" customHeight="1" s="259">
      <c r="A97" s="261" t="inlineStr">
        <is>
          <t>Проверил ______________________        А.В. Костянецкая</t>
        </is>
      </c>
    </row>
    <row r="98" ht="14.25" customFormat="1" customHeight="1" s="259">
      <c r="A98" s="258" t="inlineStr">
        <is>
          <t xml:space="preserve">                        (подпись, инициалы, фамилия)</t>
        </is>
      </c>
    </row>
  </sheetData>
  <mergeCells count="21">
    <mergeCell ref="H9:H10"/>
    <mergeCell ref="B74:H74"/>
    <mergeCell ref="A4:J4"/>
    <mergeCell ref="H2:J2"/>
    <mergeCell ref="B80:H80"/>
    <mergeCell ref="B20:H20"/>
    <mergeCell ref="C9:C10"/>
    <mergeCell ref="E9:E10"/>
    <mergeCell ref="B79:H79"/>
    <mergeCell ref="A7:H7"/>
    <mergeCell ref="B16:H16"/>
    <mergeCell ref="B9:B10"/>
    <mergeCell ref="D9:D10"/>
    <mergeCell ref="B12:H12"/>
    <mergeCell ref="D6:J6"/>
    <mergeCell ref="A8:H8"/>
    <mergeCell ref="F9:G9"/>
    <mergeCell ref="A9:A10"/>
    <mergeCell ref="B73:H73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E18" sqref="E18"/>
    </sheetView>
  </sheetViews>
  <sheetFormatPr baseColWidth="8" defaultRowHeight="15"/>
  <cols>
    <col width="5.7109375" customWidth="1" style="262" min="1" max="1"/>
    <col width="17.5703125" customWidth="1" style="262" min="2" max="2"/>
    <col width="39.140625" customWidth="1" style="262" min="3" max="3"/>
    <col width="10.7109375" customWidth="1" style="334" min="4" max="4"/>
    <col width="13.85546875" customWidth="1" style="262" min="5" max="5"/>
    <col width="13.28515625" customWidth="1" style="262" min="6" max="6"/>
    <col width="14.140625" customWidth="1" style="262" min="7" max="7"/>
  </cols>
  <sheetData>
    <row r="1">
      <c r="A1" s="328" t="inlineStr">
        <is>
          <t>Приложение №6</t>
        </is>
      </c>
    </row>
    <row r="2" ht="21.75" customHeight="1" s="262">
      <c r="A2" s="328" t="n"/>
      <c r="B2" s="328" t="n"/>
      <c r="C2" s="328" t="n"/>
      <c r="D2" s="336" t="n"/>
      <c r="E2" s="328" t="n"/>
      <c r="F2" s="328" t="n"/>
      <c r="G2" s="328" t="n"/>
    </row>
    <row r="3">
      <c r="A3" s="280" t="inlineStr">
        <is>
          <t>Расчет стоимости оборудования</t>
        </is>
      </c>
    </row>
    <row r="4" ht="25.5" customHeight="1" s="262">
      <c r="A4" s="283" t="inlineStr">
        <is>
          <t>Наименование разрабатываемого показателя УНЦ — Демонтаж  ШР 110-750кВ</t>
        </is>
      </c>
    </row>
    <row r="5">
      <c r="A5" s="261" t="n"/>
      <c r="B5" s="261" t="n"/>
      <c r="C5" s="261" t="n"/>
      <c r="D5" s="336" t="n"/>
      <c r="E5" s="261" t="n"/>
      <c r="F5" s="261" t="n"/>
      <c r="G5" s="261" t="n"/>
    </row>
    <row r="6" ht="30" customHeight="1" s="262">
      <c r="A6" s="333" t="inlineStr">
        <is>
          <t>№ пп.</t>
        </is>
      </c>
      <c r="B6" s="333" t="inlineStr">
        <is>
          <t>Код ресурса</t>
        </is>
      </c>
      <c r="C6" s="333" t="inlineStr">
        <is>
          <t>Наименование</t>
        </is>
      </c>
      <c r="D6" s="333" t="inlineStr">
        <is>
          <t>Ед. изм.</t>
        </is>
      </c>
      <c r="E6" s="315" t="inlineStr">
        <is>
          <t>Кол-во единиц по проектным данным</t>
        </is>
      </c>
      <c r="F6" s="333" t="inlineStr">
        <is>
          <t>Сметная стоимость в ценах на 01.01.2000 (руб.)</t>
        </is>
      </c>
      <c r="G6" s="388" t="n"/>
    </row>
    <row r="7">
      <c r="A7" s="390" t="n"/>
      <c r="B7" s="390" t="n"/>
      <c r="C7" s="390" t="n"/>
      <c r="D7" s="390" t="n"/>
      <c r="E7" s="390" t="n"/>
      <c r="F7" s="315" t="inlineStr">
        <is>
          <t>на ед. изм.</t>
        </is>
      </c>
      <c r="G7" s="315" t="inlineStr">
        <is>
          <t>общая</t>
        </is>
      </c>
    </row>
    <row r="8">
      <c r="A8" s="315" t="n">
        <v>1</v>
      </c>
      <c r="B8" s="315" t="n">
        <v>2</v>
      </c>
      <c r="C8" s="315" t="n">
        <v>3</v>
      </c>
      <c r="D8" s="315" t="n">
        <v>4</v>
      </c>
      <c r="E8" s="315" t="n">
        <v>5</v>
      </c>
      <c r="F8" s="315" t="n">
        <v>6</v>
      </c>
      <c r="G8" s="315" t="n">
        <v>7</v>
      </c>
    </row>
    <row r="9" ht="15" customHeight="1" s="262">
      <c r="A9" s="24" t="n"/>
      <c r="B9" s="318" t="inlineStr">
        <is>
          <t>ИНЖЕНЕРНОЕ ОБОРУДОВАНИЕ</t>
        </is>
      </c>
      <c r="C9" s="387" t="n"/>
      <c r="D9" s="387" t="n"/>
      <c r="E9" s="387" t="n"/>
      <c r="F9" s="387" t="n"/>
      <c r="G9" s="388" t="n"/>
    </row>
    <row r="10" ht="27" customHeight="1" s="262">
      <c r="A10" s="315" t="n"/>
      <c r="B10" s="300" t="n"/>
      <c r="C10" s="318" t="inlineStr">
        <is>
          <t>ИТОГО ИНЖЕНЕРНОЕ ОБОРУДОВАНИЕ</t>
        </is>
      </c>
      <c r="D10" s="323" t="n"/>
      <c r="E10" s="103" t="n"/>
      <c r="F10" s="320" t="n"/>
      <c r="G10" s="320" t="n">
        <v>0</v>
      </c>
    </row>
    <row r="11">
      <c r="A11" s="315" t="n"/>
      <c r="B11" s="318" t="inlineStr">
        <is>
          <t>ТЕХНОЛОГИЧЕСКОЕ ОБОРУДОВАНИЕ</t>
        </is>
      </c>
      <c r="C11" s="387" t="n"/>
      <c r="D11" s="387" t="n"/>
      <c r="E11" s="387" t="n"/>
      <c r="F11" s="387" t="n"/>
      <c r="G11" s="388" t="n"/>
    </row>
    <row r="12" ht="25.5" customHeight="1" s="262">
      <c r="A12" s="315" t="n"/>
      <c r="B12" s="318" t="n"/>
      <c r="C12" s="318" t="inlineStr">
        <is>
          <t>ИТОГО ТЕХНОЛОГИЧЕСКОЕ ОБОРУДОВАНИЕ</t>
        </is>
      </c>
      <c r="D12" s="315" t="n"/>
      <c r="E12" s="332" t="n"/>
      <c r="F12" s="320" t="n"/>
      <c r="G12" s="229" t="n">
        <v>0</v>
      </c>
    </row>
    <row r="13" ht="19.5" customHeight="1" s="262">
      <c r="A13" s="315" t="n"/>
      <c r="B13" s="318" t="n"/>
      <c r="C13" s="318" t="inlineStr">
        <is>
          <t>Всего по разделу «Оборудование»</t>
        </is>
      </c>
      <c r="D13" s="315" t="n"/>
      <c r="E13" s="332" t="n"/>
      <c r="F13" s="320" t="n"/>
      <c r="G13" s="229">
        <f>G10+G12</f>
        <v/>
      </c>
    </row>
    <row r="14">
      <c r="A14" s="260" t="n"/>
      <c r="B14" s="256" t="n"/>
      <c r="C14" s="260" t="n"/>
      <c r="D14" s="167" t="n"/>
      <c r="E14" s="260" t="n"/>
      <c r="F14" s="260" t="n"/>
      <c r="G14" s="260" t="n"/>
    </row>
    <row r="15">
      <c r="A15" s="261" t="inlineStr">
        <is>
          <t>Составил ______________________    Е. М. Добровольская</t>
        </is>
      </c>
      <c r="B15" s="259" t="n"/>
      <c r="C15" s="259" t="n"/>
      <c r="D15" s="167" t="n"/>
      <c r="E15" s="260" t="n"/>
      <c r="F15" s="260" t="n"/>
      <c r="G15" s="260" t="n"/>
    </row>
    <row r="16">
      <c r="A16" s="258" t="inlineStr">
        <is>
          <t xml:space="preserve">                         (подпись, инициалы, фамилия)</t>
        </is>
      </c>
      <c r="B16" s="259" t="n"/>
      <c r="C16" s="259" t="n"/>
      <c r="D16" s="167" t="n"/>
      <c r="E16" s="260" t="n"/>
      <c r="F16" s="260" t="n"/>
      <c r="G16" s="260" t="n"/>
    </row>
    <row r="17">
      <c r="A17" s="261" t="n"/>
      <c r="B17" s="259" t="n"/>
      <c r="C17" s="259" t="n"/>
      <c r="D17" s="167" t="n"/>
      <c r="E17" s="260" t="n"/>
      <c r="F17" s="260" t="n"/>
      <c r="G17" s="260" t="n"/>
    </row>
    <row r="18">
      <c r="A18" s="261" t="inlineStr">
        <is>
          <t>Проверил ______________________        А.В. Костянецкая</t>
        </is>
      </c>
      <c r="B18" s="259" t="n"/>
      <c r="C18" s="259" t="n"/>
      <c r="D18" s="167" t="n"/>
      <c r="E18" s="260" t="n"/>
      <c r="F18" s="260" t="n"/>
      <c r="G18" s="260" t="n"/>
    </row>
    <row r="19">
      <c r="A19" s="258" t="inlineStr">
        <is>
          <t xml:space="preserve">                        (подпись, инициалы, фамилия)</t>
        </is>
      </c>
      <c r="B19" s="259" t="n"/>
      <c r="C19" s="259" t="n"/>
      <c r="D19" s="167" t="n"/>
      <c r="E19" s="260" t="n"/>
      <c r="F19" s="260" t="n"/>
      <c r="G19" s="26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2" workbookViewId="0">
      <selection activeCell="C14" sqref="C14"/>
    </sheetView>
  </sheetViews>
  <sheetFormatPr baseColWidth="8" defaultColWidth="8.85546875" defaultRowHeight="15"/>
  <cols>
    <col width="14.42578125" customWidth="1" style="262" min="1" max="1"/>
    <col width="29.7109375" customWidth="1" style="262" min="2" max="2"/>
    <col width="38.140625" customWidth="1" style="262" min="3" max="3"/>
    <col width="34.42578125" customWidth="1" style="262" min="4" max="4"/>
  </cols>
  <sheetData>
    <row r="1">
      <c r="B1" s="261" t="n"/>
      <c r="C1" s="261" t="n"/>
      <c r="D1" s="328" t="inlineStr">
        <is>
          <t>Приложение №7</t>
        </is>
      </c>
    </row>
    <row r="2">
      <c r="A2" s="328" t="n"/>
      <c r="B2" s="328" t="n"/>
      <c r="C2" s="328" t="n"/>
      <c r="D2" s="328" t="n"/>
    </row>
    <row r="3" ht="24.75" customHeight="1" s="262">
      <c r="A3" s="280" t="inlineStr">
        <is>
          <t>Расчет показателя УНЦ</t>
        </is>
      </c>
    </row>
    <row r="4" ht="24.75" customHeight="1" s="262">
      <c r="A4" s="280" t="n"/>
      <c r="B4" s="280" t="n"/>
      <c r="C4" s="280" t="n"/>
      <c r="D4" s="280" t="n"/>
    </row>
    <row r="5" ht="49.5" customHeight="1" s="262">
      <c r="A5" s="283" t="inlineStr">
        <is>
          <t xml:space="preserve">Наименование разрабатываемого показателя УНЦ - </t>
        </is>
      </c>
      <c r="D5" s="283">
        <f>'Прил.5 Расчет СМР и ОБ'!D6:J6</f>
        <v/>
      </c>
    </row>
    <row r="6" ht="19.9" customHeight="1" s="262">
      <c r="A6" s="283" t="inlineStr">
        <is>
          <t>Единица измерения  — 1 ячейка</t>
        </is>
      </c>
      <c r="D6" s="283" t="n"/>
    </row>
    <row r="7">
      <c r="A7" s="261" t="n"/>
      <c r="B7" s="261" t="n"/>
      <c r="C7" s="261" t="n"/>
      <c r="D7" s="261" t="n"/>
    </row>
    <row r="8" ht="14.45" customHeight="1" s="262">
      <c r="A8" s="293" t="inlineStr">
        <is>
          <t>Код показателя</t>
        </is>
      </c>
      <c r="B8" s="293" t="inlineStr">
        <is>
          <t>Наименование показателя</t>
        </is>
      </c>
      <c r="C8" s="293" t="inlineStr">
        <is>
          <t>Наименование РМ, входящих в состав показателя</t>
        </is>
      </c>
      <c r="D8" s="293" t="inlineStr">
        <is>
          <t>Норматив цены на 01.01.2023, тыс.руб.</t>
        </is>
      </c>
    </row>
    <row r="9" ht="15" customHeight="1" s="262">
      <c r="A9" s="390" t="n"/>
      <c r="B9" s="390" t="n"/>
      <c r="C9" s="390" t="n"/>
      <c r="D9" s="390" t="n"/>
    </row>
    <row r="10">
      <c r="A10" s="315" t="n">
        <v>1</v>
      </c>
      <c r="B10" s="315" t="n">
        <v>2</v>
      </c>
      <c r="C10" s="315" t="n">
        <v>3</v>
      </c>
      <c r="D10" s="315" t="n">
        <v>4</v>
      </c>
    </row>
    <row r="11" ht="41.45" customHeight="1" s="262">
      <c r="A11" s="315" t="inlineStr">
        <is>
          <t>М6-06-7</t>
        </is>
      </c>
      <c r="B11" s="315" t="inlineStr">
        <is>
          <t>УНЦ на демонтажные работы ПС</t>
        </is>
      </c>
      <c r="C11" s="252" t="inlineStr">
        <is>
          <t>Демонтаж  ШР 110-750кВ</t>
        </is>
      </c>
      <c r="D11" s="253">
        <f>'Прил.4 РМ'!C41/1000</f>
        <v/>
      </c>
      <c r="E11" s="254" t="n"/>
    </row>
    <row r="12">
      <c r="A12" s="260" t="n"/>
      <c r="B12" s="256" t="n"/>
      <c r="C12" s="260" t="n"/>
      <c r="D12" s="260" t="n"/>
    </row>
    <row r="13">
      <c r="A13" s="261" t="inlineStr">
        <is>
          <t>Составил ______________________      Р.Р. Шагеева</t>
        </is>
      </c>
      <c r="B13" s="259" t="n"/>
      <c r="C13" s="259" t="n"/>
      <c r="D13" s="260" t="n"/>
    </row>
    <row r="14">
      <c r="A14" s="258" t="inlineStr">
        <is>
          <t xml:space="preserve">                         (подпись, инициалы, фамилия)</t>
        </is>
      </c>
      <c r="B14" s="259" t="n"/>
      <c r="C14" s="259" t="n"/>
      <c r="D14" s="260" t="n"/>
    </row>
    <row r="15">
      <c r="A15" s="261" t="n"/>
      <c r="B15" s="259" t="n"/>
      <c r="C15" s="259" t="n"/>
      <c r="D15" s="260" t="n"/>
    </row>
    <row r="16">
      <c r="A16" s="261" t="inlineStr">
        <is>
          <t>Проверил ______________________        А.В. Костянецкая</t>
        </is>
      </c>
      <c r="B16" s="259" t="n"/>
      <c r="C16" s="259" t="n"/>
      <c r="D16" s="260" t="n"/>
    </row>
    <row r="17">
      <c r="A17" s="258" t="inlineStr">
        <is>
          <t xml:space="preserve">                        (подпись, инициалы, фамилия)</t>
        </is>
      </c>
      <c r="B17" s="259" t="n"/>
      <c r="C17" s="259" t="n"/>
      <c r="D17" s="26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E24" sqref="E24"/>
    </sheetView>
  </sheetViews>
  <sheetFormatPr baseColWidth="8" defaultColWidth="9.140625" defaultRowHeight="15"/>
  <cols>
    <col width="40.7109375" customWidth="1" style="262" min="2" max="2"/>
    <col width="37" customWidth="1" style="262" min="3" max="3"/>
    <col width="32" customWidth="1" style="262" min="4" max="4"/>
  </cols>
  <sheetData>
    <row r="4" ht="15.75" customHeight="1" s="262">
      <c r="B4" s="287" t="inlineStr">
        <is>
          <t>Приложение № 10</t>
        </is>
      </c>
    </row>
    <row r="5" ht="18.75" customHeight="1" s="262">
      <c r="B5" s="118" t="n"/>
    </row>
    <row r="6" ht="15.75" customHeight="1" s="262">
      <c r="B6" s="288" t="inlineStr">
        <is>
          <t>Используемые индексы изменений сметной стоимости и нормы сопутствующих затрат</t>
        </is>
      </c>
    </row>
    <row r="7">
      <c r="B7" s="334" t="n"/>
    </row>
    <row r="8">
      <c r="B8" s="334" t="n"/>
      <c r="C8" s="334" t="n"/>
      <c r="D8" s="334" t="n"/>
      <c r="E8" s="334" t="n"/>
    </row>
    <row r="9" ht="47.25" customHeight="1" s="262">
      <c r="B9" s="293" t="inlineStr">
        <is>
          <t>Наименование индекса / норм сопутствующих затрат</t>
        </is>
      </c>
      <c r="C9" s="293" t="inlineStr">
        <is>
          <t>Дата применения и обоснование индекса / норм сопутствующих затрат</t>
        </is>
      </c>
      <c r="D9" s="293" t="inlineStr">
        <is>
          <t>Размер индекса / норма сопутствующих затрат</t>
        </is>
      </c>
    </row>
    <row r="10" ht="15.75" customHeight="1" s="262">
      <c r="B10" s="293" t="n">
        <v>1</v>
      </c>
      <c r="C10" s="293" t="n">
        <v>2</v>
      </c>
      <c r="D10" s="293" t="n">
        <v>3</v>
      </c>
    </row>
    <row r="11" ht="45" customHeight="1" s="262">
      <c r="B11" s="293" t="inlineStr">
        <is>
          <t xml:space="preserve">Индекс изменения сметной стоимости на 1 квартал 2023 года. ОЗП </t>
        </is>
      </c>
      <c r="C11" s="293" t="inlineStr">
        <is>
          <t>Письмо Минстроя России от 30.03.2023г. №17106-ИФ/09  прил.1</t>
        </is>
      </c>
      <c r="D11" s="293" t="n">
        <v>44.29</v>
      </c>
    </row>
    <row r="12" ht="29.25" customHeight="1" s="262">
      <c r="B12" s="293" t="inlineStr">
        <is>
          <t>Индекс изменения сметной стоимости на 1 квартал 2023 года. ЭМ</t>
        </is>
      </c>
      <c r="C12" s="293" t="inlineStr">
        <is>
          <t>Письмо Минстроя России от 30.03.2023г. №17106-ИФ/09  прил.1</t>
        </is>
      </c>
      <c r="D12" s="293" t="n">
        <v>13.47</v>
      </c>
    </row>
    <row r="13" ht="29.25" customHeight="1" s="262">
      <c r="B13" s="293" t="inlineStr">
        <is>
          <t>Индекс изменения сметной стоимости на 1 квартал 2023 года. МАТ</t>
        </is>
      </c>
      <c r="C13" s="293" t="inlineStr">
        <is>
          <t>Письмо Минстроя России от 30.03.2023г. №17106-ИФ/09  прил.1</t>
        </is>
      </c>
      <c r="D13" s="293" t="n">
        <v>8.039999999999999</v>
      </c>
    </row>
    <row r="14" ht="30.75" customHeight="1" s="262">
      <c r="B14" s="293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93" t="n">
        <v>6.26</v>
      </c>
    </row>
    <row r="15" ht="89.25" customHeight="1" s="262">
      <c r="B15" s="293" t="inlineStr">
        <is>
          <t>Временные здания и сооружения</t>
        </is>
      </c>
      <c r="C15" s="29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62">
      <c r="B16" s="293" t="inlineStr">
        <is>
          <t>Дополнительные затраты при производстве строительно-монтажных работ в зимнее время</t>
        </is>
      </c>
      <c r="C16" s="29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62">
      <c r="B17" s="293" t="inlineStr">
        <is>
          <t>Строительный контроль</t>
        </is>
      </c>
      <c r="C17" s="293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62">
      <c r="B18" s="293" t="inlineStr">
        <is>
          <t>Авторский надзор - 0,2%</t>
        </is>
      </c>
      <c r="C18" s="293" t="inlineStr">
        <is>
          <t>Приказ от 4.08.2020 № 421/пр п.173</t>
        </is>
      </c>
      <c r="D18" s="120" t="n">
        <v>0.002</v>
      </c>
    </row>
    <row r="19" ht="24" customHeight="1" s="262">
      <c r="B19" s="293" t="inlineStr">
        <is>
          <t>Непредвиденные расходы</t>
        </is>
      </c>
      <c r="C19" s="293" t="inlineStr">
        <is>
          <t>Приказ от 4.08.2020 № 421/пр п.179</t>
        </is>
      </c>
      <c r="D19" s="120" t="n">
        <v>0.03</v>
      </c>
    </row>
    <row r="20" ht="18.75" customHeight="1" s="262">
      <c r="B20" s="119" t="n"/>
    </row>
    <row r="21" ht="18.75" customHeight="1" s="262">
      <c r="B21" s="119" t="n"/>
    </row>
    <row r="22" ht="18.75" customHeight="1" s="262">
      <c r="B22" s="119" t="n"/>
    </row>
    <row r="23" ht="18.75" customHeight="1" s="262">
      <c r="B23" s="119" t="n"/>
    </row>
    <row r="26">
      <c r="B26" s="261" t="inlineStr">
        <is>
          <t>Составил ______________________      Е. М. Добровольская</t>
        </is>
      </c>
      <c r="C26" s="259" t="n"/>
    </row>
    <row r="27">
      <c r="B27" s="258" t="inlineStr">
        <is>
          <t xml:space="preserve">                         (подпись, инициалы, фамилия)</t>
        </is>
      </c>
      <c r="C27" s="259" t="n"/>
    </row>
    <row r="28">
      <c r="B28" s="261" t="n"/>
      <c r="C28" s="259" t="n"/>
    </row>
    <row r="29">
      <c r="B29" s="261" t="inlineStr">
        <is>
          <t>Проверил ______________________        А.В. Костянецкая</t>
        </is>
      </c>
      <c r="C29" s="259" t="n"/>
    </row>
    <row r="30">
      <c r="B30" s="258" t="inlineStr">
        <is>
          <t xml:space="preserve">                        (подпись, инициалы, фамилия)</t>
        </is>
      </c>
      <c r="C30" s="25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62" min="2" max="2"/>
    <col width="13" customWidth="1" style="262" min="3" max="3"/>
    <col width="22.85546875" customWidth="1" style="262" min="4" max="4"/>
    <col width="21.5703125" customWidth="1" style="262" min="5" max="5"/>
    <col width="53.7109375" bestFit="1" customWidth="1" style="262" min="6" max="6"/>
  </cols>
  <sheetData>
    <row r="1" s="262"/>
    <row r="2" ht="17.25" customHeight="1" s="262">
      <c r="A2" s="288" t="inlineStr">
        <is>
          <t>Расчет размера средств на оплату труда рабочих-строителей в текущем уровне цен (ФОТр.тек.)</t>
        </is>
      </c>
    </row>
    <row r="3" s="262"/>
    <row r="4" ht="18" customHeight="1" s="262">
      <c r="A4" s="263" t="inlineStr">
        <is>
          <t>Составлен в уровне цен на 01.01.2023 г.</t>
        </is>
      </c>
      <c r="B4" s="264" t="n"/>
      <c r="C4" s="264" t="n"/>
      <c r="D4" s="264" t="n"/>
      <c r="E4" s="264" t="n"/>
      <c r="F4" s="264" t="n"/>
      <c r="G4" s="264" t="n"/>
    </row>
    <row r="5" ht="15.75" customHeight="1" s="262">
      <c r="A5" s="265" t="inlineStr">
        <is>
          <t>№ пп.</t>
        </is>
      </c>
      <c r="B5" s="265" t="inlineStr">
        <is>
          <t>Наименование элемента</t>
        </is>
      </c>
      <c r="C5" s="265" t="inlineStr">
        <is>
          <t>Обозначение</t>
        </is>
      </c>
      <c r="D5" s="265" t="inlineStr">
        <is>
          <t>Формула</t>
        </is>
      </c>
      <c r="E5" s="265" t="inlineStr">
        <is>
          <t>Величина элемента</t>
        </is>
      </c>
      <c r="F5" s="265" t="inlineStr">
        <is>
          <t>Наименования обосновывающих документов</t>
        </is>
      </c>
      <c r="G5" s="264" t="n"/>
    </row>
    <row r="6" ht="15.75" customHeight="1" s="262">
      <c r="A6" s="265" t="n">
        <v>1</v>
      </c>
      <c r="B6" s="265" t="n">
        <v>2</v>
      </c>
      <c r="C6" s="265" t="n">
        <v>3</v>
      </c>
      <c r="D6" s="265" t="n">
        <v>4</v>
      </c>
      <c r="E6" s="265" t="n">
        <v>5</v>
      </c>
      <c r="F6" s="265" t="n">
        <v>6</v>
      </c>
      <c r="G6" s="264" t="n"/>
    </row>
    <row r="7" ht="110.25" customHeight="1" s="262">
      <c r="A7" s="266" t="inlineStr">
        <is>
          <t>1.1</t>
        </is>
      </c>
      <c r="B7" s="27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3" t="inlineStr">
        <is>
          <t>С1ср</t>
        </is>
      </c>
      <c r="D7" s="293" t="inlineStr">
        <is>
          <t>-</t>
        </is>
      </c>
      <c r="E7" s="269" t="n">
        <v>47872.94</v>
      </c>
      <c r="F7" s="27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64" t="n"/>
    </row>
    <row r="8" ht="31.5" customHeight="1" s="262">
      <c r="A8" s="266" t="inlineStr">
        <is>
          <t>1.2</t>
        </is>
      </c>
      <c r="B8" s="271" t="inlineStr">
        <is>
          <t>Среднегодовое нормативное число часов работы одного рабочего в месяц, часы (ч.)</t>
        </is>
      </c>
      <c r="C8" s="293" t="inlineStr">
        <is>
          <t>tср</t>
        </is>
      </c>
      <c r="D8" s="293" t="inlineStr">
        <is>
          <t>1973ч/12мес.</t>
        </is>
      </c>
      <c r="E8" s="270">
        <f>1973/12</f>
        <v/>
      </c>
      <c r="F8" s="271" t="inlineStr">
        <is>
          <t>Производственный календарь 2023 год
(40-часов.неделя)</t>
        </is>
      </c>
      <c r="G8" s="273" t="n"/>
    </row>
    <row r="9" ht="15.75" customHeight="1" s="262">
      <c r="A9" s="266" t="inlineStr">
        <is>
          <t>1.3</t>
        </is>
      </c>
      <c r="B9" s="271" t="inlineStr">
        <is>
          <t>Коэффициент увеличения</t>
        </is>
      </c>
      <c r="C9" s="293" t="inlineStr">
        <is>
          <t>Кув</t>
        </is>
      </c>
      <c r="D9" s="293" t="inlineStr">
        <is>
          <t>-</t>
        </is>
      </c>
      <c r="E9" s="270" t="n">
        <v>1</v>
      </c>
      <c r="F9" s="271" t="n"/>
      <c r="G9" s="273" t="n"/>
    </row>
    <row r="10" ht="15.75" customHeight="1" s="262">
      <c r="A10" s="266" t="inlineStr">
        <is>
          <t>1.4</t>
        </is>
      </c>
      <c r="B10" s="271" t="inlineStr">
        <is>
          <t>Средний разряд работ</t>
        </is>
      </c>
      <c r="C10" s="293" t="n"/>
      <c r="D10" s="293" t="n"/>
      <c r="E10" s="401" t="n">
        <v>3.6</v>
      </c>
      <c r="F10" s="271" t="inlineStr">
        <is>
          <t>РТМ</t>
        </is>
      </c>
      <c r="G10" s="273" t="n"/>
    </row>
    <row r="11" ht="78.75" customHeight="1" s="262">
      <c r="A11" s="266" t="inlineStr">
        <is>
          <t>1.5</t>
        </is>
      </c>
      <c r="B11" s="271" t="inlineStr">
        <is>
          <t>Тарифный коэффициент среднего разряда работ</t>
        </is>
      </c>
      <c r="C11" s="293" t="inlineStr">
        <is>
          <t>КТ</t>
        </is>
      </c>
      <c r="D11" s="293" t="inlineStr">
        <is>
          <t>-</t>
        </is>
      </c>
      <c r="E11" s="402" t="n">
        <v>1.278</v>
      </c>
      <c r="F11" s="27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64" t="n"/>
    </row>
    <row r="12" ht="78.75" customHeight="1" s="262">
      <c r="A12" s="276" t="inlineStr">
        <is>
          <t>1.6</t>
        </is>
      </c>
      <c r="B12" s="379" t="inlineStr">
        <is>
          <t>Коэффициент инфляции, определяемый поквартально</t>
        </is>
      </c>
      <c r="C12" s="277" t="inlineStr">
        <is>
          <t>Кинф</t>
        </is>
      </c>
      <c r="D12" s="277" t="inlineStr">
        <is>
          <t>-</t>
        </is>
      </c>
      <c r="E12" s="403" t="n">
        <v>1.139</v>
      </c>
      <c r="F12" s="3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62">
      <c r="A13" s="382" t="inlineStr">
        <is>
          <t>1.7</t>
        </is>
      </c>
      <c r="B13" s="383" t="inlineStr">
        <is>
          <t>Размер средств на оплату труда рабочих-строителей в текущем уровне цен (ФОТр.тек.), руб/чел.-ч</t>
        </is>
      </c>
      <c r="C13" s="384" t="inlineStr">
        <is>
          <t>ФОТр.тек.</t>
        </is>
      </c>
      <c r="D13" s="384" t="inlineStr">
        <is>
          <t>(С1ср/tср*КТ*Т*Кув)*Кинф</t>
        </is>
      </c>
      <c r="E13" s="385">
        <f>((E7*E9/E8)*E11)*E12</f>
        <v/>
      </c>
      <c r="F13" s="38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6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2025-01-24T12:11:51Z</dcterms:modified>
  <cp:lastModifiedBy>Николай Трофименко</cp:lastModifiedBy>
  <cp:lastPrinted>2023-11-29T12:25:04Z</cp:lastPrinted>
</cp:coreProperties>
</file>