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3'!$A$1:$H$112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0.0000"/>
    <numFmt numFmtId="168" formatCode="0.0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65" fontId="3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19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7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7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3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7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85" workbookViewId="0">
      <selection activeCell="D29" sqref="D29"/>
    </sheetView>
  </sheetViews>
  <sheetFormatPr baseColWidth="8" defaultColWidth="9.140625" defaultRowHeight="15.75"/>
  <cols>
    <col width="9.140625" customWidth="1" style="258" min="1" max="2"/>
    <col width="51.7109375" customWidth="1" style="258" min="3" max="3"/>
    <col width="47" customWidth="1" style="258" min="4" max="4"/>
    <col width="37.42578125" customWidth="1" style="258" min="5" max="5"/>
    <col width="9.140625" customWidth="1" style="258" min="6" max="6"/>
    <col width="9.140625" customWidth="1" style="256" min="7" max="7"/>
  </cols>
  <sheetData>
    <row r="3">
      <c r="B3" s="281" t="inlineStr">
        <is>
          <t>Приложение № 1</t>
        </is>
      </c>
    </row>
    <row r="4">
      <c r="B4" s="282" t="inlineStr">
        <is>
          <t>Сравнительная таблица отбора объекта-представителя</t>
        </is>
      </c>
    </row>
    <row r="5" ht="84" customHeight="1" s="256">
      <c r="B5" s="28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6">
      <c r="B6" s="228" t="n"/>
      <c r="C6" s="228" t="n"/>
      <c r="D6" s="228" t="n"/>
    </row>
    <row r="7" ht="64.5" customHeight="1" s="256">
      <c r="B7" s="283" t="inlineStr">
        <is>
          <t>Наименование разрабатываемого показателя УНЦ - Демонтаж выключателя 35 кВ</t>
        </is>
      </c>
    </row>
    <row r="8" ht="31.5" customHeight="1" s="256">
      <c r="B8" s="284" t="inlineStr">
        <is>
          <t>Сопоставимый уровень цен: 1 квартал 2021</t>
        </is>
      </c>
    </row>
    <row r="9" ht="15.75" customHeight="1" s="256">
      <c r="B9" s="284" t="inlineStr">
        <is>
          <t>Единица измерения  — 1 ед.</t>
        </is>
      </c>
    </row>
    <row r="10">
      <c r="B10" s="284" t="n"/>
    </row>
    <row r="11">
      <c r="B11" s="287" t="inlineStr">
        <is>
          <t>№ п/п</t>
        </is>
      </c>
      <c r="C11" s="287" t="inlineStr">
        <is>
          <t>Параметр</t>
        </is>
      </c>
      <c r="D11" s="287" t="inlineStr">
        <is>
          <t xml:space="preserve">Объект-представитель </t>
        </is>
      </c>
      <c r="E11" s="229" t="n"/>
    </row>
    <row r="12" ht="96.75" customHeight="1" s="256">
      <c r="B12" s="287" t="n">
        <v>1</v>
      </c>
      <c r="C12" s="295" t="inlineStr">
        <is>
          <t>Наименование объекта-представителя</t>
        </is>
      </c>
      <c r="D12" s="287" t="inlineStr">
        <is>
          <t>Реконструкция ПС 35 кВ "Саперная" (замена силовых трансформаторов мощностью 2х6.3 МВА на 2х10 МВА)</t>
        </is>
      </c>
    </row>
    <row r="13">
      <c r="B13" s="287" t="n">
        <v>2</v>
      </c>
      <c r="C13" s="295" t="inlineStr">
        <is>
          <t>Наименование субъекта Российской Федерации</t>
        </is>
      </c>
      <c r="D13" s="287" t="inlineStr">
        <is>
          <t>Ленинградская область</t>
        </is>
      </c>
    </row>
    <row r="14">
      <c r="B14" s="287" t="n">
        <v>3</v>
      </c>
      <c r="C14" s="295" t="inlineStr">
        <is>
          <t>Климатический район и подрайон</t>
        </is>
      </c>
      <c r="D14" s="287" t="inlineStr">
        <is>
          <t>IIВ</t>
        </is>
      </c>
    </row>
    <row r="15">
      <c r="B15" s="287" t="n">
        <v>4</v>
      </c>
      <c r="C15" s="295" t="inlineStr">
        <is>
          <t>Мощность объекта</t>
        </is>
      </c>
      <c r="D15" s="287" t="n">
        <v>2</v>
      </c>
    </row>
    <row r="16" ht="63" customHeight="1" s="256">
      <c r="B16" s="287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7" t="inlineStr">
        <is>
          <t>ВР35НТ-35-25/1600 УХЛ1 - 2 шт;
СВС 219(8)-500(8)-5000 -4 шт
площадки обсулживания
рамы Рм-3</t>
        </is>
      </c>
    </row>
    <row r="17" ht="79.5" customHeight="1" s="256">
      <c r="B17" s="287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1">
        <f>D18+D19</f>
        <v/>
      </c>
      <c r="E17" s="232" t="n"/>
    </row>
    <row r="18">
      <c r="B18" s="233" t="inlineStr">
        <is>
          <t>6.1</t>
        </is>
      </c>
      <c r="C18" s="295" t="inlineStr">
        <is>
          <t>строительно-монтажные работы</t>
        </is>
      </c>
      <c r="D18" s="231">
        <f>'Прил.2 Расч стоим'!F14</f>
        <v/>
      </c>
    </row>
    <row r="19" ht="15.75" customHeight="1" s="256">
      <c r="B19" s="233" t="inlineStr">
        <is>
          <t>6.2</t>
        </is>
      </c>
      <c r="C19" s="295" t="inlineStr">
        <is>
          <t>оборудование и инвентарь</t>
        </is>
      </c>
      <c r="D19" s="231" t="n">
        <v>0</v>
      </c>
    </row>
    <row r="20" ht="16.5" customHeight="1" s="256">
      <c r="B20" s="233" t="inlineStr">
        <is>
          <t>6.3</t>
        </is>
      </c>
      <c r="C20" s="295" t="inlineStr">
        <is>
          <t>пусконаладочные работы</t>
        </is>
      </c>
      <c r="D20" s="231" t="n"/>
    </row>
    <row r="21" ht="35.25" customHeight="1" s="256">
      <c r="B21" s="233" t="inlineStr">
        <is>
          <t>6.4</t>
        </is>
      </c>
      <c r="C21" s="234" t="inlineStr">
        <is>
          <t>прочие и лимитированные затраты</t>
        </is>
      </c>
      <c r="D21" s="231" t="n"/>
    </row>
    <row r="22">
      <c r="B22" s="287" t="n">
        <v>7</v>
      </c>
      <c r="C22" s="234" t="inlineStr">
        <is>
          <t>Сопоставимый уровень цен</t>
        </is>
      </c>
      <c r="D22" s="235" t="inlineStr">
        <is>
          <t>1 квартал 2021</t>
        </is>
      </c>
      <c r="E22" s="236" t="n"/>
    </row>
    <row r="23" ht="123" customHeight="1" s="256">
      <c r="B23" s="287" t="n">
        <v>8</v>
      </c>
      <c r="C23" s="2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1">
        <f>D17</f>
        <v/>
      </c>
      <c r="E23" s="232" t="n"/>
    </row>
    <row r="24" ht="60.75" customHeight="1" s="256">
      <c r="B24" s="287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31">
        <f>D17/D15</f>
        <v/>
      </c>
      <c r="E24" s="236" t="n"/>
    </row>
    <row r="25" ht="48" customHeight="1" s="256">
      <c r="B25" s="287" t="n">
        <v>10</v>
      </c>
      <c r="C25" s="295" t="inlineStr">
        <is>
          <t>Примечание</t>
        </is>
      </c>
      <c r="D25" s="287" t="n"/>
    </row>
    <row r="26">
      <c r="B26" s="238" t="n"/>
      <c r="C26" s="239" t="n"/>
      <c r="D26" s="239" t="n"/>
    </row>
    <row r="27" ht="37.5" customHeight="1" s="256">
      <c r="B27" s="227" t="n"/>
    </row>
    <row r="28">
      <c r="B28" s="258" t="inlineStr">
        <is>
          <t>Составил ______________________    Д.Ю. Нефедова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258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58" min="1" max="1"/>
    <col width="9.140625" customWidth="1" style="258" min="2" max="2"/>
    <col width="35.28515625" customWidth="1" style="258" min="3" max="3"/>
    <col width="13.85546875" customWidth="1" style="258" min="4" max="4"/>
    <col width="24.85546875" customWidth="1" style="258" min="5" max="5"/>
    <col width="15.5703125" customWidth="1" style="258" min="6" max="6"/>
    <col width="14.85546875" customWidth="1" style="258" min="7" max="7"/>
    <col width="16.7109375" customWidth="1" style="258" min="8" max="8"/>
    <col width="13" customWidth="1" style="258" min="9" max="10"/>
    <col width="18" customWidth="1" style="258" min="11" max="11"/>
    <col width="9.140625" customWidth="1" style="258" min="12" max="12"/>
  </cols>
  <sheetData>
    <row r="3">
      <c r="B3" s="281" t="inlineStr">
        <is>
          <t>Приложение № 2</t>
        </is>
      </c>
      <c r="K3" s="227" t="n"/>
    </row>
    <row r="4">
      <c r="B4" s="282" t="inlineStr">
        <is>
          <t>Расчет стоимости основных видов работ для выбора объекта-представителя</t>
        </is>
      </c>
    </row>
    <row r="5"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</row>
    <row r="6" ht="29.25" customHeight="1" s="256">
      <c r="B6" s="284">
        <f>'Прил.1 Сравнит табл'!B7:D7</f>
        <v/>
      </c>
    </row>
    <row r="7">
      <c r="B7" s="284">
        <f>'Прил.1 Сравнит табл'!B9:D9</f>
        <v/>
      </c>
    </row>
    <row r="8" ht="18.75" customHeight="1" s="256">
      <c r="B8" s="122" t="n"/>
    </row>
    <row r="9" ht="15.75" customHeight="1" s="256">
      <c r="B9" s="287" t="inlineStr">
        <is>
          <t>№ п/п</t>
        </is>
      </c>
      <c r="C9" s="2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7" t="inlineStr">
        <is>
          <t>Объект-представитель 1</t>
        </is>
      </c>
      <c r="E9" s="378" t="n"/>
      <c r="F9" s="378" t="n"/>
      <c r="G9" s="378" t="n"/>
      <c r="H9" s="378" t="n"/>
      <c r="I9" s="378" t="n"/>
      <c r="J9" s="379" t="n"/>
    </row>
    <row r="10" ht="15.75" customHeight="1" s="256">
      <c r="B10" s="380" t="n"/>
      <c r="C10" s="380" t="n"/>
      <c r="D10" s="287" t="inlineStr">
        <is>
          <t>Номер сметы</t>
        </is>
      </c>
      <c r="E10" s="287" t="inlineStr">
        <is>
          <t>Наименование сметы</t>
        </is>
      </c>
      <c r="F10" s="287" t="inlineStr">
        <is>
          <t>Сметная стоимость в уровне цен 1 кв. 2021г., тыс. руб.</t>
        </is>
      </c>
      <c r="G10" s="378" t="n"/>
      <c r="H10" s="378" t="n"/>
      <c r="I10" s="378" t="n"/>
      <c r="J10" s="379" t="n"/>
    </row>
    <row r="11" ht="31.5" customHeight="1" s="256">
      <c r="B11" s="381" t="n"/>
      <c r="C11" s="381" t="n"/>
      <c r="D11" s="381" t="n"/>
      <c r="E11" s="381" t="n"/>
      <c r="F11" s="287" t="inlineStr">
        <is>
          <t>Строительные работы</t>
        </is>
      </c>
      <c r="G11" s="287" t="inlineStr">
        <is>
          <t>Монтажные работы</t>
        </is>
      </c>
      <c r="H11" s="287" t="inlineStr">
        <is>
          <t>Оборудование</t>
        </is>
      </c>
      <c r="I11" s="287" t="inlineStr">
        <is>
          <t>Прочее</t>
        </is>
      </c>
      <c r="J11" s="287" t="inlineStr">
        <is>
          <t>Всего</t>
        </is>
      </c>
    </row>
    <row r="12" ht="31.5" customHeight="1" s="256">
      <c r="A12" s="258" t="n"/>
      <c r="B12" s="287" t="n"/>
      <c r="C12" s="231" t="inlineStr">
        <is>
          <t>Демонтаж выключателя 35 кВ</t>
        </is>
      </c>
      <c r="D12" s="287" t="n"/>
      <c r="E12" s="287" t="n"/>
      <c r="F12" s="287" t="n">
        <v>26.5568492</v>
      </c>
      <c r="G12" s="379" t="n"/>
      <c r="H12" s="287" t="n">
        <v>0</v>
      </c>
      <c r="I12" s="287" t="n"/>
      <c r="J12" s="287" t="n">
        <v>26.5568492</v>
      </c>
      <c r="K12" s="258" t="n"/>
      <c r="L12" s="258" t="n"/>
    </row>
    <row r="13" ht="15.75" customHeight="1" s="256">
      <c r="B13" s="286" t="inlineStr">
        <is>
          <t>Всего по объекту:</t>
        </is>
      </c>
      <c r="C13" s="378" t="n"/>
      <c r="D13" s="378" t="n"/>
      <c r="E13" s="379" t="n"/>
      <c r="F13" s="111" t="n"/>
      <c r="G13" s="111" t="n"/>
      <c r="H13" s="111" t="n"/>
      <c r="I13" s="111" t="n"/>
      <c r="J13" s="111" t="n"/>
    </row>
    <row r="14">
      <c r="B14" s="286" t="inlineStr">
        <is>
          <t>Всего по объекту в сопоставимом уровне цен 1кв. 2021г:</t>
        </is>
      </c>
      <c r="C14" s="378" t="n"/>
      <c r="D14" s="378" t="n"/>
      <c r="E14" s="379" t="n"/>
      <c r="F14" s="382">
        <f>F12</f>
        <v/>
      </c>
      <c r="G14" s="379" t="n"/>
      <c r="H14" s="111">
        <f>H12</f>
        <v/>
      </c>
      <c r="I14" s="111" t="n"/>
      <c r="J14" s="111">
        <f>J12</f>
        <v/>
      </c>
    </row>
    <row r="15" ht="15" customHeight="1" s="256"/>
    <row r="16" ht="15" customHeight="1" s="256"/>
    <row r="17" ht="15" customHeight="1" s="256"/>
    <row r="18" ht="15" customHeight="1" s="256">
      <c r="C18" s="255" t="inlineStr">
        <is>
          <t>Составил ______________________     Д.Ю. Нефедова</t>
        </is>
      </c>
      <c r="D18" s="253" t="n"/>
      <c r="E18" s="253" t="n"/>
    </row>
    <row r="19" ht="15" customHeight="1" s="256">
      <c r="C19" s="252" t="inlineStr">
        <is>
          <t xml:space="preserve">                         (подпись, инициалы, фамилия)</t>
        </is>
      </c>
      <c r="D19" s="253" t="n"/>
      <c r="E19" s="253" t="n"/>
    </row>
    <row r="20" ht="15" customHeight="1" s="256">
      <c r="C20" s="255" t="n"/>
      <c r="D20" s="253" t="n"/>
      <c r="E20" s="253" t="n"/>
    </row>
    <row r="21" ht="15" customHeight="1" s="256">
      <c r="C21" s="255" t="inlineStr">
        <is>
          <t>Проверил ______________________        А.В. Костянецкая</t>
        </is>
      </c>
      <c r="D21" s="253" t="n"/>
      <c r="E21" s="253" t="n"/>
    </row>
    <row r="22" ht="15" customHeight="1" s="256">
      <c r="C22" s="252" t="inlineStr">
        <is>
          <t xml:space="preserve">                        (подпись, инициалы, фамилия)</t>
        </is>
      </c>
      <c r="D22" s="253" t="n"/>
      <c r="E22" s="253" t="n"/>
    </row>
    <row r="23" ht="15" customHeight="1" s="256"/>
    <row r="24" ht="15" customHeight="1" s="256"/>
    <row r="25" ht="15" customHeight="1" s="256"/>
    <row r="26" ht="15" customHeight="1" s="256"/>
    <row r="27" ht="15" customHeight="1" s="256"/>
    <row r="28" ht="15" customHeight="1" s="25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89"/>
  <sheetViews>
    <sheetView view="pageBreakPreview" topLeftCell="A74" zoomScale="85" workbookViewId="0">
      <selection activeCell="E86" sqref="E86"/>
    </sheetView>
  </sheetViews>
  <sheetFormatPr baseColWidth="8" defaultColWidth="9.140625" defaultRowHeight="15.75"/>
  <cols>
    <col width="9.140625" customWidth="1" style="258" min="1" max="1"/>
    <col width="12.5703125" customWidth="1" style="258" min="2" max="2"/>
    <col width="22.42578125" customWidth="1" style="258" min="3" max="3"/>
    <col width="49.7109375" customWidth="1" style="258" min="4" max="4"/>
    <col width="10.140625" customWidth="1" style="258" min="5" max="5"/>
    <col width="20.7109375" customWidth="1" style="258" min="6" max="6"/>
    <col width="20" customWidth="1" style="258" min="7" max="7"/>
    <col width="16.7109375" customWidth="1" style="258" min="8" max="8"/>
    <col width="9.140625" customWidth="1" style="258" min="9" max="9"/>
  </cols>
  <sheetData>
    <row r="2">
      <c r="A2" s="281" t="inlineStr">
        <is>
          <t xml:space="preserve">Приложение № 3 </t>
        </is>
      </c>
    </row>
    <row r="3">
      <c r="A3" s="282" t="inlineStr">
        <is>
          <t>Объектная ресурсная ведомость</t>
        </is>
      </c>
    </row>
    <row r="4" ht="18.75" customHeight="1" s="256">
      <c r="A4" s="30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4" t="n"/>
    </row>
    <row r="6">
      <c r="A6" s="299" t="inlineStr">
        <is>
          <t>Наименование разрабатываемого показателя УНЦ -  Демонтаж выключателя 35 кВ</t>
        </is>
      </c>
    </row>
    <row r="7">
      <c r="A7" s="299" t="n"/>
      <c r="B7" s="299" t="n"/>
      <c r="C7" s="299" t="n"/>
      <c r="D7" s="299" t="n"/>
      <c r="E7" s="299" t="n"/>
      <c r="F7" s="299" t="n"/>
      <c r="G7" s="299" t="n"/>
      <c r="H7" s="299" t="n"/>
    </row>
    <row r="8" ht="48" customHeight="1" s="256">
      <c r="A8" s="287" t="inlineStr">
        <is>
          <t>п/п</t>
        </is>
      </c>
      <c r="B8" s="287" t="inlineStr">
        <is>
          <t>№ЛСР</t>
        </is>
      </c>
      <c r="C8" s="287" t="inlineStr">
        <is>
          <t>Код ресурса</t>
        </is>
      </c>
      <c r="D8" s="287" t="inlineStr">
        <is>
          <t>Наименование ресурса</t>
        </is>
      </c>
      <c r="E8" s="287" t="inlineStr">
        <is>
          <t>Ед. изм.</t>
        </is>
      </c>
      <c r="F8" s="287" t="inlineStr">
        <is>
          <t>Кол-во единиц по данным объекта-представителя</t>
        </is>
      </c>
      <c r="G8" s="287" t="inlineStr">
        <is>
          <t>Сметная стоимость в ценах на 01.01.2000 (руб.)</t>
        </is>
      </c>
      <c r="H8" s="379" t="n"/>
    </row>
    <row r="9" ht="42.75" customHeight="1" s="256">
      <c r="A9" s="381" t="n"/>
      <c r="B9" s="381" t="n"/>
      <c r="C9" s="381" t="n"/>
      <c r="D9" s="381" t="n"/>
      <c r="E9" s="381" t="n"/>
      <c r="F9" s="381" t="n"/>
      <c r="G9" s="287" t="inlineStr">
        <is>
          <t>на ед.изм.</t>
        </is>
      </c>
      <c r="H9" s="287" t="inlineStr">
        <is>
          <t>общая</t>
        </is>
      </c>
    </row>
    <row r="10">
      <c r="A10" s="271" t="n">
        <v>1</v>
      </c>
      <c r="B10" s="271" t="n"/>
      <c r="C10" s="271" t="n">
        <v>2</v>
      </c>
      <c r="D10" s="271" t="inlineStr">
        <is>
          <t>З</t>
        </is>
      </c>
      <c r="E10" s="271" t="n">
        <v>4</v>
      </c>
      <c r="F10" s="271" t="n">
        <v>5</v>
      </c>
      <c r="G10" s="271" t="n">
        <v>6</v>
      </c>
      <c r="H10" s="271" t="n">
        <v>7</v>
      </c>
    </row>
    <row r="11" customFormat="1" s="206">
      <c r="A11" s="296" t="inlineStr">
        <is>
          <t>Затраты труда рабочих</t>
        </is>
      </c>
      <c r="B11" s="378" t="n"/>
      <c r="C11" s="378" t="n"/>
      <c r="D11" s="378" t="n"/>
      <c r="E11" s="379" t="n"/>
      <c r="F11" s="383" t="n">
        <v>129.857944</v>
      </c>
      <c r="G11" s="205" t="n"/>
      <c r="H11" s="383">
        <f>SUM(H12:H17)</f>
        <v/>
      </c>
    </row>
    <row r="12">
      <c r="A12" s="207" t="n">
        <v>1</v>
      </c>
      <c r="B12" s="208" t="n"/>
      <c r="C12" s="209" t="inlineStr">
        <is>
          <t>1-4-0</t>
        </is>
      </c>
      <c r="D12" s="210" t="inlineStr">
        <is>
          <t>Затраты труда рабочих (средний разряд работы 4,0)</t>
        </is>
      </c>
      <c r="E12" s="324" t="inlineStr">
        <is>
          <t>чел.час</t>
        </is>
      </c>
      <c r="F12" s="384" t="n">
        <v>91.31471999999999</v>
      </c>
      <c r="G12" s="213" t="n">
        <v>9.619999999999999</v>
      </c>
      <c r="H12" s="186">
        <f>ROUND(F12*G12,2)</f>
        <v/>
      </c>
      <c r="I12" s="258" t="n"/>
    </row>
    <row r="13">
      <c r="A13" s="207" t="n">
        <v>2</v>
      </c>
      <c r="B13" s="208" t="n"/>
      <c r="C13" s="209" t="inlineStr">
        <is>
          <t>1-3-6</t>
        </is>
      </c>
      <c r="D13" s="210" t="inlineStr">
        <is>
          <t>Затраты труда рабочих (средний разряд работы 3,6)</t>
        </is>
      </c>
      <c r="E13" s="324" t="inlineStr">
        <is>
          <t>чел.час</t>
        </is>
      </c>
      <c r="F13" s="384" t="n">
        <v>16.86941</v>
      </c>
      <c r="G13" s="213" t="n">
        <v>9.18</v>
      </c>
      <c r="H13" s="186">
        <f>ROUND(F13*G13,2)</f>
        <v/>
      </c>
      <c r="I13" s="258" t="n"/>
    </row>
    <row r="14">
      <c r="A14" s="207" t="n">
        <v>3</v>
      </c>
      <c r="B14" s="208" t="n"/>
      <c r="C14" s="209" t="inlineStr">
        <is>
          <t>1-4-1</t>
        </is>
      </c>
      <c r="D14" s="210" t="inlineStr">
        <is>
          <t>Затраты труда рабочих (средний разряд работы 4,1)</t>
        </is>
      </c>
      <c r="E14" s="324" t="inlineStr">
        <is>
          <t>чел.час</t>
        </is>
      </c>
      <c r="F14" s="384" t="n">
        <v>7.170294</v>
      </c>
      <c r="G14" s="213" t="n">
        <v>9.76</v>
      </c>
      <c r="H14" s="186">
        <f>ROUND(F14*G14,2)</f>
        <v/>
      </c>
      <c r="I14" s="258" t="n"/>
    </row>
    <row r="15">
      <c r="A15" s="207" t="n">
        <v>4</v>
      </c>
      <c r="B15" s="208" t="n"/>
      <c r="C15" s="209" t="inlineStr">
        <is>
          <t>1-3-0</t>
        </is>
      </c>
      <c r="D15" s="210" t="inlineStr">
        <is>
          <t>Затраты труда рабочих (средний разряд работы 3,0)</t>
        </is>
      </c>
      <c r="E15" s="324" t="inlineStr">
        <is>
          <t>чел.час</t>
        </is>
      </c>
      <c r="F15" s="384" t="n">
        <v>7.9294</v>
      </c>
      <c r="G15" s="213" t="n">
        <v>8.529999999999999</v>
      </c>
      <c r="H15" s="186">
        <f>ROUND(F15*G15,2)</f>
        <v/>
      </c>
      <c r="I15" s="258" t="n"/>
    </row>
    <row r="16">
      <c r="A16" s="207" t="n">
        <v>5</v>
      </c>
      <c r="B16" s="208" t="n"/>
      <c r="C16" s="209" t="inlineStr">
        <is>
          <t>1-3-5</t>
        </is>
      </c>
      <c r="D16" s="210" t="inlineStr">
        <is>
          <t>Затраты труда рабочих (средний разряд работы 3,5)</t>
        </is>
      </c>
      <c r="E16" s="324" t="inlineStr">
        <is>
          <t>чел.час</t>
        </is>
      </c>
      <c r="F16" s="384" t="n">
        <v>5.27668</v>
      </c>
      <c r="G16" s="213" t="n">
        <v>9.07</v>
      </c>
      <c r="H16" s="186">
        <f>ROUND(F16*G16,2)</f>
        <v/>
      </c>
      <c r="I16" s="258" t="n"/>
    </row>
    <row r="17">
      <c r="A17" s="207" t="n">
        <v>6</v>
      </c>
      <c r="B17" s="208" t="n"/>
      <c r="C17" s="209" t="inlineStr">
        <is>
          <t>1-3-9</t>
        </is>
      </c>
      <c r="D17" s="210" t="inlineStr">
        <is>
          <t>Затраты труда рабочих (средний разряд работы 3,9)</t>
        </is>
      </c>
      <c r="E17" s="324" t="inlineStr">
        <is>
          <t>чел.час</t>
        </is>
      </c>
      <c r="F17" s="384" t="n">
        <v>1.29744</v>
      </c>
      <c r="G17" s="213" t="n">
        <v>9.51</v>
      </c>
      <c r="H17" s="186">
        <f>ROUND(F17*G17,2)</f>
        <v/>
      </c>
      <c r="I17" s="258" t="n"/>
    </row>
    <row r="18">
      <c r="A18" s="292" t="inlineStr">
        <is>
          <t>Затраты труда машинистов</t>
        </is>
      </c>
      <c r="B18" s="378" t="n"/>
      <c r="C18" s="378" t="n"/>
      <c r="D18" s="378" t="n"/>
      <c r="E18" s="379" t="n"/>
      <c r="F18" s="296" t="n"/>
      <c r="G18" s="216" t="n"/>
      <c r="H18" s="383">
        <f>H19</f>
        <v/>
      </c>
    </row>
    <row r="19">
      <c r="A19" s="304" t="n">
        <v>7</v>
      </c>
      <c r="B19" s="294" t="n"/>
      <c r="C19" s="218" t="n">
        <v>2</v>
      </c>
      <c r="D19" s="303" t="inlineStr">
        <is>
          <t>Затраты труда машинистов</t>
        </is>
      </c>
      <c r="E19" s="304" t="inlineStr">
        <is>
          <t>чел.-ч</t>
        </is>
      </c>
      <c r="F19" s="305" t="n">
        <v>14.707944</v>
      </c>
      <c r="G19" s="213" t="n"/>
      <c r="H19" s="323" t="n">
        <v>194.57</v>
      </c>
    </row>
    <row r="20" customFormat="1" s="206">
      <c r="A20" s="296" t="inlineStr">
        <is>
          <t>Машины и механизмы</t>
        </is>
      </c>
      <c r="B20" s="378" t="n"/>
      <c r="C20" s="378" t="n"/>
      <c r="D20" s="378" t="n"/>
      <c r="E20" s="379" t="n"/>
      <c r="F20" s="296" t="n"/>
      <c r="G20" s="216" t="n"/>
      <c r="H20" s="383">
        <f>SUM(H21:H38)</f>
        <v/>
      </c>
    </row>
    <row r="21" ht="25.5" customHeight="1" s="256">
      <c r="A21" s="304" t="n">
        <v>8</v>
      </c>
      <c r="B21" s="294" t="n"/>
      <c r="C21" s="218" t="inlineStr">
        <is>
          <t>91.05.05-015</t>
        </is>
      </c>
      <c r="D21" s="303" t="inlineStr">
        <is>
          <t>Краны на автомобильном ходу, грузоподъемность 16 т</t>
        </is>
      </c>
      <c r="E21" s="304" t="inlineStr">
        <is>
          <t>маш.час</t>
        </is>
      </c>
      <c r="F21" s="304" t="n">
        <v>11.205846</v>
      </c>
      <c r="G21" s="323" t="n">
        <v>115.4</v>
      </c>
      <c r="H21" s="186">
        <f>ROUND(F21*G21,2)</f>
        <v/>
      </c>
      <c r="I21" s="222" t="n"/>
    </row>
    <row r="22" ht="38.25" customFormat="1" customHeight="1" s="206">
      <c r="A22" s="304" t="n">
        <v>9</v>
      </c>
      <c r="B22" s="294" t="n"/>
      <c r="C22" s="218" t="inlineStr">
        <is>
          <t>91.02.04-036</t>
        </is>
      </c>
      <c r="D22" s="303" t="inlineStr">
        <is>
          <t>Установки буровые для бурения скважин под сваи шнекового бурения, глубиной до 30 м, диаметром до 600 мм</t>
        </is>
      </c>
      <c r="E22" s="304" t="inlineStr">
        <is>
          <t>маш.час</t>
        </is>
      </c>
      <c r="F22" s="304" t="n">
        <v>1.134984</v>
      </c>
      <c r="G22" s="323" t="n">
        <v>218.17</v>
      </c>
      <c r="H22" s="186">
        <f>ROUND(F22*G22,2)</f>
        <v/>
      </c>
      <c r="I22" s="222" t="n"/>
    </row>
    <row r="23">
      <c r="A23" s="304" t="n">
        <v>10</v>
      </c>
      <c r="B23" s="294" t="n"/>
      <c r="C23" s="218" t="inlineStr">
        <is>
          <t>91.14.02-001</t>
        </is>
      </c>
      <c r="D23" s="303" t="inlineStr">
        <is>
          <t>Автомобили бортовые, грузоподъемность до 5 т</t>
        </is>
      </c>
      <c r="E23" s="304" t="inlineStr">
        <is>
          <t>маш.час</t>
        </is>
      </c>
      <c r="F23" s="304" t="n">
        <v>2.102454</v>
      </c>
      <c r="G23" s="323" t="n">
        <v>65.70999999999999</v>
      </c>
      <c r="H23" s="186">
        <f>ROUND(F23*G23,2)</f>
        <v/>
      </c>
      <c r="I23" s="222" t="n"/>
    </row>
    <row r="24" ht="25.5" customHeight="1" s="256">
      <c r="A24" s="304" t="n">
        <v>11</v>
      </c>
      <c r="B24" s="294" t="n"/>
      <c r="C24" s="218" t="inlineStr">
        <is>
          <t>91.17.04-171</t>
        </is>
      </c>
      <c r="D24" s="303" t="inlineStr">
        <is>
          <t>Преобразователи сварочные номинальным сварочным током 315-500 А</t>
        </is>
      </c>
      <c r="E24" s="304" t="inlineStr">
        <is>
          <t>маш.час</t>
        </is>
      </c>
      <c r="F24" s="304" t="n">
        <v>2.894584</v>
      </c>
      <c r="G24" s="323" t="n">
        <v>12.31</v>
      </c>
      <c r="H24" s="186">
        <f>ROUND(F24*G24,2)</f>
        <v/>
      </c>
      <c r="I24" s="222" t="n"/>
    </row>
    <row r="25" ht="25.5" customHeight="1" s="256">
      <c r="A25" s="304" t="n">
        <v>12</v>
      </c>
      <c r="B25" s="294" t="n"/>
      <c r="C25" s="218" t="inlineStr">
        <is>
          <t>91.21.01-012</t>
        </is>
      </c>
      <c r="D25" s="303" t="inlineStr">
        <is>
          <t>Агрегаты окрасочные высокого давления для окраски поверхностей конструкций, мощность 1 кВт</t>
        </is>
      </c>
      <c r="E25" s="304" t="inlineStr">
        <is>
          <t>маш.час</t>
        </is>
      </c>
      <c r="F25" s="304" t="n">
        <v>2.39835</v>
      </c>
      <c r="G25" s="323" t="n">
        <v>6.82</v>
      </c>
      <c r="H25" s="186">
        <f>ROUND(F25*G25,2)</f>
        <v/>
      </c>
      <c r="I25" s="222" t="n"/>
    </row>
    <row r="26" ht="25.5" customHeight="1" s="256">
      <c r="A26" s="304" t="n">
        <v>13</v>
      </c>
      <c r="B26" s="294" t="n"/>
      <c r="C26" s="218" t="inlineStr">
        <is>
          <t>91.17.04-036</t>
        </is>
      </c>
      <c r="D26" s="303" t="inlineStr">
        <is>
          <t>Агрегаты сварочные передвижные с дизельным двигателем, номинальный сварочный ток 250-400 А</t>
        </is>
      </c>
      <c r="E26" s="304" t="inlineStr">
        <is>
          <t>маш.час</t>
        </is>
      </c>
      <c r="F26" s="304" t="n">
        <v>0.993426</v>
      </c>
      <c r="G26" s="323" t="n">
        <v>14</v>
      </c>
      <c r="H26" s="186">
        <f>ROUND(F26*G26,2)</f>
        <v/>
      </c>
      <c r="I26" s="222" t="n"/>
    </row>
    <row r="27">
      <c r="A27" s="304" t="n">
        <v>14</v>
      </c>
      <c r="B27" s="294" t="n"/>
      <c r="C27" s="218" t="inlineStr">
        <is>
          <t>91.05.01-017</t>
        </is>
      </c>
      <c r="D27" s="303" t="inlineStr">
        <is>
          <t>Краны башенные, грузоподъемность 8 т</t>
        </is>
      </c>
      <c r="E27" s="304" t="inlineStr">
        <is>
          <t>маш.час</t>
        </is>
      </c>
      <c r="F27" s="304" t="n">
        <v>0.114664</v>
      </c>
      <c r="G27" s="323" t="n">
        <v>86.40000000000001</v>
      </c>
      <c r="H27" s="186">
        <f>ROUND(F27*G27,2)</f>
        <v/>
      </c>
      <c r="I27" s="222" t="n"/>
    </row>
    <row r="28">
      <c r="A28" s="304" t="n">
        <v>15</v>
      </c>
      <c r="B28" s="294" t="n"/>
      <c r="C28" s="218" t="inlineStr">
        <is>
          <t>91.01.01-035</t>
        </is>
      </c>
      <c r="D28" s="303" t="inlineStr">
        <is>
          <t>Бульдозеры, мощность 79 кВт (108 л.с.)</t>
        </is>
      </c>
      <c r="E28" s="304" t="inlineStr">
        <is>
          <t>маш.час</t>
        </is>
      </c>
      <c r="F28" s="304" t="n">
        <v>0.076532</v>
      </c>
      <c r="G28" s="323" t="n">
        <v>79.06999999999999</v>
      </c>
      <c r="H28" s="186">
        <f>ROUND(F28*G28,2)</f>
        <v/>
      </c>
      <c r="I28" s="222" t="n"/>
    </row>
    <row r="29">
      <c r="A29" s="304" t="n">
        <v>16</v>
      </c>
      <c r="B29" s="294" t="n"/>
      <c r="C29" s="218" t="inlineStr">
        <is>
          <t>91.05.02-005</t>
        </is>
      </c>
      <c r="D29" s="303" t="inlineStr">
        <is>
          <t>Краны козловые, грузоподъемность 32 т</t>
        </is>
      </c>
      <c r="E29" s="304" t="inlineStr">
        <is>
          <t>маш.час</t>
        </is>
      </c>
      <c r="F29" s="304" t="n">
        <v>0.04699</v>
      </c>
      <c r="G29" s="323" t="n">
        <v>120.24</v>
      </c>
      <c r="H29" s="186">
        <f>ROUND(F29*G29,2)</f>
        <v/>
      </c>
      <c r="I29" s="222" t="n"/>
    </row>
    <row r="30">
      <c r="A30" s="304" t="n">
        <v>17</v>
      </c>
      <c r="B30" s="294" t="n"/>
      <c r="C30" s="218" t="inlineStr">
        <is>
          <t>91.08.04-021</t>
        </is>
      </c>
      <c r="D30" s="303" t="inlineStr">
        <is>
          <t>Котлы битумные передвижные 400 л</t>
        </is>
      </c>
      <c r="E30" s="304" t="inlineStr">
        <is>
          <t>маш.час</t>
        </is>
      </c>
      <c r="F30" s="304" t="n">
        <v>0.11934</v>
      </c>
      <c r="G30" s="323" t="n">
        <v>30</v>
      </c>
      <c r="H30" s="186">
        <f>ROUND(F30*G30,2)</f>
        <v/>
      </c>
      <c r="I30" s="222" t="n"/>
    </row>
    <row r="31" ht="25.5" customHeight="1" s="256">
      <c r="A31" s="304" t="n">
        <v>18</v>
      </c>
      <c r="B31" s="294" t="n"/>
      <c r="C31" s="218" t="inlineStr">
        <is>
          <t>91.17.04-233</t>
        </is>
      </c>
      <c r="D31" s="303" t="inlineStr">
        <is>
          <t>Установки для сварки ручной дуговой (постоянного тока)</t>
        </is>
      </c>
      <c r="E31" s="304" t="inlineStr">
        <is>
          <t>маш.час</t>
        </is>
      </c>
      <c r="F31" s="304" t="n">
        <v>0.25892</v>
      </c>
      <c r="G31" s="323" t="n">
        <v>8.1</v>
      </c>
      <c r="H31" s="186">
        <f>ROUND(F31*G31,2)</f>
        <v/>
      </c>
      <c r="I31" s="222" t="n"/>
    </row>
    <row r="32">
      <c r="A32" s="304" t="n">
        <v>19</v>
      </c>
      <c r="B32" s="294" t="n"/>
      <c r="C32" s="218" t="inlineStr">
        <is>
          <t>91.06.05-011</t>
        </is>
      </c>
      <c r="D32" s="303" t="inlineStr">
        <is>
          <t>Погрузчики, грузоподъемность 5 т</t>
        </is>
      </c>
      <c r="E32" s="304" t="inlineStr">
        <is>
          <t>маш.час</t>
        </is>
      </c>
      <c r="F32" s="304" t="n">
        <v>0.01736</v>
      </c>
      <c r="G32" s="323" t="n">
        <v>89.98999999999999</v>
      </c>
      <c r="H32" s="186">
        <f>ROUND(F32*G32,2)</f>
        <v/>
      </c>
      <c r="I32" s="222" t="n"/>
    </row>
    <row r="33">
      <c r="A33" s="304" t="n">
        <v>20</v>
      </c>
      <c r="B33" s="294" t="n"/>
      <c r="C33" s="218" t="inlineStr">
        <is>
          <t>91.06.01-003</t>
        </is>
      </c>
      <c r="D33" s="303" t="inlineStr">
        <is>
          <t>Домкраты гидравлические, грузоподъемность 63-100 т</t>
        </is>
      </c>
      <c r="E33" s="304" t="inlineStr">
        <is>
          <t>маш.час</t>
        </is>
      </c>
      <c r="F33" s="304" t="n">
        <v>1.489583</v>
      </c>
      <c r="G33" s="323" t="n">
        <v>0.9</v>
      </c>
      <c r="H33" s="186">
        <f>ROUND(F33*G33,2)</f>
        <v/>
      </c>
      <c r="I33" s="222" t="n"/>
    </row>
    <row r="34" ht="25.5" customHeight="1" s="256">
      <c r="A34" s="304" t="n">
        <v>21</v>
      </c>
      <c r="B34" s="294" t="n"/>
      <c r="C34" s="218" t="inlineStr">
        <is>
          <t>91.19.02-002</t>
        </is>
      </c>
      <c r="D34" s="303" t="inlineStr">
        <is>
          <t>Маслонасосы шестеренные, производительность 2,3 м3/час</t>
        </is>
      </c>
      <c r="E34" s="304" t="inlineStr">
        <is>
          <t>маш.час</t>
        </is>
      </c>
      <c r="F34" s="304" t="n">
        <v>1.06</v>
      </c>
      <c r="G34" s="323" t="n">
        <v>0.9</v>
      </c>
      <c r="H34" s="186">
        <f>ROUND(F34*G34,2)</f>
        <v/>
      </c>
      <c r="I34" s="222" t="n"/>
    </row>
    <row r="35">
      <c r="A35" s="304" t="n">
        <v>22</v>
      </c>
      <c r="B35" s="294" t="n"/>
      <c r="C35" s="218" t="inlineStr">
        <is>
          <t>91.17.04-042</t>
        </is>
      </c>
      <c r="D35" s="303" t="inlineStr">
        <is>
          <t>Аппараты для газовой сварки и резки</t>
        </is>
      </c>
      <c r="E35" s="304" t="inlineStr">
        <is>
          <t>маш.час</t>
        </is>
      </c>
      <c r="F35" s="304" t="n">
        <v>0.765937</v>
      </c>
      <c r="G35" s="323" t="n">
        <v>1.2</v>
      </c>
      <c r="H35" s="186">
        <f>ROUND(F35*G35,2)</f>
        <v/>
      </c>
      <c r="I35" s="222" t="n"/>
    </row>
    <row r="36">
      <c r="A36" s="304" t="n">
        <v>23</v>
      </c>
      <c r="B36" s="294" t="n"/>
      <c r="C36" s="218" t="inlineStr">
        <is>
          <t>91.14.02-002</t>
        </is>
      </c>
      <c r="D36" s="303" t="inlineStr">
        <is>
          <t>Автомобили бортовые, грузоподъемность до 8 т</t>
        </is>
      </c>
      <c r="E36" s="304" t="inlineStr">
        <is>
          <t>маш.час</t>
        </is>
      </c>
      <c r="F36" s="304" t="n">
        <v>0.009114000000000001</v>
      </c>
      <c r="G36" s="323" t="n">
        <v>85.84</v>
      </c>
      <c r="H36" s="186">
        <f>ROUND(F36*G36,2)</f>
        <v/>
      </c>
      <c r="I36" s="222" t="n"/>
    </row>
    <row r="37">
      <c r="A37" s="304" t="n">
        <v>24</v>
      </c>
      <c r="B37" s="294" t="n"/>
      <c r="C37" s="218" t="inlineStr">
        <is>
          <t>91.07.04-001</t>
        </is>
      </c>
      <c r="D37" s="303" t="inlineStr">
        <is>
          <t>Вибраторы глубинные</t>
        </is>
      </c>
      <c r="E37" s="304" t="inlineStr">
        <is>
          <t>маш.час</t>
        </is>
      </c>
      <c r="F37" s="304" t="n">
        <v>0.0396</v>
      </c>
      <c r="G37" s="323" t="n">
        <v>1.9</v>
      </c>
      <c r="H37" s="186">
        <f>ROUND(F37*G37,2)</f>
        <v/>
      </c>
      <c r="I37" s="222" t="n"/>
    </row>
    <row r="38" ht="25.5" customHeight="1" s="256">
      <c r="A38" s="304" t="n">
        <v>25</v>
      </c>
      <c r="B38" s="294" t="n"/>
      <c r="C38" s="218" t="inlineStr">
        <is>
          <t>91.06.03-060</t>
        </is>
      </c>
      <c r="D38" s="303" t="inlineStr">
        <is>
          <t>Лебедки электрические тяговым усилием до 5,79 кН (0,59 т)</t>
        </is>
      </c>
      <c r="E38" s="304" t="inlineStr">
        <is>
          <t>маш.час</t>
        </is>
      </c>
      <c r="F38" s="304" t="n">
        <v>0.02439</v>
      </c>
      <c r="G38" s="323" t="n">
        <v>1.7</v>
      </c>
      <c r="H38" s="186">
        <f>ROUND(F38*G38,2)</f>
        <v/>
      </c>
      <c r="I38" s="222" t="n"/>
    </row>
    <row r="39" ht="15" customHeight="1" s="256">
      <c r="A39" s="292" t="inlineStr">
        <is>
          <t>Оборудование</t>
        </is>
      </c>
      <c r="B39" s="378" t="n"/>
      <c r="C39" s="378" t="n"/>
      <c r="D39" s="378" t="n"/>
      <c r="E39" s="379" t="n"/>
      <c r="F39" s="205" t="n"/>
      <c r="G39" s="205" t="n"/>
      <c r="H39" s="383">
        <f>SUM(H40:H40)</f>
        <v/>
      </c>
    </row>
    <row r="40" ht="25.5" customHeight="1" s="256">
      <c r="A40" s="207" t="n">
        <v>26</v>
      </c>
      <c r="B40" s="292" t="n"/>
      <c r="C40" s="218" t="inlineStr">
        <is>
          <t>Прайс из СД ОП</t>
        </is>
      </c>
      <c r="D40" s="303" t="inlineStr">
        <is>
          <t>Выключатель номинальный ток 2000 А, номинальный ток отключения 25 кА</t>
        </is>
      </c>
      <c r="E40" s="304" t="inlineStr">
        <is>
          <t>шт</t>
        </is>
      </c>
      <c r="F40" s="385" t="n">
        <v>2</v>
      </c>
      <c r="G40" s="186" t="n"/>
      <c r="H40" s="186">
        <f>ROUND(F40*G40,2)</f>
        <v/>
      </c>
      <c r="I40" s="224" t="n"/>
    </row>
    <row r="41">
      <c r="A41" s="293" t="inlineStr">
        <is>
          <t>Материалы</t>
        </is>
      </c>
      <c r="B41" s="378" t="n"/>
      <c r="C41" s="378" t="n"/>
      <c r="D41" s="378" t="n"/>
      <c r="E41" s="379" t="n"/>
      <c r="F41" s="293" t="n"/>
      <c r="G41" s="226" t="n"/>
      <c r="H41" s="383">
        <f>SUM(H42:H82)</f>
        <v/>
      </c>
    </row>
    <row r="42" ht="25.5" customHeight="1" s="256">
      <c r="A42" s="207" t="n">
        <v>27</v>
      </c>
      <c r="B42" s="294" t="n"/>
      <c r="C42" s="218" t="inlineStr">
        <is>
          <t>Прайс из СД ОП</t>
        </is>
      </c>
      <c r="D42" s="303" t="inlineStr">
        <is>
          <t>Винтовая свая  СВС 219(8)-500(8)-5000 с антикоррозийным покрытием (с доставкой до объекта)</t>
        </is>
      </c>
      <c r="E42" s="304" t="inlineStr">
        <is>
          <t>шт</t>
        </is>
      </c>
      <c r="F42" s="304" t="n">
        <v>4</v>
      </c>
      <c r="G42" s="186" t="n">
        <v>8585.299999999999</v>
      </c>
      <c r="H42" s="186">
        <f>ROUND(F42*G42,2)</f>
        <v/>
      </c>
      <c r="I42" s="224" t="n"/>
    </row>
    <row r="43" ht="25.5" customHeight="1" s="256">
      <c r="A43" s="207" t="n">
        <v>28</v>
      </c>
      <c r="B43" s="294" t="n"/>
      <c r="C43" s="218" t="inlineStr">
        <is>
          <t>07.2.07.04-0014</t>
        </is>
      </c>
      <c r="D43" s="303" t="inlineStr">
        <is>
          <t>Конструкции сварные индивидуальные прочие, масса сборочной единицы от 0,1 до 0,5 т</t>
        </is>
      </c>
      <c r="E43" s="304" t="inlineStr">
        <is>
          <t>т</t>
        </is>
      </c>
      <c r="F43" s="304" t="n">
        <v>0.4694</v>
      </c>
      <c r="G43" s="186" t="n">
        <v>10046</v>
      </c>
      <c r="H43" s="186">
        <f>ROUND(F43*G43,2)</f>
        <v/>
      </c>
      <c r="I43" s="224" t="n"/>
    </row>
    <row r="44" ht="38.25" customHeight="1" s="256">
      <c r="A44" s="207" t="n">
        <v>29</v>
      </c>
      <c r="B44" s="294" t="n"/>
      <c r="C44" s="218" t="inlineStr">
        <is>
          <t>14.4.01.20-0001</t>
        </is>
      </c>
      <c r="D44" s="303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44" s="304" t="inlineStr">
        <is>
          <t>т</t>
        </is>
      </c>
      <c r="F44" s="304" t="n">
        <v>0.01626</v>
      </c>
      <c r="G44" s="186" t="n">
        <v>107351.35</v>
      </c>
      <c r="H44" s="186">
        <f>ROUND(F44*G44,2)</f>
        <v/>
      </c>
      <c r="I44" s="224" t="n"/>
    </row>
    <row r="45">
      <c r="A45" s="207" t="n">
        <v>30</v>
      </c>
      <c r="B45" s="294" t="n"/>
      <c r="C45" s="218" t="inlineStr">
        <is>
          <t>08.3.11.01-0054</t>
        </is>
      </c>
      <c r="D45" s="303" t="inlineStr">
        <is>
          <t>Швеллеры № 16-18, марка стали Ст3сп</t>
        </is>
      </c>
      <c r="E45" s="304" t="inlineStr">
        <is>
          <t>т</t>
        </is>
      </c>
      <c r="F45" s="304" t="n">
        <v>0.2715</v>
      </c>
      <c r="G45" s="186" t="n">
        <v>5200</v>
      </c>
      <c r="H45" s="186">
        <f>ROUND(F45*G45,2)</f>
        <v/>
      </c>
      <c r="I45" s="224" t="n"/>
    </row>
    <row r="46" ht="38.25" customHeight="1" s="256">
      <c r="A46" s="207" t="n">
        <v>31</v>
      </c>
      <c r="B46" s="294" t="n"/>
      <c r="C46" s="218" t="inlineStr">
        <is>
          <t>14.4.01.20-0012</t>
        </is>
      </c>
      <c r="D46" s="303" t="inlineStr">
        <is>
          <t>Грунтовка антикоррозионная цинкнаполненная быстросохнущая, преобразователь ржавчины и окалины</t>
        </is>
      </c>
      <c r="E46" s="304" t="inlineStr">
        <is>
          <t>т</t>
        </is>
      </c>
      <c r="F46" s="304" t="n">
        <v>0.012195</v>
      </c>
      <c r="G46" s="186" t="n">
        <v>86794.72</v>
      </c>
      <c r="H46" s="186">
        <f>ROUND(F46*G46,2)</f>
        <v/>
      </c>
      <c r="I46" s="224" t="n"/>
    </row>
    <row r="47" ht="38.25" customHeight="1" s="256">
      <c r="A47" s="207" t="n">
        <v>32</v>
      </c>
      <c r="B47" s="294" t="n"/>
      <c r="C47" s="218" t="inlineStr">
        <is>
          <t>08.3.12.04-0017</t>
        </is>
      </c>
      <c r="D47" s="303" t="inlineStr">
        <is>
          <t>Просечно-вытяжной прокат горячекатаный в листах мерных размеров из стали С235, шириной: 1000 мм, толщиной 5 мм</t>
        </is>
      </c>
      <c r="E47" s="304" t="inlineStr">
        <is>
          <t>т</t>
        </is>
      </c>
      <c r="F47" s="304" t="n">
        <v>0.1304</v>
      </c>
      <c r="G47" s="186" t="n">
        <v>8007</v>
      </c>
      <c r="H47" s="186">
        <f>ROUND(F47*G47,2)</f>
        <v/>
      </c>
      <c r="I47" s="224" t="n"/>
    </row>
    <row r="48" ht="63.75" customHeight="1" s="256">
      <c r="A48" s="207" t="n">
        <v>33</v>
      </c>
      <c r="B48" s="294" t="n"/>
      <c r="C48" s="218" t="inlineStr">
        <is>
          <t>08.4.01.02-0013</t>
        </is>
      </c>
      <c r="D48" s="303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48" s="304" t="inlineStr">
        <is>
          <t>т</t>
        </is>
      </c>
      <c r="F48" s="304" t="n">
        <v>0.0607</v>
      </c>
      <c r="G48" s="186" t="n">
        <v>6800</v>
      </c>
      <c r="H48" s="186">
        <f>ROUND(F48*G48,2)</f>
        <v/>
      </c>
      <c r="I48" s="224" t="n"/>
    </row>
    <row r="49">
      <c r="A49" s="207" t="n">
        <v>34</v>
      </c>
      <c r="B49" s="294" t="n"/>
      <c r="C49" s="218" t="inlineStr">
        <is>
          <t>08.3.08.02-0031</t>
        </is>
      </c>
      <c r="D49" s="303" t="inlineStr">
        <is>
          <t>Сталь угловая равнополочная размером 50х50х5 мм</t>
        </is>
      </c>
      <c r="E49" s="304" t="inlineStr">
        <is>
          <t>кг</t>
        </is>
      </c>
      <c r="F49" s="304" t="n">
        <v>68</v>
      </c>
      <c r="G49" s="186" t="n">
        <v>5.43</v>
      </c>
      <c r="H49" s="186">
        <f>ROUND(F49*G49,2)</f>
        <v/>
      </c>
      <c r="I49" s="224" t="n"/>
    </row>
    <row r="50">
      <c r="A50" s="207" t="n">
        <v>35</v>
      </c>
      <c r="B50" s="294" t="n"/>
      <c r="C50" s="218" t="inlineStr">
        <is>
          <t>01.7.03.04-0001</t>
        </is>
      </c>
      <c r="D50" s="303" t="inlineStr">
        <is>
          <t>Электроэнергия</t>
        </is>
      </c>
      <c r="E50" s="304" t="inlineStr">
        <is>
          <t>кВт-ч</t>
        </is>
      </c>
      <c r="F50" s="304" t="n">
        <v>723.84</v>
      </c>
      <c r="G50" s="186" t="n">
        <v>0.4</v>
      </c>
      <c r="H50" s="186">
        <f>ROUND(F50*G50,2)</f>
        <v/>
      </c>
      <c r="I50" s="224" t="n"/>
    </row>
    <row r="51" ht="25.5" customHeight="1" s="256">
      <c r="A51" s="207" t="n">
        <v>36</v>
      </c>
      <c r="B51" s="294" t="n"/>
      <c r="C51" s="218" t="inlineStr">
        <is>
          <t>04.1.02.05-0006</t>
        </is>
      </c>
      <c r="D51" s="303" t="inlineStr">
        <is>
          <t>Смеси бетонные тяжелого бетона (БСТ), класс B15 (М200)</t>
        </is>
      </c>
      <c r="E51" s="304" t="inlineStr">
        <is>
          <t>м3</t>
        </is>
      </c>
      <c r="F51" s="304" t="n">
        <v>0.4466</v>
      </c>
      <c r="G51" s="186" t="n">
        <v>592.76</v>
      </c>
      <c r="H51" s="186">
        <f>ROUND(F51*G51,2)</f>
        <v/>
      </c>
      <c r="I51" s="224" t="n"/>
    </row>
    <row r="52">
      <c r="A52" s="207" t="n">
        <v>37</v>
      </c>
      <c r="B52" s="294" t="n"/>
      <c r="C52" s="218" t="inlineStr">
        <is>
          <t>08.4.02.04-0001</t>
        </is>
      </c>
      <c r="D52" s="303" t="inlineStr">
        <is>
          <t>Каркасы металлические</t>
        </is>
      </c>
      <c r="E52" s="304" t="inlineStr">
        <is>
          <t>т</t>
        </is>
      </c>
      <c r="F52" s="304" t="n">
        <v>0.0288</v>
      </c>
      <c r="G52" s="186" t="n">
        <v>8200</v>
      </c>
      <c r="H52" s="186">
        <f>ROUND(F52*G52,2)</f>
        <v/>
      </c>
      <c r="I52" s="224" t="n"/>
    </row>
    <row r="53">
      <c r="A53" s="207" t="n">
        <v>38</v>
      </c>
      <c r="B53" s="294" t="n"/>
      <c r="C53" s="218" t="inlineStr">
        <is>
          <t>14.4.02.09-0001</t>
        </is>
      </c>
      <c r="D53" s="303" t="inlineStr">
        <is>
          <t>Краска</t>
        </is>
      </c>
      <c r="E53" s="304" t="inlineStr">
        <is>
          <t>кг</t>
        </is>
      </c>
      <c r="F53" s="304" t="n">
        <v>7.6</v>
      </c>
      <c r="G53" s="186" t="n">
        <v>28.6</v>
      </c>
      <c r="H53" s="186">
        <f>ROUND(F53*G53,2)</f>
        <v/>
      </c>
      <c r="I53" s="224" t="n"/>
    </row>
    <row r="54" ht="25.5" customHeight="1" s="256">
      <c r="A54" s="207" t="n">
        <v>39</v>
      </c>
      <c r="B54" s="294" t="n"/>
      <c r="C54" s="218" t="inlineStr">
        <is>
          <t>02.3.01.02-0033</t>
        </is>
      </c>
      <c r="D54" s="303" t="inlineStr">
        <is>
          <t>Песок природный обогащенный для строительных работ средний</t>
        </is>
      </c>
      <c r="E54" s="304" t="inlineStr">
        <is>
          <t>м3</t>
        </is>
      </c>
      <c r="F54" s="304" t="n">
        <v>0.7675999999999999</v>
      </c>
      <c r="G54" s="186" t="n">
        <v>70.59999999999999</v>
      </c>
      <c r="H54" s="186">
        <f>ROUND(F54*G54,2)</f>
        <v/>
      </c>
      <c r="I54" s="224" t="n"/>
    </row>
    <row r="55">
      <c r="A55" s="207" t="n">
        <v>40</v>
      </c>
      <c r="B55" s="294" t="n"/>
      <c r="C55" s="218" t="inlineStr">
        <is>
          <t>01.2.03.03-0013</t>
        </is>
      </c>
      <c r="D55" s="303" t="inlineStr">
        <is>
          <t>Мастика битумная кровельная горячая</t>
        </is>
      </c>
      <c r="E55" s="304" t="inlineStr">
        <is>
          <t>т</t>
        </is>
      </c>
      <c r="F55" s="304" t="n">
        <v>0.014688</v>
      </c>
      <c r="G55" s="186" t="n">
        <v>3390</v>
      </c>
      <c r="H55" s="186">
        <f>ROUND(F55*G55,2)</f>
        <v/>
      </c>
      <c r="I55" s="224" t="n"/>
    </row>
    <row r="56">
      <c r="A56" s="207" t="n">
        <v>41</v>
      </c>
      <c r="B56" s="294" t="n"/>
      <c r="C56" s="218" t="inlineStr">
        <is>
          <t>01.7.07.12-0022</t>
        </is>
      </c>
      <c r="D56" s="303" t="inlineStr">
        <is>
          <t>Пленка полиэтиленовая, толщина 0,2-0,5 мм</t>
        </is>
      </c>
      <c r="E56" s="304" t="inlineStr">
        <is>
          <t>м2</t>
        </is>
      </c>
      <c r="F56" s="304" t="n">
        <v>3.4272</v>
      </c>
      <c r="G56" s="186" t="n">
        <v>12.19</v>
      </c>
      <c r="H56" s="186">
        <f>ROUND(F56*G56,2)</f>
        <v/>
      </c>
      <c r="I56" s="224" t="n"/>
    </row>
    <row r="57" ht="25.5" customHeight="1" s="256">
      <c r="A57" s="207" t="n">
        <v>42</v>
      </c>
      <c r="B57" s="294" t="n"/>
      <c r="C57" s="218" t="inlineStr">
        <is>
          <t>08.3.07.01-0076</t>
        </is>
      </c>
      <c r="D57" s="303" t="inlineStr">
        <is>
          <t>Прокат полосовой, горячекатаный, марка стали Ст3сп, ширина 50-200 мм, толщина 4-5 мм</t>
        </is>
      </c>
      <c r="E57" s="304" t="inlineStr">
        <is>
          <t>т</t>
        </is>
      </c>
      <c r="F57" s="304" t="n">
        <v>0.006</v>
      </c>
      <c r="G57" s="186" t="n">
        <v>5000</v>
      </c>
      <c r="H57" s="186">
        <f>ROUND(F57*G57,2)</f>
        <v/>
      </c>
      <c r="I57" s="224" t="n"/>
    </row>
    <row r="58">
      <c r="A58" s="207" t="n">
        <v>43</v>
      </c>
      <c r="B58" s="294" t="n"/>
      <c r="C58" s="218" t="inlineStr">
        <is>
          <t>01.7.11.07-0032</t>
        </is>
      </c>
      <c r="D58" s="303" t="inlineStr">
        <is>
          <t>Электроды сварочные Э42, диаметр 4 мм</t>
        </is>
      </c>
      <c r="E58" s="304" t="inlineStr">
        <is>
          <t>т</t>
        </is>
      </c>
      <c r="F58" s="304" t="n">
        <v>0.0023005</v>
      </c>
      <c r="G58" s="186" t="n">
        <v>10315.01</v>
      </c>
      <c r="H58" s="186">
        <f>ROUND(F58*G58,2)</f>
        <v/>
      </c>
      <c r="I58" s="224" t="n"/>
    </row>
    <row r="59">
      <c r="A59" s="207" t="n">
        <v>44</v>
      </c>
      <c r="B59" s="294" t="n"/>
      <c r="C59" s="218" t="inlineStr">
        <is>
          <t>01.7.11.07-0036</t>
        </is>
      </c>
      <c r="D59" s="303" t="inlineStr">
        <is>
          <t>Электроды сварочные Э46, диаметр 4 мм</t>
        </is>
      </c>
      <c r="E59" s="304" t="inlineStr">
        <is>
          <t>кг</t>
        </is>
      </c>
      <c r="F59" s="304" t="n">
        <v>1.8796</v>
      </c>
      <c r="G59" s="186" t="n">
        <v>10.75</v>
      </c>
      <c r="H59" s="186">
        <f>ROUND(F59*G59,2)</f>
        <v/>
      </c>
      <c r="I59" s="224" t="n"/>
    </row>
    <row r="60" ht="25.5" customHeight="1" s="256">
      <c r="A60" s="207" t="n">
        <v>45</v>
      </c>
      <c r="B60" s="294" t="n"/>
      <c r="C60" s="218" t="inlineStr">
        <is>
          <t>01.3.01.06-0050</t>
        </is>
      </c>
      <c r="D60" s="303" t="inlineStr">
        <is>
          <t>Смазка универсальная тугоплавкая УТ (консталин жировой)</t>
        </is>
      </c>
      <c r="E60" s="304" t="inlineStr">
        <is>
          <t>т</t>
        </is>
      </c>
      <c r="F60" s="304" t="n">
        <v>0.001</v>
      </c>
      <c r="G60" s="186" t="n">
        <v>17500</v>
      </c>
      <c r="H60" s="186">
        <f>ROUND(F60*G60,2)</f>
        <v/>
      </c>
      <c r="I60" s="224" t="n"/>
    </row>
    <row r="61">
      <c r="A61" s="207" t="n">
        <v>46</v>
      </c>
      <c r="B61" s="294" t="n"/>
      <c r="C61" s="218" t="inlineStr">
        <is>
          <t>01.7.20.08-0031</t>
        </is>
      </c>
      <c r="D61" s="303" t="inlineStr">
        <is>
          <t>Бязь суровая</t>
        </is>
      </c>
      <c r="E61" s="304" t="inlineStr">
        <is>
          <t>10 м2</t>
        </is>
      </c>
      <c r="F61" s="304" t="n">
        <v>0.22</v>
      </c>
      <c r="G61" s="186" t="n">
        <v>79.09999999999999</v>
      </c>
      <c r="H61" s="186">
        <f>ROUND(F61*G61,2)</f>
        <v/>
      </c>
      <c r="I61" s="224" t="n"/>
    </row>
    <row r="62" ht="25.5" customHeight="1" s="256">
      <c r="A62" s="207" t="n">
        <v>47</v>
      </c>
      <c r="B62" s="294" t="n"/>
      <c r="C62" s="218" t="inlineStr">
        <is>
          <t>999-9950</t>
        </is>
      </c>
      <c r="D62" s="303" t="inlineStr">
        <is>
          <t>Вспомогательные ненормируемые ресурсы (2% от Оплаты труда рабочих)</t>
        </is>
      </c>
      <c r="E62" s="304" t="inlineStr">
        <is>
          <t>руб</t>
        </is>
      </c>
      <c r="F62" s="304" t="n">
        <v>17.04</v>
      </c>
      <c r="G62" s="186" t="n">
        <v>1</v>
      </c>
      <c r="H62" s="186">
        <f>ROUND(F62*G62,2)</f>
        <v/>
      </c>
      <c r="I62" s="224" t="n"/>
    </row>
    <row r="63">
      <c r="A63" s="207" t="n">
        <v>48</v>
      </c>
      <c r="B63" s="294" t="n"/>
      <c r="C63" s="218" t="inlineStr">
        <is>
          <t>14.5.09.07-0030</t>
        </is>
      </c>
      <c r="D63" s="303" t="inlineStr">
        <is>
          <t>Растворитель Р-4</t>
        </is>
      </c>
      <c r="E63" s="304" t="inlineStr">
        <is>
          <t>кг</t>
        </is>
      </c>
      <c r="F63" s="304" t="n">
        <v>1.70469</v>
      </c>
      <c r="G63" s="186" t="n">
        <v>9.42</v>
      </c>
      <c r="H63" s="186">
        <f>ROUND(F63*G63,2)</f>
        <v/>
      </c>
      <c r="I63" s="224" t="n"/>
    </row>
    <row r="64">
      <c r="A64" s="207" t="n">
        <v>49</v>
      </c>
      <c r="B64" s="294" t="n"/>
      <c r="C64" s="218" t="inlineStr">
        <is>
          <t>08.3.11.01-0091</t>
        </is>
      </c>
      <c r="D64" s="303" t="inlineStr">
        <is>
          <t>Швеллеры № 40, марка стали Ст0</t>
        </is>
      </c>
      <c r="E64" s="304" t="inlineStr">
        <is>
          <t>т</t>
        </is>
      </c>
      <c r="F64" s="304" t="n">
        <v>0.0009116</v>
      </c>
      <c r="G64" s="186" t="n">
        <v>4920</v>
      </c>
      <c r="H64" s="186">
        <f>ROUND(F64*G64,2)</f>
        <v/>
      </c>
      <c r="I64" s="224" t="n"/>
    </row>
    <row r="65">
      <c r="A65" s="207" t="n">
        <v>50</v>
      </c>
      <c r="B65" s="294" t="n"/>
      <c r="C65" s="218" t="inlineStr">
        <is>
          <t>01.3.02.08-0001</t>
        </is>
      </c>
      <c r="D65" s="303" t="inlineStr">
        <is>
          <t>Кислород газообразный технический</t>
        </is>
      </c>
      <c r="E65" s="304" t="inlineStr">
        <is>
          <t>м3</t>
        </is>
      </c>
      <c r="F65" s="304" t="n">
        <v>0.643763</v>
      </c>
      <c r="G65" s="186" t="n">
        <v>6.22</v>
      </c>
      <c r="H65" s="186">
        <f>ROUND(F65*G65,2)</f>
        <v/>
      </c>
      <c r="I65" s="224" t="n"/>
    </row>
    <row r="66">
      <c r="A66" s="207" t="n">
        <v>51</v>
      </c>
      <c r="B66" s="294" t="n"/>
      <c r="C66" s="218" t="inlineStr">
        <is>
          <t>01.3.01.03-0002</t>
        </is>
      </c>
      <c r="D66" s="303" t="inlineStr">
        <is>
          <t>Керосин для технических целей</t>
        </is>
      </c>
      <c r="E66" s="304" t="inlineStr">
        <is>
          <t>т</t>
        </is>
      </c>
      <c r="F66" s="304" t="n">
        <v>0.0014688</v>
      </c>
      <c r="G66" s="186" t="n">
        <v>2606.9</v>
      </c>
      <c r="H66" s="186">
        <f>ROUND(F66*G66,2)</f>
        <v/>
      </c>
      <c r="I66" s="224" t="n"/>
    </row>
    <row r="67" ht="38.25" customHeight="1" s="256">
      <c r="A67" s="207" t="n">
        <v>52</v>
      </c>
      <c r="B67" s="294" t="n"/>
      <c r="C67" s="218" t="inlineStr">
        <is>
          <t>07.2.07.12-0020</t>
        </is>
      </c>
      <c r="D67" s="30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67" s="304" t="inlineStr">
        <is>
          <t>т</t>
        </is>
      </c>
      <c r="F67" s="304" t="n">
        <v>0.0004699</v>
      </c>
      <c r="G67" s="186" t="n">
        <v>7712</v>
      </c>
      <c r="H67" s="186">
        <f>ROUND(F67*G67,2)</f>
        <v/>
      </c>
      <c r="I67" s="224" t="n"/>
    </row>
    <row r="68">
      <c r="A68" s="207" t="n">
        <v>53</v>
      </c>
      <c r="B68" s="294" t="n"/>
      <c r="C68" s="218" t="inlineStr">
        <is>
          <t>14.4.01.01-0003</t>
        </is>
      </c>
      <c r="D68" s="303" t="inlineStr">
        <is>
          <t>Грунтовка ГФ-021</t>
        </is>
      </c>
      <c r="E68" s="304" t="inlineStr">
        <is>
          <t>т</t>
        </is>
      </c>
      <c r="F68" s="304" t="n">
        <v>0.0001457</v>
      </c>
      <c r="G68" s="186" t="n">
        <v>15620</v>
      </c>
      <c r="H68" s="186">
        <f>ROUND(F68*G68,2)</f>
        <v/>
      </c>
      <c r="I68" s="224" t="n"/>
    </row>
    <row r="69">
      <c r="A69" s="207" t="n">
        <v>54</v>
      </c>
      <c r="B69" s="294" t="n"/>
      <c r="C69" s="218" t="inlineStr">
        <is>
          <t>01.7.20.08-0071</t>
        </is>
      </c>
      <c r="D69" s="303" t="inlineStr">
        <is>
          <t>Канат пеньковый пропитанный</t>
        </is>
      </c>
      <c r="E69" s="304" t="inlineStr">
        <is>
          <t>т</t>
        </is>
      </c>
      <c r="F69" s="304" t="n">
        <v>4.7e-05</v>
      </c>
      <c r="G69" s="186" t="n">
        <v>37900</v>
      </c>
      <c r="H69" s="186">
        <f>ROUND(F69*G69,2)</f>
        <v/>
      </c>
      <c r="I69" s="224" t="n"/>
    </row>
    <row r="70">
      <c r="A70" s="207" t="n">
        <v>55</v>
      </c>
      <c r="B70" s="294" t="n"/>
      <c r="C70" s="218" t="inlineStr">
        <is>
          <t>01.2.01.02-0054</t>
        </is>
      </c>
      <c r="D70" s="303" t="inlineStr">
        <is>
          <t>Битумы нефтяные строительные БН-90/10</t>
        </is>
      </c>
      <c r="E70" s="304" t="inlineStr">
        <is>
          <t>т</t>
        </is>
      </c>
      <c r="F70" s="304" t="n">
        <v>0.0009791999999999999</v>
      </c>
      <c r="G70" s="186" t="n">
        <v>1383.1</v>
      </c>
      <c r="H70" s="186">
        <f>ROUND(F70*G70,2)</f>
        <v/>
      </c>
      <c r="I70" s="224" t="n"/>
    </row>
    <row r="71">
      <c r="A71" s="207" t="n">
        <v>56</v>
      </c>
      <c r="B71" s="294" t="n"/>
      <c r="C71" s="218" t="inlineStr">
        <is>
          <t>01.3.02.09-0022</t>
        </is>
      </c>
      <c r="D71" s="303" t="inlineStr">
        <is>
          <t>Пропан-бутан смесь техническая</t>
        </is>
      </c>
      <c r="E71" s="304" t="inlineStr">
        <is>
          <t>кг</t>
        </is>
      </c>
      <c r="F71" s="304" t="n">
        <v>0.192659</v>
      </c>
      <c r="G71" s="186" t="n">
        <v>6.09</v>
      </c>
      <c r="H71" s="186">
        <f>ROUND(F71*G71,2)</f>
        <v/>
      </c>
      <c r="I71" s="224" t="n"/>
    </row>
    <row r="72">
      <c r="A72" s="207" t="n">
        <v>57</v>
      </c>
      <c r="B72" s="294" t="n"/>
      <c r="C72" s="218" t="inlineStr">
        <is>
          <t>01.7.11.07-0034</t>
        </is>
      </c>
      <c r="D72" s="303" t="inlineStr">
        <is>
          <t>Электроды сварочные Э42А, диаметр 4 мм</t>
        </is>
      </c>
      <c r="E72" s="304" t="inlineStr">
        <is>
          <t>кг</t>
        </is>
      </c>
      <c r="F72" s="304" t="n">
        <v>0.1</v>
      </c>
      <c r="G72" s="186" t="n">
        <v>10.57</v>
      </c>
      <c r="H72" s="186">
        <f>ROUND(F72*G72,2)</f>
        <v/>
      </c>
      <c r="I72" s="224" t="n"/>
    </row>
    <row r="73">
      <c r="A73" s="207" t="n">
        <v>58</v>
      </c>
      <c r="B73" s="294" t="n"/>
      <c r="C73" s="218" t="inlineStr">
        <is>
          <t>11.2.13.04-0012</t>
        </is>
      </c>
      <c r="D73" s="303" t="inlineStr">
        <is>
          <t>Щиты из досок, толщина 40 мм</t>
        </is>
      </c>
      <c r="E73" s="304" t="inlineStr">
        <is>
          <t>м2</t>
        </is>
      </c>
      <c r="F73" s="304" t="n">
        <v>0.01584</v>
      </c>
      <c r="G73" s="186" t="n">
        <v>57.63</v>
      </c>
      <c r="H73" s="186">
        <f>ROUND(F73*G73,2)</f>
        <v/>
      </c>
      <c r="I73" s="224" t="n"/>
    </row>
    <row r="74" ht="25.5" customHeight="1" s="256">
      <c r="A74" s="207" t="n">
        <v>59</v>
      </c>
      <c r="B74" s="294" t="n"/>
      <c r="C74" s="218" t="inlineStr">
        <is>
          <t>11.1.03.01-0077</t>
        </is>
      </c>
      <c r="D74" s="303" t="inlineStr">
        <is>
          <t>Бруски обрезные, хвойных пород, длина 4-6,5 м, ширина 75-150 мм, толщина 40-75 мм, сорт I</t>
        </is>
      </c>
      <c r="E74" s="304" t="inlineStr">
        <is>
          <t>м3</t>
        </is>
      </c>
      <c r="F74" s="304" t="n">
        <v>0.000484</v>
      </c>
      <c r="G74" s="186" t="n">
        <v>1700</v>
      </c>
      <c r="H74" s="186">
        <f>ROUND(F74*G74,2)</f>
        <v/>
      </c>
      <c r="I74" s="224" t="n"/>
    </row>
    <row r="75">
      <c r="A75" s="207" t="n">
        <v>60</v>
      </c>
      <c r="B75" s="294" t="n"/>
      <c r="C75" s="218" t="inlineStr">
        <is>
          <t>01.7.07.12-0024</t>
        </is>
      </c>
      <c r="D75" s="303" t="inlineStr">
        <is>
          <t>Пленка полиэтиленовая, толщина 0,15 мм</t>
        </is>
      </c>
      <c r="E75" s="304" t="inlineStr">
        <is>
          <t>м2</t>
        </is>
      </c>
      <c r="F75" s="304" t="n">
        <v>0.132</v>
      </c>
      <c r="G75" s="186" t="n">
        <v>3.62</v>
      </c>
      <c r="H75" s="186">
        <f>ROUND(F75*G75,2)</f>
        <v/>
      </c>
      <c r="I75" s="224" t="n"/>
    </row>
    <row r="76" ht="36" customHeight="1" s="256">
      <c r="A76" s="207" t="n">
        <v>61</v>
      </c>
      <c r="B76" s="294" t="n"/>
      <c r="C76" s="218" t="inlineStr">
        <is>
          <t>08.2.02.11-0007</t>
        </is>
      </c>
      <c r="D76" s="30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76" s="304" t="inlineStr">
        <is>
          <t>10 м</t>
        </is>
      </c>
      <c r="F76" s="304" t="n">
        <v>0.008787100000000001</v>
      </c>
      <c r="G76" s="186" t="n">
        <v>50.24</v>
      </c>
      <c r="H76" s="186">
        <f>ROUND(F76*G76,2)</f>
        <v/>
      </c>
      <c r="I76" s="224" t="n"/>
    </row>
    <row r="77" ht="25.5" customHeight="1" s="256">
      <c r="A77" s="207" t="n">
        <v>62</v>
      </c>
      <c r="B77" s="294" t="n"/>
      <c r="C77" s="218" t="inlineStr">
        <is>
          <t>08.3.03.06-0002</t>
        </is>
      </c>
      <c r="D77" s="303" t="inlineStr">
        <is>
          <t>Проволока горячекатаная в мотках, диаметр 6,3-6,5 мм</t>
        </is>
      </c>
      <c r="E77" s="304" t="inlineStr">
        <is>
          <t>т</t>
        </is>
      </c>
      <c r="F77" s="304" t="n">
        <v>5.9e-05</v>
      </c>
      <c r="G77" s="186" t="n">
        <v>4455.2</v>
      </c>
      <c r="H77" s="186">
        <f>ROUND(F77*G77,2)</f>
        <v/>
      </c>
      <c r="I77" s="224" t="n"/>
    </row>
    <row r="78" ht="25.5" customHeight="1" s="256">
      <c r="A78" s="207" t="n">
        <v>63</v>
      </c>
      <c r="B78" s="294" t="n"/>
      <c r="C78" s="218" t="inlineStr">
        <is>
          <t>11.1.03.06-0095</t>
        </is>
      </c>
      <c r="D78" s="303" t="inlineStr">
        <is>
          <t>Доска обрезная, хвойных пород, ширина 75-150 мм, толщина 44 мм и более, длина 4-6,5 м, сорт III</t>
        </is>
      </c>
      <c r="E78" s="304" t="inlineStr">
        <is>
          <t>м3</t>
        </is>
      </c>
      <c r="F78" s="304" t="n">
        <v>0.000176</v>
      </c>
      <c r="G78" s="186" t="n">
        <v>1056</v>
      </c>
      <c r="H78" s="186">
        <f>ROUND(F78*G78,2)</f>
        <v/>
      </c>
      <c r="I78" s="224" t="n"/>
    </row>
    <row r="79">
      <c r="A79" s="207" t="n">
        <v>64</v>
      </c>
      <c r="B79" s="294" t="n"/>
      <c r="C79" s="218" t="inlineStr">
        <is>
          <t>01.7.15.06-0111</t>
        </is>
      </c>
      <c r="D79" s="303" t="inlineStr">
        <is>
          <t>Гвозди строительные</t>
        </is>
      </c>
      <c r="E79" s="304" t="inlineStr">
        <is>
          <t>т</t>
        </is>
      </c>
      <c r="F79" s="304" t="n">
        <v>1.35e-05</v>
      </c>
      <c r="G79" s="186" t="n">
        <v>11978</v>
      </c>
      <c r="H79" s="186">
        <f>ROUND(F79*G79,2)</f>
        <v/>
      </c>
      <c r="I79" s="224" t="n"/>
    </row>
    <row r="80">
      <c r="A80" s="207" t="n">
        <v>65</v>
      </c>
      <c r="B80" s="294" t="n"/>
      <c r="C80" s="218" t="inlineStr">
        <is>
          <t>03.1.02.03-0011</t>
        </is>
      </c>
      <c r="D80" s="303" t="inlineStr">
        <is>
          <t>Известь строительная негашеная комовая, сорт I</t>
        </is>
      </c>
      <c r="E80" s="304" t="inlineStr">
        <is>
          <t>т</t>
        </is>
      </c>
      <c r="F80" s="304" t="n">
        <v>4.4e-05</v>
      </c>
      <c r="G80" s="186" t="n">
        <v>734.5</v>
      </c>
      <c r="H80" s="186">
        <f>ROUND(F80*G80,2)</f>
        <v/>
      </c>
      <c r="I80" s="224" t="n"/>
    </row>
    <row r="81">
      <c r="A81" s="207" t="n">
        <v>66</v>
      </c>
      <c r="B81" s="294" t="n"/>
      <c r="C81" s="218" t="inlineStr">
        <is>
          <t>01.7.20.08-0051</t>
        </is>
      </c>
      <c r="D81" s="303" t="inlineStr">
        <is>
          <t>Ветошь</t>
        </is>
      </c>
      <c r="E81" s="304" t="inlineStr">
        <is>
          <t>кг</t>
        </is>
      </c>
      <c r="F81" s="304" t="n">
        <v>0.00612</v>
      </c>
      <c r="G81" s="186" t="n">
        <v>1.82</v>
      </c>
      <c r="H81" s="186">
        <f>ROUND(F81*G81,2)</f>
        <v/>
      </c>
      <c r="I81" s="224" t="n"/>
    </row>
    <row r="82">
      <c r="A82" s="207" t="n">
        <v>67</v>
      </c>
      <c r="B82" s="294" t="n"/>
      <c r="C82" s="218" t="inlineStr">
        <is>
          <t>01.7.03.01-0001</t>
        </is>
      </c>
      <c r="D82" s="303" t="inlineStr">
        <is>
          <t>Вода</t>
        </is>
      </c>
      <c r="E82" s="304" t="inlineStr">
        <is>
          <t>м3</t>
        </is>
      </c>
      <c r="F82" s="304" t="n">
        <v>0.003212</v>
      </c>
      <c r="G82" s="186" t="n">
        <v>2.44</v>
      </c>
      <c r="H82" s="186">
        <f>ROUND(F82*G82,2)</f>
        <v/>
      </c>
      <c r="I82" s="224" t="n"/>
    </row>
    <row r="85">
      <c r="B85" s="258" t="inlineStr">
        <is>
          <t>Составил ______________________     Д.Ю. Нефедова</t>
        </is>
      </c>
    </row>
    <row r="86">
      <c r="B86" s="227" t="inlineStr">
        <is>
          <t xml:space="preserve">                         (подпись, инициалы, фамилия)</t>
        </is>
      </c>
    </row>
    <row r="88">
      <c r="B88" s="258" t="inlineStr">
        <is>
          <t>Проверил ______________________        А.В. Костянецкая</t>
        </is>
      </c>
    </row>
    <row r="89">
      <c r="B89" s="227" t="inlineStr">
        <is>
          <t xml:space="preserve">                        (подпись, инициалы, фамилия)</t>
        </is>
      </c>
    </row>
  </sheetData>
  <mergeCells count="16">
    <mergeCell ref="A4:H4"/>
    <mergeCell ref="A39:E39"/>
    <mergeCell ref="A3:H3"/>
    <mergeCell ref="A8:A9"/>
    <mergeCell ref="E8:E9"/>
    <mergeCell ref="C8:C9"/>
    <mergeCell ref="A20:E20"/>
    <mergeCell ref="F8:F9"/>
    <mergeCell ref="A2:H2"/>
    <mergeCell ref="A41:E41"/>
    <mergeCell ref="A11:E11"/>
    <mergeCell ref="D8:D9"/>
    <mergeCell ref="B8:B9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256" min="1" max="1"/>
    <col width="36.28515625" customWidth="1" style="256" min="2" max="2"/>
    <col width="18.85546875" customWidth="1" style="256" min="3" max="3"/>
    <col width="18.28515625" customWidth="1" style="256" min="4" max="4"/>
    <col width="18.85546875" customWidth="1" style="256" min="5" max="5"/>
    <col width="9.140625" customWidth="1" style="256" min="6" max="6"/>
    <col width="13.42578125" customWidth="1" style="256" min="7" max="7"/>
    <col width="9.140625" customWidth="1" style="256" min="8" max="11"/>
    <col width="13.5703125" customWidth="1" style="256" min="12" max="12"/>
    <col width="9.140625" customWidth="1" style="256" min="13" max="13"/>
  </cols>
  <sheetData>
    <row r="1">
      <c r="B1" s="255" t="n"/>
      <c r="C1" s="255" t="n"/>
      <c r="D1" s="255" t="n"/>
      <c r="E1" s="255" t="n"/>
    </row>
    <row r="2">
      <c r="B2" s="255" t="n"/>
      <c r="C2" s="255" t="n"/>
      <c r="D2" s="255" t="n"/>
      <c r="E2" s="319" t="inlineStr">
        <is>
          <t>Приложение № 4</t>
        </is>
      </c>
    </row>
    <row r="3">
      <c r="B3" s="255" t="n"/>
      <c r="C3" s="255" t="n"/>
      <c r="D3" s="255" t="n"/>
      <c r="E3" s="255" t="n"/>
    </row>
    <row r="4">
      <c r="B4" s="255" t="n"/>
      <c r="C4" s="255" t="n"/>
      <c r="D4" s="255" t="n"/>
      <c r="E4" s="255" t="n"/>
    </row>
    <row r="5">
      <c r="B5" s="274" t="inlineStr">
        <is>
          <t>Ресурсная модель</t>
        </is>
      </c>
    </row>
    <row r="6">
      <c r="B6" s="191" t="n"/>
      <c r="C6" s="255" t="n"/>
      <c r="D6" s="255" t="n"/>
      <c r="E6" s="255" t="n"/>
    </row>
    <row r="7" ht="25.5" customHeight="1" s="256">
      <c r="B7" s="301" t="inlineStr">
        <is>
          <t>Наименование разрабатываемого показателя УНЦ — Демонтаж выключателя 35 кВ</t>
        </is>
      </c>
    </row>
    <row r="8">
      <c r="B8" s="302" t="inlineStr">
        <is>
          <t>Единица измерения  — 1 ед.</t>
        </is>
      </c>
    </row>
    <row r="9">
      <c r="B9" s="191" t="n"/>
      <c r="C9" s="255" t="n"/>
      <c r="D9" s="255" t="n"/>
      <c r="E9" s="255" t="n"/>
    </row>
    <row r="10" ht="51" customHeight="1" s="256">
      <c r="B10" s="304" t="inlineStr">
        <is>
          <t>Наименование</t>
        </is>
      </c>
      <c r="C10" s="304" t="inlineStr">
        <is>
          <t>Сметная стоимость в ценах на 01.01.2023
 (руб.)</t>
        </is>
      </c>
      <c r="D10" s="304" t="inlineStr">
        <is>
          <t>Удельный вес, 
(в СМР)</t>
        </is>
      </c>
      <c r="E10" s="304" t="inlineStr">
        <is>
          <t>Удельный вес, % 
(от всего по РМ)</t>
        </is>
      </c>
    </row>
    <row r="11">
      <c r="B11" s="129" t="inlineStr">
        <is>
          <t>Оплата труда рабочих</t>
        </is>
      </c>
      <c r="C11" s="246">
        <f>'Прил.5 Расчет СМР и ОБ'!J15</f>
        <v/>
      </c>
      <c r="D11" s="193">
        <f>C11/$C$24</f>
        <v/>
      </c>
      <c r="E11" s="193">
        <f>C11/$C$40</f>
        <v/>
      </c>
    </row>
    <row r="12">
      <c r="B12" s="129" t="inlineStr">
        <is>
          <t>Эксплуатация машин основных</t>
        </is>
      </c>
      <c r="C12" s="246">
        <f>'Прил.5 Расчет СМР и ОБ'!J24</f>
        <v/>
      </c>
      <c r="D12" s="193">
        <f>C12/$C$24</f>
        <v/>
      </c>
      <c r="E12" s="193">
        <f>C12/$C$40</f>
        <v/>
      </c>
    </row>
    <row r="13">
      <c r="B13" s="129" t="inlineStr">
        <is>
          <t>Эксплуатация машин прочих</t>
        </is>
      </c>
      <c r="C13" s="246">
        <f>'Прил.5 Расчет СМР и ОБ'!J42</f>
        <v/>
      </c>
      <c r="D13" s="193">
        <f>C13/$C$24</f>
        <v/>
      </c>
      <c r="E13" s="193">
        <f>C13/$C$40</f>
        <v/>
      </c>
    </row>
    <row r="14">
      <c r="B14" s="129" t="inlineStr">
        <is>
          <t>ЭКСПЛУАТАЦИЯ МАШИН, ВСЕГО:</t>
        </is>
      </c>
      <c r="C14" s="246">
        <f>'Прил.5 Расчет СМР и ОБ'!J44</f>
        <v/>
      </c>
      <c r="D14" s="193">
        <f>C14/$C$24</f>
        <v/>
      </c>
      <c r="E14" s="193">
        <f>C14/$C$40</f>
        <v/>
      </c>
    </row>
    <row r="15">
      <c r="B15" s="129" t="inlineStr">
        <is>
          <t>в том числе зарплата машинистов</t>
        </is>
      </c>
      <c r="C15" s="246">
        <f>'Прил.5 Расчет СМР и ОБ'!J18</f>
        <v/>
      </c>
      <c r="D15" s="193">
        <f>C15/$C$24</f>
        <v/>
      </c>
      <c r="E15" s="193">
        <f>C15/$C$40</f>
        <v/>
      </c>
    </row>
    <row r="16">
      <c r="B16" s="129" t="inlineStr">
        <is>
          <t>Материалы основные</t>
        </is>
      </c>
      <c r="C16" s="246">
        <f>'Прил.5 Расчет СМР и ОБ'!J53</f>
        <v/>
      </c>
      <c r="D16" s="193">
        <f>C16/$C$24</f>
        <v/>
      </c>
      <c r="E16" s="193">
        <f>C16/$C$40</f>
        <v/>
      </c>
    </row>
    <row r="17">
      <c r="B17" s="129" t="inlineStr">
        <is>
          <t>Материалы прочие</t>
        </is>
      </c>
      <c r="C17" s="246">
        <f>'Прил.5 Расчет СМР и ОБ'!J54</f>
        <v/>
      </c>
      <c r="D17" s="193">
        <f>C17/$C$24</f>
        <v/>
      </c>
      <c r="E17" s="193">
        <f>C17/$C$40</f>
        <v/>
      </c>
      <c r="G17" s="386" t="n"/>
    </row>
    <row r="18">
      <c r="B18" s="129" t="inlineStr">
        <is>
          <t>МАТЕРИАЛЫ, ВСЕГО:</t>
        </is>
      </c>
      <c r="C18" s="246">
        <f>C17+C16</f>
        <v/>
      </c>
      <c r="D18" s="193">
        <f>C18/$C$24</f>
        <v/>
      </c>
      <c r="E18" s="193">
        <f>C18/$C$40</f>
        <v/>
      </c>
    </row>
    <row r="19">
      <c r="B19" s="129" t="inlineStr">
        <is>
          <t>ИТОГО</t>
        </is>
      </c>
      <c r="C19" s="246">
        <f>C18+C14+C11</f>
        <v/>
      </c>
      <c r="D19" s="193" t="n"/>
      <c r="E19" s="129" t="n"/>
    </row>
    <row r="20">
      <c r="B20" s="129" t="inlineStr">
        <is>
          <t>Сметная прибыль, руб.</t>
        </is>
      </c>
      <c r="C20" s="246">
        <f>ROUND(C21*(C11+C15),2)</f>
        <v/>
      </c>
      <c r="D20" s="193">
        <f>C20/$C$24</f>
        <v/>
      </c>
      <c r="E20" s="193">
        <f>C20/$C$40</f>
        <v/>
      </c>
    </row>
    <row r="21">
      <c r="B21" s="129" t="inlineStr">
        <is>
          <t>Сметная прибыль, %</t>
        </is>
      </c>
      <c r="C21" s="195">
        <f>'Прил.5 Расчет СМР и ОБ'!D60</f>
        <v/>
      </c>
      <c r="D21" s="193" t="n"/>
      <c r="E21" s="129" t="n"/>
    </row>
    <row r="22">
      <c r="B22" s="129" t="inlineStr">
        <is>
          <t>Накладные расходы, руб.</t>
        </is>
      </c>
      <c r="C22" s="246">
        <f>ROUND(C23*(C11+C15),2)</f>
        <v/>
      </c>
      <c r="D22" s="193">
        <f>C22/$C$24</f>
        <v/>
      </c>
      <c r="E22" s="193">
        <f>C22/$C$40</f>
        <v/>
      </c>
    </row>
    <row r="23">
      <c r="B23" s="129" t="inlineStr">
        <is>
          <t>Накладные расходы, %</t>
        </is>
      </c>
      <c r="C23" s="195">
        <f>'Прил.5 Расчет СМР и ОБ'!D58</f>
        <v/>
      </c>
      <c r="D23" s="193" t="n"/>
      <c r="E23" s="129" t="n"/>
    </row>
    <row r="24">
      <c r="B24" s="129" t="inlineStr">
        <is>
          <t>ВСЕГО СМР с НР и СП</t>
        </is>
      </c>
      <c r="C24" s="246">
        <f>C19+C20+C22</f>
        <v/>
      </c>
      <c r="D24" s="193">
        <f>C24/$C$24</f>
        <v/>
      </c>
      <c r="E24" s="193">
        <f>C24/$C$40</f>
        <v/>
      </c>
    </row>
    <row r="25" ht="25.5" customHeight="1" s="256">
      <c r="B25" s="129" t="inlineStr">
        <is>
          <t>ВСЕГО стоимость оборудования, в том числе</t>
        </is>
      </c>
      <c r="C25" s="246">
        <f>'Прил.5 Расчет СМР и ОБ'!J49</f>
        <v/>
      </c>
      <c r="D25" s="193" t="n"/>
      <c r="E25" s="193">
        <f>C25/$C$40</f>
        <v/>
      </c>
    </row>
    <row r="26" ht="25.5" customHeight="1" s="256">
      <c r="B26" s="129" t="inlineStr">
        <is>
          <t>стоимость оборудования технологического</t>
        </is>
      </c>
      <c r="C26" s="246">
        <f>'Прил.5 Расчет СМР и ОБ'!J50</f>
        <v/>
      </c>
      <c r="D26" s="193" t="n"/>
      <c r="E26" s="193">
        <f>C26/$C$40</f>
        <v/>
      </c>
    </row>
    <row r="27">
      <c r="B27" s="129" t="inlineStr">
        <is>
          <t>ИТОГО (СМР + ОБОРУДОВАНИЕ)</t>
        </is>
      </c>
      <c r="C27" s="196">
        <f>'Прил.5 Расчет СМР и ОБ'!J63</f>
        <v/>
      </c>
      <c r="D27" s="193" t="n"/>
      <c r="E27" s="193">
        <f>C27/$C$40</f>
        <v/>
      </c>
      <c r="G27" s="197" t="n"/>
    </row>
    <row r="28" ht="33" customHeight="1" s="256">
      <c r="B28" s="129" t="inlineStr">
        <is>
          <t>ПРОЧ. ЗАТР., УЧТЕННЫЕ ПОКАЗАТЕЛЕМ,  в том числе</t>
        </is>
      </c>
      <c r="C28" s="129" t="n"/>
      <c r="D28" s="129" t="n"/>
      <c r="E28" s="129" t="n"/>
    </row>
    <row r="29" ht="25.5" customHeight="1" s="256">
      <c r="B29" s="129" t="inlineStr">
        <is>
          <t>Временные здания и сооружения - 2,5%</t>
        </is>
      </c>
      <c r="C29" s="196">
        <f>ROUND(C24*2.5%,2)</f>
        <v/>
      </c>
      <c r="D29" s="129" t="n"/>
      <c r="E29" s="193">
        <f>C29/$C$40</f>
        <v/>
      </c>
    </row>
    <row r="30" ht="38.25" customHeight="1" s="256">
      <c r="B30" s="129" t="inlineStr">
        <is>
          <t>Дополнительные затраты при производстве строительно-монтажных работ в зимнее время - 2,1%</t>
        </is>
      </c>
      <c r="C30" s="196">
        <f>ROUND((C24+C29)*2.1%,2)</f>
        <v/>
      </c>
      <c r="D30" s="129" t="n"/>
      <c r="E30" s="193">
        <f>C30/$C$40</f>
        <v/>
      </c>
    </row>
    <row r="31">
      <c r="B31" s="129" t="inlineStr">
        <is>
          <t>Пусконаладочные работы</t>
        </is>
      </c>
      <c r="C31" s="196" t="n">
        <v>0</v>
      </c>
      <c r="D31" s="129" t="n"/>
      <c r="E31" s="193">
        <f>C31/$C$40</f>
        <v/>
      </c>
    </row>
    <row r="32" ht="25.5" customHeight="1" s="256">
      <c r="B32" s="129" t="inlineStr">
        <is>
          <t>Затраты по перевозке работников к месту работы и обратно</t>
        </is>
      </c>
      <c r="C32" s="196" t="n">
        <v>0</v>
      </c>
      <c r="D32" s="129" t="n"/>
      <c r="E32" s="193">
        <f>C32/$C$40</f>
        <v/>
      </c>
    </row>
    <row r="33" ht="25.5" customHeight="1" s="256">
      <c r="B33" s="129" t="inlineStr">
        <is>
          <t>Затраты, связанные с осуществлением работ вахтовым методом</t>
        </is>
      </c>
      <c r="C33" s="196">
        <f>ROUND(C27*0%,2)</f>
        <v/>
      </c>
      <c r="D33" s="129" t="n"/>
      <c r="E33" s="193">
        <f>C33/$C$40</f>
        <v/>
      </c>
    </row>
    <row r="34" ht="51" customHeight="1" s="256">
      <c r="B34" s="12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6" t="n">
        <v>0</v>
      </c>
      <c r="D34" s="129" t="n"/>
      <c r="E34" s="193">
        <f>C34/$C$40</f>
        <v/>
      </c>
    </row>
    <row r="35" ht="76.5" customHeight="1" s="256">
      <c r="B35" s="12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6">
        <f>ROUND(C27*0%,2)</f>
        <v/>
      </c>
      <c r="D35" s="129" t="n"/>
      <c r="E35" s="193">
        <f>C35/$C$40</f>
        <v/>
      </c>
    </row>
    <row r="36" ht="25.5" customHeight="1" s="256">
      <c r="B36" s="129" t="inlineStr">
        <is>
          <t>Строительный контроль и содержание службы заказчика - 2,14%</t>
        </is>
      </c>
      <c r="C36" s="196">
        <f>ROUND((C27+C32+C33+C34+C35+C29+C31+C30)*2.14%,2)</f>
        <v/>
      </c>
      <c r="D36" s="129" t="n"/>
      <c r="E36" s="193">
        <f>C36/$C$40</f>
        <v/>
      </c>
      <c r="G36" s="198" t="n"/>
      <c r="L36" s="197" t="n"/>
    </row>
    <row r="37">
      <c r="B37" s="129" t="inlineStr">
        <is>
          <t>Авторский надзор - 0,2%</t>
        </is>
      </c>
      <c r="C37" s="196">
        <f>ROUND((C27+C32+C33+C34+C35+C29+C31+C30)*0.2%,2)</f>
        <v/>
      </c>
      <c r="D37" s="129" t="n"/>
      <c r="E37" s="193">
        <f>C37/$C$40</f>
        <v/>
      </c>
      <c r="G37" s="199" t="n"/>
      <c r="L37" s="197" t="n"/>
    </row>
    <row r="38" ht="38.25" customHeight="1" s="256">
      <c r="B38" s="129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129" t="n"/>
      <c r="E38" s="193">
        <f>C38/$C$40</f>
        <v/>
      </c>
    </row>
    <row r="39" ht="13.5" customHeight="1" s="256">
      <c r="B39" s="129" t="inlineStr">
        <is>
          <t>Непредвиденные расходы</t>
        </is>
      </c>
      <c r="C39" s="246">
        <f>ROUND(C38*3%,2)</f>
        <v/>
      </c>
      <c r="D39" s="129" t="n"/>
      <c r="E39" s="193">
        <f>C39/$C$38</f>
        <v/>
      </c>
    </row>
    <row r="40">
      <c r="B40" s="129" t="inlineStr">
        <is>
          <t>ВСЕГО:</t>
        </is>
      </c>
      <c r="C40" s="246">
        <f>C39+C38</f>
        <v/>
      </c>
      <c r="D40" s="129" t="n"/>
      <c r="E40" s="193">
        <f>C40/$C$40</f>
        <v/>
      </c>
    </row>
    <row r="41">
      <c r="B41" s="129" t="inlineStr">
        <is>
          <t>ИТОГО ПОКАЗАТЕЛЬ НА ЕД. ИЗМ.</t>
        </is>
      </c>
      <c r="C41" s="246">
        <f>C40/'Прил.5 Расчет СМР и ОБ'!E64</f>
        <v/>
      </c>
      <c r="D41" s="129" t="n"/>
      <c r="E41" s="129" t="n"/>
    </row>
    <row r="42">
      <c r="B42" s="248" t="n"/>
      <c r="C42" s="255" t="n"/>
      <c r="D42" s="255" t="n"/>
      <c r="E42" s="255" t="n"/>
    </row>
    <row r="43">
      <c r="B43" s="248" t="inlineStr">
        <is>
          <t>Составил ____________________________  Д.Ю. Нефедова</t>
        </is>
      </c>
      <c r="C43" s="255" t="n"/>
      <c r="D43" s="255" t="n"/>
      <c r="E43" s="255" t="n"/>
    </row>
    <row r="44">
      <c r="B44" s="248" t="inlineStr">
        <is>
          <t xml:space="preserve">(должность, подпись, инициалы, фамилия) </t>
        </is>
      </c>
      <c r="C44" s="255" t="n"/>
      <c r="D44" s="255" t="n"/>
      <c r="E44" s="255" t="n"/>
    </row>
    <row r="45">
      <c r="B45" s="248" t="n"/>
      <c r="C45" s="255" t="n"/>
      <c r="D45" s="255" t="n"/>
      <c r="E45" s="255" t="n"/>
    </row>
    <row r="46">
      <c r="B46" s="248" t="inlineStr">
        <is>
          <t>Проверил ____________________________ А.В. Костянецкая</t>
        </is>
      </c>
      <c r="C46" s="255" t="n"/>
      <c r="D46" s="255" t="n"/>
      <c r="E46" s="255" t="n"/>
    </row>
    <row r="47">
      <c r="B47" s="302" t="inlineStr">
        <is>
          <t>(должность, подпись, инициалы, фамилия)</t>
        </is>
      </c>
      <c r="D47" s="255" t="n"/>
      <c r="E47" s="255" t="n"/>
    </row>
    <row r="49">
      <c r="B49" s="255" t="n"/>
      <c r="C49" s="255" t="n"/>
      <c r="D49" s="255" t="n"/>
      <c r="E49" s="255" t="n"/>
    </row>
    <row r="50">
      <c r="B50" s="255" t="n"/>
      <c r="C50" s="255" t="n"/>
      <c r="D50" s="255" t="n"/>
      <c r="E50" s="25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topLeftCell="A56" workbookViewId="0">
      <selection activeCell="E69" sqref="E69"/>
    </sheetView>
  </sheetViews>
  <sheetFormatPr baseColWidth="8" defaultColWidth="9.140625" defaultRowHeight="15" outlineLevelRow="1"/>
  <cols>
    <col width="5.7109375" customWidth="1" style="253" min="1" max="1"/>
    <col width="22.5703125" customWidth="1" style="253" min="2" max="2"/>
    <col width="39.140625" customWidth="1" style="253" min="3" max="3"/>
    <col width="13.5703125" customWidth="1" style="253" min="4" max="4"/>
    <col width="12.7109375" customWidth="1" style="253" min="5" max="5"/>
    <col width="14.5703125" customWidth="1" style="253" min="6" max="6"/>
    <col width="15.85546875" customWidth="1" style="253" min="7" max="7"/>
    <col width="12.7109375" customWidth="1" style="253" min="8" max="8"/>
    <col width="15.85546875" customWidth="1" style="253" min="9" max="9"/>
    <col width="17.5703125" customWidth="1" style="253" min="10" max="10"/>
    <col width="10.85546875" customWidth="1" style="253" min="11" max="11"/>
    <col width="13.85546875" customWidth="1" style="253" min="12" max="12"/>
    <col width="9.140625" customWidth="1" style="256" min="13" max="13"/>
  </cols>
  <sheetData>
    <row r="1">
      <c r="M1" s="253" t="n"/>
      <c r="N1" s="253" t="n"/>
    </row>
    <row r="2" ht="15.75" customHeight="1" s="256">
      <c r="H2" s="314" t="inlineStr">
        <is>
          <t>Приложение №5</t>
        </is>
      </c>
      <c r="M2" s="253" t="n"/>
      <c r="N2" s="253" t="n"/>
    </row>
    <row r="3">
      <c r="M3" s="253" t="n"/>
      <c r="N3" s="253" t="n"/>
    </row>
    <row r="4" ht="12.75" customFormat="1" customHeight="1" s="255">
      <c r="A4" s="274" t="inlineStr">
        <is>
          <t>Расчет стоимости СМР и оборудования</t>
        </is>
      </c>
    </row>
    <row r="5" ht="12.75" customFormat="1" customHeight="1" s="255">
      <c r="A5" s="274" t="n"/>
      <c r="B5" s="274" t="n"/>
      <c r="C5" s="326" t="n"/>
      <c r="D5" s="274" t="n"/>
      <c r="E5" s="274" t="n"/>
      <c r="F5" s="274" t="n"/>
      <c r="G5" s="274" t="n"/>
      <c r="H5" s="274" t="n"/>
      <c r="I5" s="274" t="n"/>
      <c r="J5" s="274" t="n"/>
    </row>
    <row r="6" ht="12.75" customFormat="1" customHeight="1" s="255">
      <c r="A6" s="142" t="inlineStr">
        <is>
          <t>Наименование разрабатываемого показателя УНЦ</t>
        </is>
      </c>
      <c r="B6" s="143" t="n"/>
      <c r="C6" s="143" t="n"/>
      <c r="D6" s="277" t="inlineStr">
        <is>
          <t>Демонтаж выключателя 35 кВ</t>
        </is>
      </c>
    </row>
    <row r="7" ht="12.75" customFormat="1" customHeight="1" s="255">
      <c r="A7" s="277" t="inlineStr">
        <is>
          <t>Единица измерения  — 1 ед.</t>
        </is>
      </c>
      <c r="I7" s="301" t="n"/>
      <c r="J7" s="301" t="n"/>
    </row>
    <row r="8" ht="13.5" customFormat="1" customHeight="1" s="255">
      <c r="A8" s="277" t="n"/>
    </row>
    <row r="9" ht="27" customHeight="1" s="256">
      <c r="A9" s="304" t="inlineStr">
        <is>
          <t>№ пп.</t>
        </is>
      </c>
      <c r="B9" s="304" t="inlineStr">
        <is>
          <t>Код ресурса</t>
        </is>
      </c>
      <c r="C9" s="304" t="inlineStr">
        <is>
          <t>Наименование</t>
        </is>
      </c>
      <c r="D9" s="304" t="inlineStr">
        <is>
          <t>Ед. изм.</t>
        </is>
      </c>
      <c r="E9" s="304" t="inlineStr">
        <is>
          <t>Кол-во единиц по проектным данным</t>
        </is>
      </c>
      <c r="F9" s="304" t="inlineStr">
        <is>
          <t>Сметная стоимость в ценах на 01.01.2000 (руб.)</t>
        </is>
      </c>
      <c r="G9" s="379" t="n"/>
      <c r="H9" s="304" t="inlineStr">
        <is>
          <t>Удельный вес, %</t>
        </is>
      </c>
      <c r="I9" s="304" t="inlineStr">
        <is>
          <t>Сметная стоимость в ценах на 01.01.2023 (руб.)</t>
        </is>
      </c>
      <c r="J9" s="379" t="n"/>
      <c r="M9" s="253" t="n"/>
      <c r="N9" s="253" t="n"/>
    </row>
    <row r="10" ht="28.5" customHeight="1" s="256">
      <c r="A10" s="381" t="n"/>
      <c r="B10" s="381" t="n"/>
      <c r="C10" s="381" t="n"/>
      <c r="D10" s="381" t="n"/>
      <c r="E10" s="381" t="n"/>
      <c r="F10" s="304" t="inlineStr">
        <is>
          <t>на ед. изм.</t>
        </is>
      </c>
      <c r="G10" s="304" t="inlineStr">
        <is>
          <t>общая</t>
        </is>
      </c>
      <c r="H10" s="381" t="n"/>
      <c r="I10" s="304" t="inlineStr">
        <is>
          <t>на ед. изм.</t>
        </is>
      </c>
      <c r="J10" s="304" t="inlineStr">
        <is>
          <t>общая</t>
        </is>
      </c>
      <c r="M10" s="253" t="n"/>
      <c r="N10" s="253" t="n"/>
    </row>
    <row r="11">
      <c r="A11" s="304" t="n">
        <v>1</v>
      </c>
      <c r="B11" s="304" t="n">
        <v>2</v>
      </c>
      <c r="C11" s="304" t="n">
        <v>3</v>
      </c>
      <c r="D11" s="304" t="n">
        <v>4</v>
      </c>
      <c r="E11" s="304" t="n">
        <v>5</v>
      </c>
      <c r="F11" s="304" t="n">
        <v>6</v>
      </c>
      <c r="G11" s="304" t="n">
        <v>7</v>
      </c>
      <c r="H11" s="304" t="n">
        <v>8</v>
      </c>
      <c r="I11" s="317" t="n">
        <v>9</v>
      </c>
      <c r="J11" s="317" t="n">
        <v>10</v>
      </c>
      <c r="M11" s="253" t="n"/>
      <c r="N11" s="253" t="n"/>
    </row>
    <row r="12">
      <c r="A12" s="304" t="n"/>
      <c r="B12" s="292" t="inlineStr">
        <is>
          <t>Затраты труда рабочих-строителей</t>
        </is>
      </c>
      <c r="C12" s="378" t="n"/>
      <c r="D12" s="378" t="n"/>
      <c r="E12" s="378" t="n"/>
      <c r="F12" s="378" t="n"/>
      <c r="G12" s="378" t="n"/>
      <c r="H12" s="379" t="n"/>
      <c r="I12" s="157" t="n"/>
      <c r="J12" s="157" t="n"/>
    </row>
    <row r="13" ht="25.5" customHeight="1" s="256">
      <c r="A13" s="304" t="n">
        <v>1</v>
      </c>
      <c r="B13" s="218" t="inlineStr">
        <is>
          <t>1-3-9</t>
        </is>
      </c>
      <c r="C13" s="303" t="inlineStr">
        <is>
          <t>Затраты труда рабочих (средний разряд работы 3,9)</t>
        </is>
      </c>
      <c r="D13" s="304" t="inlineStr">
        <is>
          <t>чел.-ч.</t>
        </is>
      </c>
      <c r="E13" s="385">
        <f>G13/F13</f>
        <v/>
      </c>
      <c r="F13" s="186" t="n">
        <v>9.51</v>
      </c>
      <c r="G13" s="186" t="n">
        <v>1231.13</v>
      </c>
      <c r="H13" s="307">
        <f>G13/$G$14</f>
        <v/>
      </c>
      <c r="I13" s="186">
        <f>'ФОТр.тек.'!E13</f>
        <v/>
      </c>
      <c r="J13" s="186">
        <f>ROUND(I13*E13,2)</f>
        <v/>
      </c>
    </row>
    <row r="14" ht="25.5" customFormat="1" customHeight="1" s="253">
      <c r="A14" s="304" t="n"/>
      <c r="B14" s="304" t="n"/>
      <c r="C14" s="292" t="inlineStr">
        <is>
          <t>Итого по разделу "Затраты труда рабочих-строителей"</t>
        </is>
      </c>
      <c r="D14" s="304" t="inlineStr">
        <is>
          <t>чел.-ч.</t>
        </is>
      </c>
      <c r="E14" s="385">
        <f>SUM(E13:E13)</f>
        <v/>
      </c>
      <c r="F14" s="186" t="n"/>
      <c r="G14" s="186">
        <f>SUM(G13:G13)</f>
        <v/>
      </c>
      <c r="H14" s="308" t="n">
        <v>1</v>
      </c>
      <c r="I14" s="157" t="n"/>
      <c r="J14" s="186">
        <f>SUM(J13:J13)</f>
        <v/>
      </c>
      <c r="K14" s="387" t="n"/>
    </row>
    <row r="15" ht="38.25" customFormat="1" customHeight="1" s="253">
      <c r="A15" s="304" t="n"/>
      <c r="B15" s="304" t="n"/>
      <c r="C15" s="292" t="inlineStr">
        <is>
          <t>Итого по разделу "Затраты труда рабочих-строителей" 
(с коэффициентом на демонтаж 0,7)</t>
        </is>
      </c>
      <c r="D15" s="304" t="inlineStr">
        <is>
          <t>чел.-ч.</t>
        </is>
      </c>
      <c r="E15" s="305" t="n"/>
      <c r="F15" s="306" t="n"/>
      <c r="G15" s="186">
        <f>SUM(G14)*0.7</f>
        <v/>
      </c>
      <c r="H15" s="308" t="n">
        <v>1</v>
      </c>
      <c r="I15" s="157" t="n"/>
      <c r="J15" s="186">
        <f>SUM(J14)*0.7</f>
        <v/>
      </c>
    </row>
    <row r="16" ht="14.25" customFormat="1" customHeight="1" s="253">
      <c r="A16" s="304" t="n"/>
      <c r="B16" s="303" t="inlineStr">
        <is>
          <t>Затраты труда машинистов</t>
        </is>
      </c>
      <c r="C16" s="378" t="n"/>
      <c r="D16" s="378" t="n"/>
      <c r="E16" s="378" t="n"/>
      <c r="F16" s="378" t="n"/>
      <c r="G16" s="378" t="n"/>
      <c r="H16" s="379" t="n"/>
      <c r="I16" s="157" t="n"/>
      <c r="J16" s="157" t="n"/>
    </row>
    <row r="17" ht="14.25" customFormat="1" customHeight="1" s="253">
      <c r="A17" s="304" t="n">
        <v>2</v>
      </c>
      <c r="B17" s="304" t="n">
        <v>2</v>
      </c>
      <c r="C17" s="303" t="inlineStr">
        <is>
          <t>Затраты труда машинистов</t>
        </is>
      </c>
      <c r="D17" s="304" t="inlineStr">
        <is>
          <t>чел.-ч.</t>
        </is>
      </c>
      <c r="E17" s="385">
        <f>'Прил. 3'!F19</f>
        <v/>
      </c>
      <c r="F17" s="186">
        <f>G17/E17</f>
        <v/>
      </c>
      <c r="G17" s="186">
        <f>'Прил. 3'!H18</f>
        <v/>
      </c>
      <c r="H17" s="308" t="n">
        <v>1</v>
      </c>
      <c r="I17" s="186">
        <f>ROUND(F17*'Прил. 10'!D11,2)</f>
        <v/>
      </c>
      <c r="J17" s="186">
        <f>ROUND(I17*E17,2)</f>
        <v/>
      </c>
    </row>
    <row r="18" ht="25.5" customFormat="1" customHeight="1" s="253">
      <c r="A18" s="304" t="n"/>
      <c r="B18" s="304" t="n"/>
      <c r="C18" s="165" t="inlineStr">
        <is>
          <t>Затраты труда машинистов 
(с коэффициентом на демонтаж 0,7)</t>
        </is>
      </c>
      <c r="D18" s="160" t="n"/>
      <c r="E18" s="160" t="n"/>
      <c r="F18" s="160" t="n"/>
      <c r="G18" s="196">
        <f>G17*0.7</f>
        <v/>
      </c>
      <c r="H18" s="195">
        <f>H17</f>
        <v/>
      </c>
      <c r="I18" s="162" t="n"/>
      <c r="J18" s="196">
        <f>J17*0.7</f>
        <v/>
      </c>
    </row>
    <row r="19" ht="14.25" customFormat="1" customHeight="1" s="253">
      <c r="A19" s="304" t="n"/>
      <c r="B19" s="292" t="inlineStr">
        <is>
          <t>Машины и механизмы</t>
        </is>
      </c>
      <c r="C19" s="378" t="n"/>
      <c r="D19" s="378" t="n"/>
      <c r="E19" s="378" t="n"/>
      <c r="F19" s="378" t="n"/>
      <c r="G19" s="378" t="n"/>
      <c r="H19" s="379" t="n"/>
      <c r="I19" s="157" t="n"/>
      <c r="J19" s="157" t="n"/>
    </row>
    <row r="20" ht="14.25" customFormat="1" customHeight="1" s="253">
      <c r="A20" s="304" t="n"/>
      <c r="B20" s="303" t="inlineStr">
        <is>
          <t>Основные машины и механизмы</t>
        </is>
      </c>
      <c r="C20" s="378" t="n"/>
      <c r="D20" s="378" t="n"/>
      <c r="E20" s="378" t="n"/>
      <c r="F20" s="378" t="n"/>
      <c r="G20" s="378" t="n"/>
      <c r="H20" s="379" t="n"/>
      <c r="I20" s="157" t="n"/>
      <c r="J20" s="157" t="n"/>
    </row>
    <row r="21" ht="25.5" customFormat="1" customHeight="1" s="253">
      <c r="A21" s="304" t="n">
        <v>3</v>
      </c>
      <c r="B21" s="218" t="inlineStr">
        <is>
          <t>91.05.05-015</t>
        </is>
      </c>
      <c r="C21" s="303" t="inlineStr">
        <is>
          <t>Краны на автомобильном ходу, грузоподъемность 16 т</t>
        </is>
      </c>
      <c r="D21" s="304" t="inlineStr">
        <is>
          <t>маш.час</t>
        </is>
      </c>
      <c r="E21" s="385" t="n">
        <v>11.205846</v>
      </c>
      <c r="F21" s="306" t="n">
        <v>115.4</v>
      </c>
      <c r="G21" s="186">
        <f>ROUND(E21*F21,2)</f>
        <v/>
      </c>
      <c r="H21" s="307">
        <f>G21/$G$43</f>
        <v/>
      </c>
      <c r="I21" s="186">
        <f>ROUND(F21*'Прил. 10'!$D$12,2)</f>
        <v/>
      </c>
      <c r="J21" s="186">
        <f>ROUND(I21*E21,2)</f>
        <v/>
      </c>
    </row>
    <row r="22" ht="38.25" customFormat="1" customHeight="1" s="253">
      <c r="A22" s="304" t="n">
        <v>4</v>
      </c>
      <c r="B22" s="218" t="inlineStr">
        <is>
          <t>91.02.04-036</t>
        </is>
      </c>
      <c r="C22" s="303" t="inlineStr">
        <is>
          <t>Установки буровые для бурения скважин под сваи шнекового бурения, глубиной до 30 м, диаметром до 600 мм</t>
        </is>
      </c>
      <c r="D22" s="304" t="inlineStr">
        <is>
          <t>маш.час</t>
        </is>
      </c>
      <c r="E22" s="385" t="n">
        <v>1.134984</v>
      </c>
      <c r="F22" s="306" t="n">
        <v>218.17</v>
      </c>
      <c r="G22" s="186">
        <f>ROUND(E22*F22,2)</f>
        <v/>
      </c>
      <c r="H22" s="307">
        <f>G22/$G$43</f>
        <v/>
      </c>
      <c r="I22" s="186">
        <f>ROUND(F22*'Прил. 10'!$D$12,2)</f>
        <v/>
      </c>
      <c r="J22" s="186">
        <f>ROUND(I22*E22,2)</f>
        <v/>
      </c>
    </row>
    <row r="23" ht="14.25" customFormat="1" customHeight="1" s="253">
      <c r="A23" s="304" t="n"/>
      <c r="B23" s="304" t="n"/>
      <c r="C23" s="303" t="inlineStr">
        <is>
          <t>Итого основные машины и механизмы</t>
        </is>
      </c>
      <c r="D23" s="304" t="n"/>
      <c r="E23" s="385" t="n"/>
      <c r="F23" s="186" t="n"/>
      <c r="G23" s="186">
        <f>SUM(G21:G22)</f>
        <v/>
      </c>
      <c r="H23" s="308">
        <f>G23/G43</f>
        <v/>
      </c>
      <c r="I23" s="164" t="n"/>
      <c r="J23" s="186">
        <f>SUM(J21:J22)</f>
        <v/>
      </c>
    </row>
    <row r="24" ht="25.5" customFormat="1" customHeight="1" s="253">
      <c r="A24" s="304" t="n"/>
      <c r="B24" s="304" t="n"/>
      <c r="C24" s="165" t="inlineStr">
        <is>
          <t>Итого основные машины и механизмы 
(с коэффициентом на демонтаж 0,7)</t>
        </is>
      </c>
      <c r="D24" s="304" t="n"/>
      <c r="E24" s="388" t="n"/>
      <c r="F24" s="305" t="n"/>
      <c r="G24" s="186">
        <f>G23*0.7</f>
        <v/>
      </c>
      <c r="H24" s="307">
        <f>G24/G44</f>
        <v/>
      </c>
      <c r="I24" s="186" t="n"/>
      <c r="J24" s="186">
        <f>J23*0.7</f>
        <v/>
      </c>
    </row>
    <row r="25" hidden="1" outlineLevel="1" ht="25.5" customFormat="1" customHeight="1" s="253">
      <c r="A25" s="304" t="n">
        <v>5</v>
      </c>
      <c r="B25" s="218" t="inlineStr">
        <is>
          <t>91.14.02-001</t>
        </is>
      </c>
      <c r="C25" s="303" t="inlineStr">
        <is>
          <t>Автомобили бортовые, грузоподъемность до 5 т</t>
        </is>
      </c>
      <c r="D25" s="304" t="inlineStr">
        <is>
          <t>маш.час</t>
        </is>
      </c>
      <c r="E25" s="385" t="n">
        <v>2.102454</v>
      </c>
      <c r="F25" s="306" t="n">
        <v>65.70999999999999</v>
      </c>
      <c r="G25" s="186">
        <f>ROUND(E25*F25,2)</f>
        <v/>
      </c>
      <c r="H25" s="307">
        <f>G25/$G$43</f>
        <v/>
      </c>
      <c r="I25" s="186">
        <f>ROUND(F25*'Прил. 10'!$D$12,2)</f>
        <v/>
      </c>
      <c r="J25" s="186">
        <f>ROUND(I25*E25,2)</f>
        <v/>
      </c>
    </row>
    <row r="26" hidden="1" outlineLevel="1" ht="25.5" customFormat="1" customHeight="1" s="253">
      <c r="A26" s="304" t="n">
        <v>6</v>
      </c>
      <c r="B26" s="218" t="inlineStr">
        <is>
          <t>91.17.04-171</t>
        </is>
      </c>
      <c r="C26" s="303" t="inlineStr">
        <is>
          <t>Преобразователи сварочные номинальным сварочным током 315-500 А</t>
        </is>
      </c>
      <c r="D26" s="304" t="inlineStr">
        <is>
          <t>маш.час</t>
        </is>
      </c>
      <c r="E26" s="385" t="n">
        <v>2.894584</v>
      </c>
      <c r="F26" s="306" t="n">
        <v>12.31</v>
      </c>
      <c r="G26" s="186">
        <f>ROUND(E26*F26,2)</f>
        <v/>
      </c>
      <c r="H26" s="307">
        <f>G26/$G$43</f>
        <v/>
      </c>
      <c r="I26" s="186">
        <f>ROUND(F26*'Прил. 10'!$D$12,2)</f>
        <v/>
      </c>
      <c r="J26" s="186">
        <f>ROUND(I26*E26,2)</f>
        <v/>
      </c>
    </row>
    <row r="27" hidden="1" outlineLevel="1" ht="38.25" customFormat="1" customHeight="1" s="253">
      <c r="A27" s="304" t="n">
        <v>7</v>
      </c>
      <c r="B27" s="218" t="inlineStr">
        <is>
          <t>91.21.01-012</t>
        </is>
      </c>
      <c r="C27" s="303" t="inlineStr">
        <is>
          <t>Агрегаты окрасочные высокого давления для окраски поверхностей конструкций, мощность 1 кВт</t>
        </is>
      </c>
      <c r="D27" s="304" t="inlineStr">
        <is>
          <t>маш.час</t>
        </is>
      </c>
      <c r="E27" s="385" t="n">
        <v>2.39835</v>
      </c>
      <c r="F27" s="306" t="n">
        <v>6.82</v>
      </c>
      <c r="G27" s="186">
        <f>ROUND(E27*F27,2)</f>
        <v/>
      </c>
      <c r="H27" s="307">
        <f>G27/$G$43</f>
        <v/>
      </c>
      <c r="I27" s="186">
        <f>ROUND(F27*'Прил. 10'!$D$12,2)</f>
        <v/>
      </c>
      <c r="J27" s="186">
        <f>ROUND(I27*E27,2)</f>
        <v/>
      </c>
    </row>
    <row r="28" hidden="1" outlineLevel="1" ht="38.25" customFormat="1" customHeight="1" s="253">
      <c r="A28" s="304" t="n">
        <v>8</v>
      </c>
      <c r="B28" s="218" t="inlineStr">
        <is>
          <t>91.17.04-036</t>
        </is>
      </c>
      <c r="C28" s="303" t="inlineStr">
        <is>
          <t>Агрегаты сварочные передвижные с дизельным двигателем, номинальный сварочный ток 250-400 А</t>
        </is>
      </c>
      <c r="D28" s="304" t="inlineStr">
        <is>
          <t>маш.час</t>
        </is>
      </c>
      <c r="E28" s="385" t="n">
        <v>0.993426</v>
      </c>
      <c r="F28" s="306" t="n">
        <v>14</v>
      </c>
      <c r="G28" s="186">
        <f>ROUND(E28*F28,2)</f>
        <v/>
      </c>
      <c r="H28" s="307">
        <f>G28/$G$43</f>
        <v/>
      </c>
      <c r="I28" s="186">
        <f>ROUND(F28*'Прил. 10'!$D$12,2)</f>
        <v/>
      </c>
      <c r="J28" s="186">
        <f>ROUND(I28*E28,2)</f>
        <v/>
      </c>
    </row>
    <row r="29" hidden="1" outlineLevel="1" ht="14.25" customFormat="1" customHeight="1" s="253">
      <c r="A29" s="304" t="n">
        <v>9</v>
      </c>
      <c r="B29" s="218" t="inlineStr">
        <is>
          <t>91.05.01-017</t>
        </is>
      </c>
      <c r="C29" s="303" t="inlineStr">
        <is>
          <t>Краны башенные, грузоподъемность 8 т</t>
        </is>
      </c>
      <c r="D29" s="304" t="inlineStr">
        <is>
          <t>маш.час</t>
        </is>
      </c>
      <c r="E29" s="385" t="n">
        <v>0.114664</v>
      </c>
      <c r="F29" s="306" t="n">
        <v>86.40000000000001</v>
      </c>
      <c r="G29" s="186">
        <f>ROUND(E29*F29,2)</f>
        <v/>
      </c>
      <c r="H29" s="307">
        <f>G29/$G$43</f>
        <v/>
      </c>
      <c r="I29" s="186">
        <f>ROUND(F29*'Прил. 10'!$D$12,2)</f>
        <v/>
      </c>
      <c r="J29" s="186">
        <f>ROUND(I29*E29,2)</f>
        <v/>
      </c>
    </row>
    <row r="30" hidden="1" outlineLevel="1" ht="14.25" customFormat="1" customHeight="1" s="253">
      <c r="A30" s="304" t="n">
        <v>10</v>
      </c>
      <c r="B30" s="218" t="inlineStr">
        <is>
          <t>91.01.01-035</t>
        </is>
      </c>
      <c r="C30" s="303" t="inlineStr">
        <is>
          <t>Бульдозеры, мощность 79 кВт (108 л.с.)</t>
        </is>
      </c>
      <c r="D30" s="304" t="inlineStr">
        <is>
          <t>маш.час</t>
        </is>
      </c>
      <c r="E30" s="385" t="n">
        <v>0.076532</v>
      </c>
      <c r="F30" s="306" t="n">
        <v>79.06999999999999</v>
      </c>
      <c r="G30" s="186">
        <f>ROUND(E30*F30,2)</f>
        <v/>
      </c>
      <c r="H30" s="307">
        <f>G30/$G$43</f>
        <v/>
      </c>
      <c r="I30" s="186">
        <f>ROUND(F30*'Прил. 10'!$D$12,2)</f>
        <v/>
      </c>
      <c r="J30" s="186">
        <f>ROUND(I30*E30,2)</f>
        <v/>
      </c>
    </row>
    <row r="31" hidden="1" outlineLevel="1" ht="14.25" customFormat="1" customHeight="1" s="253">
      <c r="A31" s="304" t="n">
        <v>11</v>
      </c>
      <c r="B31" s="218" t="inlineStr">
        <is>
          <t>91.05.02-005</t>
        </is>
      </c>
      <c r="C31" s="303" t="inlineStr">
        <is>
          <t>Краны козловые, грузоподъемность 32 т</t>
        </is>
      </c>
      <c r="D31" s="304" t="inlineStr">
        <is>
          <t>маш.час</t>
        </is>
      </c>
      <c r="E31" s="385" t="n">
        <v>0.04699</v>
      </c>
      <c r="F31" s="306" t="n">
        <v>120.24</v>
      </c>
      <c r="G31" s="186">
        <f>ROUND(E31*F31,2)</f>
        <v/>
      </c>
      <c r="H31" s="307">
        <f>G31/$G$43</f>
        <v/>
      </c>
      <c r="I31" s="186">
        <f>ROUND(F31*'Прил. 10'!$D$12,2)</f>
        <v/>
      </c>
      <c r="J31" s="186">
        <f>ROUND(I31*E31,2)</f>
        <v/>
      </c>
    </row>
    <row r="32" hidden="1" outlineLevel="1" ht="14.25" customFormat="1" customHeight="1" s="253">
      <c r="A32" s="304" t="n">
        <v>12</v>
      </c>
      <c r="B32" s="218" t="inlineStr">
        <is>
          <t>91.08.04-021</t>
        </is>
      </c>
      <c r="C32" s="303" t="inlineStr">
        <is>
          <t>Котлы битумные передвижные 400 л</t>
        </is>
      </c>
      <c r="D32" s="304" t="inlineStr">
        <is>
          <t>маш.час</t>
        </is>
      </c>
      <c r="E32" s="385" t="n">
        <v>0.11934</v>
      </c>
      <c r="F32" s="306" t="n">
        <v>30</v>
      </c>
      <c r="G32" s="186">
        <f>ROUND(E32*F32,2)</f>
        <v/>
      </c>
      <c r="H32" s="307">
        <f>G32/$G$43</f>
        <v/>
      </c>
      <c r="I32" s="186">
        <f>ROUND(F32*'Прил. 10'!$D$12,2)</f>
        <v/>
      </c>
      <c r="J32" s="186">
        <f>ROUND(I32*E32,2)</f>
        <v/>
      </c>
    </row>
    <row r="33" hidden="1" outlineLevel="1" ht="25.5" customFormat="1" customHeight="1" s="253">
      <c r="A33" s="304" t="n">
        <v>13</v>
      </c>
      <c r="B33" s="218" t="inlineStr">
        <is>
          <t>91.17.04-233</t>
        </is>
      </c>
      <c r="C33" s="303" t="inlineStr">
        <is>
          <t>Установки для сварки ручной дуговой (постоянного тока)</t>
        </is>
      </c>
      <c r="D33" s="304" t="inlineStr">
        <is>
          <t>маш.час</t>
        </is>
      </c>
      <c r="E33" s="385" t="n">
        <v>0.25892</v>
      </c>
      <c r="F33" s="306" t="n">
        <v>8.1</v>
      </c>
      <c r="G33" s="186">
        <f>ROUND(E33*F33,2)</f>
        <v/>
      </c>
      <c r="H33" s="307">
        <f>G33/$G$43</f>
        <v/>
      </c>
      <c r="I33" s="186">
        <f>ROUND(F33*'Прил. 10'!$D$12,2)</f>
        <v/>
      </c>
      <c r="J33" s="186">
        <f>ROUND(I33*E33,2)</f>
        <v/>
      </c>
    </row>
    <row r="34" hidden="1" outlineLevel="1" ht="14.25" customFormat="1" customHeight="1" s="253">
      <c r="A34" s="304" t="n">
        <v>14</v>
      </c>
      <c r="B34" s="218" t="inlineStr">
        <is>
          <t>91.06.05-011</t>
        </is>
      </c>
      <c r="C34" s="303" t="inlineStr">
        <is>
          <t>Погрузчики, грузоподъемность 5 т</t>
        </is>
      </c>
      <c r="D34" s="304" t="inlineStr">
        <is>
          <t>маш.час</t>
        </is>
      </c>
      <c r="E34" s="385" t="n">
        <v>0.01736</v>
      </c>
      <c r="F34" s="306" t="n">
        <v>89.98999999999999</v>
      </c>
      <c r="G34" s="186">
        <f>ROUND(E34*F34,2)</f>
        <v/>
      </c>
      <c r="H34" s="307">
        <f>G34/$G$43</f>
        <v/>
      </c>
      <c r="I34" s="186">
        <f>ROUND(F34*'Прил. 10'!$D$12,2)</f>
        <v/>
      </c>
      <c r="J34" s="186">
        <f>ROUND(I34*E34,2)</f>
        <v/>
      </c>
    </row>
    <row r="35" hidden="1" outlineLevel="1" ht="25.5" customFormat="1" customHeight="1" s="253">
      <c r="A35" s="304" t="n">
        <v>15</v>
      </c>
      <c r="B35" s="218" t="inlineStr">
        <is>
          <t>91.06.01-003</t>
        </is>
      </c>
      <c r="C35" s="303" t="inlineStr">
        <is>
          <t>Домкраты гидравлические, грузоподъемность 63-100 т</t>
        </is>
      </c>
      <c r="D35" s="304" t="inlineStr">
        <is>
          <t>маш.час</t>
        </is>
      </c>
      <c r="E35" s="385" t="n">
        <v>1.489583</v>
      </c>
      <c r="F35" s="306" t="n">
        <v>0.9</v>
      </c>
      <c r="G35" s="186">
        <f>ROUND(E35*F35,2)</f>
        <v/>
      </c>
      <c r="H35" s="307">
        <f>G35/$G$43</f>
        <v/>
      </c>
      <c r="I35" s="186">
        <f>ROUND(F35*'Прил. 10'!$D$12,2)</f>
        <v/>
      </c>
      <c r="J35" s="186">
        <f>ROUND(I35*E35,2)</f>
        <v/>
      </c>
    </row>
    <row r="36" hidden="1" outlineLevel="1" ht="25.5" customFormat="1" customHeight="1" s="253">
      <c r="A36" s="304" t="n">
        <v>16</v>
      </c>
      <c r="B36" s="218" t="inlineStr">
        <is>
          <t>91.19.02-002</t>
        </is>
      </c>
      <c r="C36" s="303" t="inlineStr">
        <is>
          <t>Маслонасосы шестеренные, производительность 2,3 м3/час</t>
        </is>
      </c>
      <c r="D36" s="304" t="inlineStr">
        <is>
          <t>маш.час</t>
        </is>
      </c>
      <c r="E36" s="385" t="n">
        <v>1.06</v>
      </c>
      <c r="F36" s="306" t="n">
        <v>0.9</v>
      </c>
      <c r="G36" s="186">
        <f>ROUND(E36*F36,2)</f>
        <v/>
      </c>
      <c r="H36" s="307">
        <f>G36/$G$43</f>
        <v/>
      </c>
      <c r="I36" s="186">
        <f>ROUND(F36*'Прил. 10'!$D$12,2)</f>
        <v/>
      </c>
      <c r="J36" s="186">
        <f>ROUND(I36*E36,2)</f>
        <v/>
      </c>
    </row>
    <row r="37" hidden="1" outlineLevel="1" ht="14.25" customFormat="1" customHeight="1" s="253">
      <c r="A37" s="304" t="n">
        <v>17</v>
      </c>
      <c r="B37" s="218" t="inlineStr">
        <is>
          <t>91.17.04-042</t>
        </is>
      </c>
      <c r="C37" s="303" t="inlineStr">
        <is>
          <t>Аппараты для газовой сварки и резки</t>
        </is>
      </c>
      <c r="D37" s="304" t="inlineStr">
        <is>
          <t>маш.час</t>
        </is>
      </c>
      <c r="E37" s="385" t="n">
        <v>0.765937</v>
      </c>
      <c r="F37" s="306" t="n">
        <v>1.2</v>
      </c>
      <c r="G37" s="186">
        <f>ROUND(E37*F37,2)</f>
        <v/>
      </c>
      <c r="H37" s="307">
        <f>G37/$G$43</f>
        <v/>
      </c>
      <c r="I37" s="186">
        <f>ROUND(F37*'Прил. 10'!$D$12,2)</f>
        <v/>
      </c>
      <c r="J37" s="186">
        <f>ROUND(I37*E37,2)</f>
        <v/>
      </c>
    </row>
    <row r="38" hidden="1" outlineLevel="1" ht="25.5" customFormat="1" customHeight="1" s="253">
      <c r="A38" s="304" t="n">
        <v>18</v>
      </c>
      <c r="B38" s="218" t="inlineStr">
        <is>
          <t>91.14.02-002</t>
        </is>
      </c>
      <c r="C38" s="303" t="inlineStr">
        <is>
          <t>Автомобили бортовые, грузоподъемность до 8 т</t>
        </is>
      </c>
      <c r="D38" s="304" t="inlineStr">
        <is>
          <t>маш.час</t>
        </is>
      </c>
      <c r="E38" s="385" t="n">
        <v>0.009114000000000001</v>
      </c>
      <c r="F38" s="306" t="n">
        <v>85.84</v>
      </c>
      <c r="G38" s="186">
        <f>ROUND(E38*F38,2)</f>
        <v/>
      </c>
      <c r="H38" s="307">
        <f>G38/$G$43</f>
        <v/>
      </c>
      <c r="I38" s="186">
        <f>ROUND(F38*'Прил. 10'!$D$12,2)</f>
        <v/>
      </c>
      <c r="J38" s="186">
        <f>ROUND(I38*E38,2)</f>
        <v/>
      </c>
    </row>
    <row r="39" hidden="1" outlineLevel="1" ht="14.25" customFormat="1" customHeight="1" s="253">
      <c r="A39" s="304" t="n">
        <v>19</v>
      </c>
      <c r="B39" s="218" t="inlineStr">
        <is>
          <t>91.07.04-001</t>
        </is>
      </c>
      <c r="C39" s="303" t="inlineStr">
        <is>
          <t>Вибраторы глубинные</t>
        </is>
      </c>
      <c r="D39" s="304" t="inlineStr">
        <is>
          <t>маш.час</t>
        </is>
      </c>
      <c r="E39" s="385" t="n">
        <v>0.0396</v>
      </c>
      <c r="F39" s="306" t="n">
        <v>1.9</v>
      </c>
      <c r="G39" s="186">
        <f>ROUND(E39*F39,2)</f>
        <v/>
      </c>
      <c r="H39" s="307">
        <f>G39/$G$43</f>
        <v/>
      </c>
      <c r="I39" s="186">
        <f>ROUND(F39*'Прил. 10'!$D$12,2)</f>
        <v/>
      </c>
      <c r="J39" s="186">
        <f>ROUND(I39*E39,2)</f>
        <v/>
      </c>
    </row>
    <row r="40" hidden="1" outlineLevel="1" ht="25.5" customFormat="1" customHeight="1" s="253">
      <c r="A40" s="304" t="n">
        <v>20</v>
      </c>
      <c r="B40" s="218" t="inlineStr">
        <is>
          <t>91.06.03-060</t>
        </is>
      </c>
      <c r="C40" s="303" t="inlineStr">
        <is>
          <t>Лебедки электрические тяговым усилием до 5,79 кН (0,59 т)</t>
        </is>
      </c>
      <c r="D40" s="304" t="inlineStr">
        <is>
          <t>маш.час</t>
        </is>
      </c>
      <c r="E40" s="385" t="n">
        <v>0.02439</v>
      </c>
      <c r="F40" s="306" t="n">
        <v>1.7</v>
      </c>
      <c r="G40" s="186">
        <f>ROUND(E40*F40,2)</f>
        <v/>
      </c>
      <c r="H40" s="307">
        <f>G40/$G$43</f>
        <v/>
      </c>
      <c r="I40" s="186">
        <f>ROUND(F40*'Прил. 10'!$D$12,2)</f>
        <v/>
      </c>
      <c r="J40" s="186">
        <f>ROUND(I40*E40,2)</f>
        <v/>
      </c>
    </row>
    <row r="41" collapsed="1" ht="14.25" customFormat="1" customHeight="1" s="253">
      <c r="A41" s="304" t="n"/>
      <c r="B41" s="304" t="n"/>
      <c r="C41" s="303" t="inlineStr">
        <is>
          <t>Итого прочие машины и механизмы</t>
        </is>
      </c>
      <c r="D41" s="304" t="n"/>
      <c r="E41" s="305" t="n"/>
      <c r="F41" s="186" t="n"/>
      <c r="G41" s="164">
        <f>SUM(G25:G40)</f>
        <v/>
      </c>
      <c r="H41" s="307">
        <f>G41/G43</f>
        <v/>
      </c>
      <c r="I41" s="186" t="n"/>
      <c r="J41" s="164">
        <f>SUM(J25:J40)</f>
        <v/>
      </c>
    </row>
    <row r="42" ht="25.5" customFormat="1" customHeight="1" s="253">
      <c r="A42" s="304" t="n"/>
      <c r="B42" s="304" t="n"/>
      <c r="C42" s="165" t="inlineStr">
        <is>
          <t>Итого прочие машины и механизмы 
(с коэффициентом на демонтаж 0,7)</t>
        </is>
      </c>
      <c r="D42" s="304" t="n"/>
      <c r="E42" s="305" t="n"/>
      <c r="F42" s="186" t="n"/>
      <c r="G42" s="186">
        <f>G41*0.7</f>
        <v/>
      </c>
      <c r="H42" s="307">
        <f>G42/G44</f>
        <v/>
      </c>
      <c r="I42" s="186" t="n"/>
      <c r="J42" s="186">
        <f>J41*0.7</f>
        <v/>
      </c>
    </row>
    <row r="43" ht="25.5" customFormat="1" customHeight="1" s="253">
      <c r="A43" s="304" t="n"/>
      <c r="B43" s="304" t="n"/>
      <c r="C43" s="292" t="inlineStr">
        <is>
          <t>Итого по разделу «Машины и механизмы»</t>
        </is>
      </c>
      <c r="D43" s="304" t="n"/>
      <c r="E43" s="305" t="n"/>
      <c r="F43" s="186" t="n"/>
      <c r="G43" s="186">
        <f>G41+G23</f>
        <v/>
      </c>
      <c r="H43" s="181" t="n">
        <v>1</v>
      </c>
      <c r="I43" s="182" t="n"/>
      <c r="J43" s="180">
        <f>J41+J23</f>
        <v/>
      </c>
    </row>
    <row r="44" ht="38.25" customFormat="1" customHeight="1" s="253">
      <c r="A44" s="304" t="n"/>
      <c r="B44" s="304" t="n"/>
      <c r="C44" s="177" t="inlineStr">
        <is>
          <t>Итого по разделу «Машины и механизмы»  
(с коэффициентом на демонтаж 0,7)</t>
        </is>
      </c>
      <c r="D44" s="318" t="n"/>
      <c r="E44" s="179" t="n"/>
      <c r="F44" s="180" t="n"/>
      <c r="G44" s="180">
        <f>G24+G42</f>
        <v/>
      </c>
      <c r="H44" s="181" t="n">
        <v>1</v>
      </c>
      <c r="I44" s="182" t="n"/>
      <c r="J44" s="180">
        <f>J24+J42</f>
        <v/>
      </c>
    </row>
    <row r="45" ht="14.25" customFormat="1" customHeight="1" s="253">
      <c r="A45" s="304" t="n"/>
      <c r="B45" s="292" t="inlineStr">
        <is>
          <t>Оборудование</t>
        </is>
      </c>
      <c r="C45" s="378" t="n"/>
      <c r="D45" s="378" t="n"/>
      <c r="E45" s="378" t="n"/>
      <c r="F45" s="378" t="n"/>
      <c r="G45" s="378" t="n"/>
      <c r="H45" s="379" t="n"/>
      <c r="I45" s="157" t="n"/>
      <c r="J45" s="157" t="n"/>
    </row>
    <row r="46">
      <c r="A46" s="304" t="n"/>
      <c r="B46" s="303" t="inlineStr">
        <is>
          <t>Основное оборудование</t>
        </is>
      </c>
      <c r="C46" s="378" t="n"/>
      <c r="D46" s="378" t="n"/>
      <c r="E46" s="378" t="n"/>
      <c r="F46" s="378" t="n"/>
      <c r="G46" s="378" t="n"/>
      <c r="H46" s="379" t="n"/>
      <c r="I46" s="157" t="n"/>
      <c r="J46" s="157" t="n"/>
    </row>
    <row r="47">
      <c r="A47" s="304" t="n"/>
      <c r="B47" s="304" t="n"/>
      <c r="C47" s="303" t="inlineStr">
        <is>
          <t>Итого основное оборудование</t>
        </is>
      </c>
      <c r="D47" s="304" t="n"/>
      <c r="E47" s="385" t="n"/>
      <c r="F47" s="306" t="n"/>
      <c r="G47" s="186" t="n">
        <v>0</v>
      </c>
      <c r="H47" s="308" t="n">
        <v>0</v>
      </c>
      <c r="I47" s="164" t="n"/>
      <c r="J47" s="186" t="n">
        <v>0</v>
      </c>
    </row>
    <row r="48">
      <c r="A48" s="304" t="n"/>
      <c r="B48" s="304" t="n"/>
      <c r="C48" s="303" t="inlineStr">
        <is>
          <t>Итого прочее оборудование</t>
        </is>
      </c>
      <c r="D48" s="304" t="n"/>
      <c r="E48" s="385" t="n"/>
      <c r="F48" s="306" t="n"/>
      <c r="G48" s="186" t="n">
        <v>0</v>
      </c>
      <c r="H48" s="307" t="n">
        <v>0</v>
      </c>
      <c r="I48" s="164" t="n"/>
      <c r="J48" s="186" t="n">
        <v>0</v>
      </c>
    </row>
    <row r="49">
      <c r="A49" s="304" t="n"/>
      <c r="B49" s="304" t="n"/>
      <c r="C49" s="292" t="inlineStr">
        <is>
          <t>Итого по разделу «Оборудование»</t>
        </is>
      </c>
      <c r="D49" s="304" t="n"/>
      <c r="E49" s="305" t="n"/>
      <c r="F49" s="306" t="n"/>
      <c r="G49" s="186">
        <f>G48+G47</f>
        <v/>
      </c>
      <c r="H49" s="308">
        <f>H48+H47</f>
        <v/>
      </c>
      <c r="I49" s="164" t="n"/>
      <c r="J49" s="186">
        <f>J48+J47</f>
        <v/>
      </c>
    </row>
    <row r="50" ht="25.5" customHeight="1" s="256">
      <c r="A50" s="304" t="n"/>
      <c r="B50" s="304" t="n"/>
      <c r="C50" s="303" t="inlineStr">
        <is>
          <t>в том числе технологическое оборудование</t>
        </is>
      </c>
      <c r="D50" s="304" t="n"/>
      <c r="E50" s="388" t="n"/>
      <c r="F50" s="306" t="n"/>
      <c r="G50" s="186" t="n">
        <v>0</v>
      </c>
      <c r="H50" s="308" t="n"/>
      <c r="I50" s="164" t="n"/>
      <c r="J50" s="186">
        <f>J49</f>
        <v/>
      </c>
    </row>
    <row r="51" ht="14.25" customFormat="1" customHeight="1" s="253">
      <c r="A51" s="304" t="n"/>
      <c r="B51" s="292" t="inlineStr">
        <is>
          <t>Материалы</t>
        </is>
      </c>
      <c r="C51" s="378" t="n"/>
      <c r="D51" s="378" t="n"/>
      <c r="E51" s="378" t="n"/>
      <c r="F51" s="378" t="n"/>
      <c r="G51" s="378" t="n"/>
      <c r="H51" s="379" t="n"/>
      <c r="I51" s="184" t="n"/>
      <c r="J51" s="184" t="n"/>
    </row>
    <row r="52" ht="14.25" customFormat="1" customHeight="1" s="253">
      <c r="A52" s="304" t="n"/>
      <c r="B52" s="303" t="inlineStr">
        <is>
          <t>Основные материалы</t>
        </is>
      </c>
      <c r="C52" s="378" t="n"/>
      <c r="D52" s="378" t="n"/>
      <c r="E52" s="378" t="n"/>
      <c r="F52" s="378" t="n"/>
      <c r="G52" s="378" t="n"/>
      <c r="H52" s="379" t="n"/>
      <c r="I52" s="184" t="n"/>
      <c r="J52" s="184" t="n"/>
    </row>
    <row r="53" ht="14.25" customFormat="1" customHeight="1" s="253">
      <c r="A53" s="304" t="n"/>
      <c r="B53" s="218" t="n"/>
      <c r="C53" s="303" t="inlineStr">
        <is>
          <t>Итого основные материалы</t>
        </is>
      </c>
      <c r="D53" s="304" t="n"/>
      <c r="E53" s="385" t="n"/>
      <c r="F53" s="186" t="n"/>
      <c r="G53" s="186" t="n">
        <v>0</v>
      </c>
      <c r="H53" s="307" t="n">
        <v>0</v>
      </c>
      <c r="I53" s="186" t="n"/>
      <c r="J53" s="186" t="n">
        <v>0</v>
      </c>
    </row>
    <row r="54" ht="14.25" customFormat="1" customHeight="1" s="253">
      <c r="A54" s="304" t="n"/>
      <c r="B54" s="304" t="n"/>
      <c r="C54" s="303" t="inlineStr">
        <is>
          <t>Итого прочие материалы</t>
        </is>
      </c>
      <c r="D54" s="304" t="n"/>
      <c r="E54" s="305" t="n"/>
      <c r="F54" s="306" t="n"/>
      <c r="G54" s="186" t="n">
        <v>0</v>
      </c>
      <c r="H54" s="307" t="n">
        <v>0</v>
      </c>
      <c r="I54" s="186" t="n"/>
      <c r="J54" s="186" t="n">
        <v>0</v>
      </c>
    </row>
    <row r="55" ht="14.25" customFormat="1" customHeight="1" s="253">
      <c r="A55" s="304" t="n"/>
      <c r="B55" s="304" t="n"/>
      <c r="C55" s="292" t="inlineStr">
        <is>
          <t>Итого по разделу «Материалы»</t>
        </is>
      </c>
      <c r="D55" s="304" t="n"/>
      <c r="E55" s="305" t="n"/>
      <c r="F55" s="306" t="n"/>
      <c r="G55" s="186">
        <f>G53+G54</f>
        <v/>
      </c>
      <c r="H55" s="307" t="n">
        <v>0</v>
      </c>
      <c r="I55" s="186" t="n"/>
      <c r="J55" s="186">
        <f>J53+J54</f>
        <v/>
      </c>
    </row>
    <row r="56" ht="14.25" customFormat="1" customHeight="1" s="253">
      <c r="A56" s="304" t="n"/>
      <c r="B56" s="304" t="n"/>
      <c r="C56" s="303" t="inlineStr">
        <is>
          <t>ИТОГО ПО РМ</t>
        </is>
      </c>
      <c r="D56" s="304" t="n"/>
      <c r="E56" s="305" t="n"/>
      <c r="F56" s="306" t="n"/>
      <c r="G56" s="186">
        <f>G14+G43</f>
        <v/>
      </c>
      <c r="H56" s="307" t="n"/>
      <c r="I56" s="186" t="n"/>
      <c r="J56" s="186">
        <f>J14+J43+J55</f>
        <v/>
      </c>
    </row>
    <row r="57" ht="25.5" customFormat="1" customHeight="1" s="253">
      <c r="A57" s="304" t="n"/>
      <c r="B57" s="304" t="n"/>
      <c r="C57" s="303" t="inlineStr">
        <is>
          <t>ИТОГО ПО РМ
(с коэффициентом на демонтаж 0,7)</t>
        </is>
      </c>
      <c r="D57" s="304" t="n"/>
      <c r="E57" s="305" t="n"/>
      <c r="F57" s="306" t="n"/>
      <c r="G57" s="186">
        <f>G15+G44</f>
        <v/>
      </c>
      <c r="H57" s="307" t="n"/>
      <c r="I57" s="186" t="n"/>
      <c r="J57" s="186">
        <f>J14*0.7+J43*0.7+J55</f>
        <v/>
      </c>
    </row>
    <row r="58" ht="14.25" customFormat="1" customHeight="1" s="253">
      <c r="A58" s="304" t="n"/>
      <c r="B58" s="304" t="n"/>
      <c r="C58" s="303" t="inlineStr">
        <is>
          <t>Накладные расходы</t>
        </is>
      </c>
      <c r="D58" s="188">
        <f>ROUND(G58/(G$17+$G$14),2)</f>
        <v/>
      </c>
      <c r="E58" s="305" t="n"/>
      <c r="F58" s="306" t="n"/>
      <c r="G58" s="186" t="n">
        <v>1390.03</v>
      </c>
      <c r="H58" s="308" t="n"/>
      <c r="I58" s="186" t="n"/>
      <c r="J58" s="186">
        <f>ROUND(D58*(J14+J17),2)</f>
        <v/>
      </c>
    </row>
    <row r="59" ht="25.5" customFormat="1" customHeight="1" s="253">
      <c r="A59" s="304" t="n"/>
      <c r="B59" s="304" t="n"/>
      <c r="C59" s="303" t="inlineStr">
        <is>
          <t>Накладные расходы 
(с коэффициентом на демонтаж 0,7)</t>
        </is>
      </c>
      <c r="D59" s="190">
        <f>ROUND(G59/(G$18+$G$15),2)</f>
        <v/>
      </c>
      <c r="E59" s="305" t="n"/>
      <c r="F59" s="306" t="n"/>
      <c r="G59" s="186">
        <f>G58*0.7</f>
        <v/>
      </c>
      <c r="H59" s="308" t="n"/>
      <c r="I59" s="186" t="n"/>
      <c r="J59" s="186">
        <f>ROUND(D59*(J15+J18),2)</f>
        <v/>
      </c>
    </row>
    <row r="60" ht="14.25" customFormat="1" customHeight="1" s="253">
      <c r="A60" s="304" t="n"/>
      <c r="B60" s="304" t="n"/>
      <c r="C60" s="303" t="inlineStr">
        <is>
          <t>Сметная прибыль</t>
        </is>
      </c>
      <c r="D60" s="188">
        <f>ROUND(G60/(G$14+G$17),2)</f>
        <v/>
      </c>
      <c r="E60" s="305" t="n"/>
      <c r="F60" s="306" t="n"/>
      <c r="G60" s="186" t="n">
        <v>750.17</v>
      </c>
      <c r="H60" s="308" t="n"/>
      <c r="I60" s="186" t="n"/>
      <c r="J60" s="186">
        <f>ROUND(D60*(J14+J17),2)</f>
        <v/>
      </c>
    </row>
    <row r="61" ht="25.5" customFormat="1" customHeight="1" s="253">
      <c r="A61" s="304" t="n"/>
      <c r="B61" s="304" t="n"/>
      <c r="C61" s="303" t="inlineStr">
        <is>
          <t>Сметная прибыль 
(с коэффициентом на демонтаж 0,7)</t>
        </is>
      </c>
      <c r="D61" s="190">
        <f>ROUND(G61/(G$15+G$18),2)</f>
        <v/>
      </c>
      <c r="E61" s="305" t="n"/>
      <c r="F61" s="306" t="n"/>
      <c r="G61" s="186">
        <f>G60*0.7</f>
        <v/>
      </c>
      <c r="H61" s="308" t="n"/>
      <c r="I61" s="186" t="n"/>
      <c r="J61" s="186">
        <f>ROUND(D61*(J15+J18),2)</f>
        <v/>
      </c>
    </row>
    <row r="62" ht="25.5" customFormat="1" customHeight="1" s="253">
      <c r="A62" s="304" t="n"/>
      <c r="B62" s="304" t="n"/>
      <c r="C62" s="303" t="inlineStr">
        <is>
          <t>Итого СМР (с НР и СП) 
(с коэффициентом на демонтаж 0,7)</t>
        </is>
      </c>
      <c r="D62" s="304" t="n"/>
      <c r="E62" s="305" t="n"/>
      <c r="F62" s="306" t="n"/>
      <c r="G62" s="186">
        <f>G57+G59+G61</f>
        <v/>
      </c>
      <c r="H62" s="308" t="n"/>
      <c r="I62" s="186" t="n"/>
      <c r="J62" s="186">
        <f>ROUND((J57+J59+J61),2)</f>
        <v/>
      </c>
    </row>
    <row r="63" ht="25.5" customFormat="1" customHeight="1" s="253">
      <c r="A63" s="304" t="n"/>
      <c r="B63" s="304" t="n"/>
      <c r="C63" s="303" t="inlineStr">
        <is>
          <t>ВСЕГО СМР + ОБОРУДОВАНИЕ 
(с коэффициентом на демонтаж 0,7)</t>
        </is>
      </c>
      <c r="D63" s="304" t="n"/>
      <c r="E63" s="305" t="n"/>
      <c r="F63" s="306" t="n"/>
      <c r="G63" s="186">
        <f>G62</f>
        <v/>
      </c>
      <c r="H63" s="308" t="n"/>
      <c r="I63" s="186" t="n"/>
      <c r="J63" s="186">
        <f>J62</f>
        <v/>
      </c>
    </row>
    <row r="64" ht="34.5" customFormat="1" customHeight="1" s="253">
      <c r="A64" s="304" t="n"/>
      <c r="B64" s="304" t="n"/>
      <c r="C64" s="303" t="inlineStr">
        <is>
          <t>ИТОГО ПОКАЗАТЕЛЬ НА ЕД. ИЗМ.</t>
        </is>
      </c>
      <c r="D64" s="304" t="inlineStr">
        <is>
          <t>1 ед.</t>
        </is>
      </c>
      <c r="E64" s="305" t="n">
        <v>2</v>
      </c>
      <c r="F64" s="306" t="n"/>
      <c r="G64" s="186">
        <f>G63/E64</f>
        <v/>
      </c>
      <c r="H64" s="308" t="n"/>
      <c r="I64" s="186" t="n"/>
      <c r="J64" s="180">
        <f>J63/E64</f>
        <v/>
      </c>
    </row>
    <row r="66" ht="14.25" customFormat="1" customHeight="1" s="253">
      <c r="A66" s="255" t="inlineStr">
        <is>
          <t>Составил ______________________     Д.Ю. Нефедова</t>
        </is>
      </c>
    </row>
    <row r="67" ht="14.25" customFormat="1" customHeight="1" s="253">
      <c r="A67" s="252" t="inlineStr">
        <is>
          <t xml:space="preserve">                         (подпись, инициалы, фамилия)</t>
        </is>
      </c>
    </row>
    <row r="68" ht="14.25" customFormat="1" customHeight="1" s="253">
      <c r="A68" s="255" t="n"/>
    </row>
    <row r="69" ht="14.25" customFormat="1" customHeight="1" s="253">
      <c r="A69" s="255" t="inlineStr">
        <is>
          <t>Проверил ______________________        А.В. Костянецкая</t>
        </is>
      </c>
    </row>
    <row r="70" ht="14.25" customFormat="1" customHeight="1" s="253">
      <c r="A70" s="25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51:H51"/>
    <mergeCell ref="B20:H20"/>
    <mergeCell ref="B45:H45"/>
    <mergeCell ref="C9:C10"/>
    <mergeCell ref="E9:E10"/>
    <mergeCell ref="A7:H7"/>
    <mergeCell ref="B16:H16"/>
    <mergeCell ref="B46:H46"/>
    <mergeCell ref="B9:B10"/>
    <mergeCell ref="D9:D10"/>
    <mergeCell ref="B52:H52"/>
    <mergeCell ref="B12:H12"/>
    <mergeCell ref="D6:J6"/>
    <mergeCell ref="A8:H8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E16" sqref="E16"/>
    </sheetView>
  </sheetViews>
  <sheetFormatPr baseColWidth="8" defaultRowHeight="15"/>
  <cols>
    <col width="5.7109375" customWidth="1" style="256" min="1" max="1"/>
    <col width="17.5703125" customWidth="1" style="256" min="2" max="2"/>
    <col width="39.140625" customWidth="1" style="256" min="3" max="3"/>
    <col width="10.7109375" customWidth="1" style="325" min="4" max="4"/>
    <col width="13.85546875" customWidth="1" style="256" min="5" max="5"/>
    <col width="13.28515625" customWidth="1" style="256" min="6" max="6"/>
    <col width="14.140625" customWidth="1" style="256" min="7" max="7"/>
    <col width="9.140625" customWidth="1" style="256" min="8" max="8"/>
  </cols>
  <sheetData>
    <row r="1">
      <c r="A1" s="319" t="inlineStr">
        <is>
          <t>Приложение №6</t>
        </is>
      </c>
    </row>
    <row r="2" ht="21.75" customHeight="1" s="256">
      <c r="A2" s="319" t="n"/>
      <c r="B2" s="319" t="n"/>
      <c r="C2" s="319" t="n"/>
      <c r="D2" s="327" t="n"/>
      <c r="E2" s="319" t="n"/>
      <c r="F2" s="319" t="n"/>
      <c r="G2" s="319" t="n"/>
    </row>
    <row r="3">
      <c r="A3" s="274" t="inlineStr">
        <is>
          <t>Расчет стоимости оборудования</t>
        </is>
      </c>
    </row>
    <row r="4" ht="25.5" customHeight="1" s="256">
      <c r="A4" s="277" t="inlineStr">
        <is>
          <t>Наименование разрабатываемого показателя УНЦ — Демонтаж выключателя 35 кВ</t>
        </is>
      </c>
    </row>
    <row r="5">
      <c r="A5" s="255" t="n"/>
      <c r="B5" s="255" t="n"/>
      <c r="C5" s="255" t="n"/>
      <c r="D5" s="327" t="n"/>
      <c r="E5" s="255" t="n"/>
      <c r="F5" s="255" t="n"/>
      <c r="G5" s="255" t="n"/>
    </row>
    <row r="6" ht="30" customHeight="1" s="256">
      <c r="A6" s="324" t="inlineStr">
        <is>
          <t>№ пп.</t>
        </is>
      </c>
      <c r="B6" s="324" t="inlineStr">
        <is>
          <t>Код ресурса</t>
        </is>
      </c>
      <c r="C6" s="324" t="inlineStr">
        <is>
          <t>Наименование</t>
        </is>
      </c>
      <c r="D6" s="324" t="inlineStr">
        <is>
          <t>Ед. изм.</t>
        </is>
      </c>
      <c r="E6" s="304" t="inlineStr">
        <is>
          <t>Кол-во единиц по проектным данным</t>
        </is>
      </c>
      <c r="F6" s="324" t="inlineStr">
        <is>
          <t>Сметная стоимость в ценах на 01.01.2000 (руб.)</t>
        </is>
      </c>
      <c r="G6" s="379" t="n"/>
    </row>
    <row r="7">
      <c r="A7" s="381" t="n"/>
      <c r="B7" s="381" t="n"/>
      <c r="C7" s="381" t="n"/>
      <c r="D7" s="381" t="n"/>
      <c r="E7" s="381" t="n"/>
      <c r="F7" s="304" t="inlineStr">
        <is>
          <t>на ед. изм.</t>
        </is>
      </c>
      <c r="G7" s="304" t="inlineStr">
        <is>
          <t>общая</t>
        </is>
      </c>
    </row>
    <row r="8">
      <c r="A8" s="304" t="n">
        <v>1</v>
      </c>
      <c r="B8" s="304" t="n">
        <v>2</v>
      </c>
      <c r="C8" s="304" t="n">
        <v>3</v>
      </c>
      <c r="D8" s="304" t="n">
        <v>4</v>
      </c>
      <c r="E8" s="304" t="n">
        <v>5</v>
      </c>
      <c r="F8" s="304" t="n">
        <v>6</v>
      </c>
      <c r="G8" s="304" t="n">
        <v>7</v>
      </c>
    </row>
    <row r="9" ht="15" customHeight="1" s="256">
      <c r="A9" s="129" t="n"/>
      <c r="B9" s="303" t="inlineStr">
        <is>
          <t>ИНЖЕНЕРНОЕ ОБОРУДОВАНИЕ</t>
        </is>
      </c>
      <c r="C9" s="378" t="n"/>
      <c r="D9" s="378" t="n"/>
      <c r="E9" s="378" t="n"/>
      <c r="F9" s="378" t="n"/>
      <c r="G9" s="379" t="n"/>
    </row>
    <row r="10" ht="27" customHeight="1" s="256">
      <c r="A10" s="304" t="n"/>
      <c r="B10" s="292" t="n"/>
      <c r="C10" s="303" t="inlineStr">
        <is>
          <t>ИТОГО ИНЖЕНЕРНОЕ ОБОРУДОВАНИЕ</t>
        </is>
      </c>
      <c r="D10" s="309" t="n"/>
      <c r="E10" s="133" t="n"/>
      <c r="F10" s="306" t="n"/>
      <c r="G10" s="306" t="n">
        <v>0</v>
      </c>
    </row>
    <row r="11">
      <c r="A11" s="304" t="n"/>
      <c r="B11" s="303" t="inlineStr">
        <is>
          <t>ТЕХНОЛОГИЧЕСКОЕ ОБОРУДОВАНИЕ</t>
        </is>
      </c>
      <c r="C11" s="378" t="n"/>
      <c r="D11" s="378" t="n"/>
      <c r="E11" s="378" t="n"/>
      <c r="F11" s="378" t="n"/>
      <c r="G11" s="379" t="n"/>
    </row>
    <row r="12" ht="25.5" customHeight="1" s="256">
      <c r="A12" s="304" t="n"/>
      <c r="B12" s="303" t="n"/>
      <c r="C12" s="303" t="inlineStr">
        <is>
          <t>ИТОГО ТЕХНОЛОГИЧЕСКОЕ ОБОРУДОВАНИЕ</t>
        </is>
      </c>
      <c r="D12" s="304" t="n"/>
      <c r="E12" s="323" t="n"/>
      <c r="F12" s="306" t="n"/>
      <c r="G12" s="186" t="n">
        <v>0</v>
      </c>
    </row>
    <row r="13" ht="19.5" customHeight="1" s="256">
      <c r="A13" s="304" t="n"/>
      <c r="B13" s="303" t="n"/>
      <c r="C13" s="303" t="inlineStr">
        <is>
          <t>Всего по разделу «Оборудование»</t>
        </is>
      </c>
      <c r="D13" s="304" t="n"/>
      <c r="E13" s="323" t="n"/>
      <c r="F13" s="306" t="n"/>
      <c r="G13" s="186">
        <f>G10+G12</f>
        <v/>
      </c>
    </row>
    <row r="14">
      <c r="A14" s="254" t="n"/>
      <c r="B14" s="250" t="n"/>
      <c r="C14" s="254" t="n"/>
      <c r="D14" s="139" t="n"/>
      <c r="E14" s="254" t="n"/>
      <c r="F14" s="254" t="n"/>
      <c r="G14" s="254" t="n"/>
    </row>
    <row r="15">
      <c r="A15" s="255" t="inlineStr">
        <is>
          <t>Составил ______________________    Д.Ю. Нефедова</t>
        </is>
      </c>
      <c r="B15" s="253" t="n"/>
      <c r="C15" s="253" t="n"/>
      <c r="D15" s="139" t="n"/>
      <c r="E15" s="254" t="n"/>
      <c r="F15" s="254" t="n"/>
      <c r="G15" s="254" t="n"/>
    </row>
    <row r="16">
      <c r="A16" s="252" t="inlineStr">
        <is>
          <t xml:space="preserve">                         (подпись, инициалы, фамилия)</t>
        </is>
      </c>
      <c r="B16" s="253" t="n"/>
      <c r="C16" s="253" t="n"/>
      <c r="D16" s="139" t="n"/>
      <c r="E16" s="254" t="n"/>
      <c r="F16" s="254" t="n"/>
      <c r="G16" s="254" t="n"/>
    </row>
    <row r="17">
      <c r="A17" s="255" t="n"/>
      <c r="B17" s="253" t="n"/>
      <c r="C17" s="253" t="n"/>
      <c r="D17" s="139" t="n"/>
      <c r="E17" s="254" t="n"/>
      <c r="F17" s="254" t="n"/>
      <c r="G17" s="254" t="n"/>
    </row>
    <row r="18">
      <c r="A18" s="255" t="inlineStr">
        <is>
          <t>Проверил ______________________        А.В. Костянецкая</t>
        </is>
      </c>
      <c r="B18" s="253" t="n"/>
      <c r="C18" s="253" t="n"/>
      <c r="D18" s="139" t="n"/>
      <c r="E18" s="254" t="n"/>
      <c r="F18" s="254" t="n"/>
      <c r="G18" s="254" t="n"/>
    </row>
    <row r="19">
      <c r="A19" s="252" t="inlineStr">
        <is>
          <t xml:space="preserve">                        (подпись, инициалы, фамилия)</t>
        </is>
      </c>
      <c r="B19" s="253" t="n"/>
      <c r="C19" s="253" t="n"/>
      <c r="D19" s="139" t="n"/>
      <c r="E19" s="254" t="n"/>
      <c r="F19" s="254" t="n"/>
      <c r="G19" s="25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C14" sqref="C14"/>
    </sheetView>
  </sheetViews>
  <sheetFormatPr baseColWidth="8" defaultColWidth="8.85546875" defaultRowHeight="15"/>
  <cols>
    <col width="14.42578125" customWidth="1" style="256" min="1" max="1"/>
    <col width="29.7109375" customWidth="1" style="256" min="2" max="2"/>
    <col width="38.140625" customWidth="1" style="256" min="3" max="3"/>
    <col width="34.42578125" customWidth="1" style="256" min="4" max="4"/>
    <col width="8.85546875" customWidth="1" style="256" min="5" max="5"/>
  </cols>
  <sheetData>
    <row r="1">
      <c r="B1" s="255" t="n"/>
      <c r="C1" s="255" t="n"/>
      <c r="D1" s="319" t="inlineStr">
        <is>
          <t>Приложение №7</t>
        </is>
      </c>
    </row>
    <row r="2">
      <c r="A2" s="319" t="n"/>
      <c r="B2" s="319" t="n"/>
      <c r="C2" s="319" t="n"/>
      <c r="D2" s="319" t="n"/>
    </row>
    <row r="3" ht="24.75" customHeight="1" s="256">
      <c r="A3" s="274" t="inlineStr">
        <is>
          <t>Расчет показателя УНЦ</t>
        </is>
      </c>
    </row>
    <row r="4" ht="24.75" customHeight="1" s="256">
      <c r="A4" s="274" t="n"/>
      <c r="B4" s="274" t="n"/>
      <c r="C4" s="274" t="n"/>
      <c r="D4" s="274" t="n"/>
    </row>
    <row r="5" ht="49.5" customHeight="1" s="256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9.9" customHeight="1" s="256">
      <c r="A6" s="277" t="inlineStr">
        <is>
          <t>Единица измерения  — 1 ед.</t>
        </is>
      </c>
      <c r="D6" s="277" t="n"/>
    </row>
    <row r="7">
      <c r="A7" s="255" t="n"/>
      <c r="B7" s="255" t="n"/>
      <c r="C7" s="255" t="n"/>
      <c r="D7" s="255" t="n"/>
    </row>
    <row r="8" ht="14.45" customHeight="1" s="256">
      <c r="A8" s="287" t="inlineStr">
        <is>
          <t>Код показателя</t>
        </is>
      </c>
      <c r="B8" s="287" t="inlineStr">
        <is>
          <t>Наименование показателя</t>
        </is>
      </c>
      <c r="C8" s="287" t="inlineStr">
        <is>
          <t>Наименование РМ, входящих в состав показателя</t>
        </is>
      </c>
      <c r="D8" s="287" t="inlineStr">
        <is>
          <t>Норматив цены на 01.01.2023, тыс.руб.</t>
        </is>
      </c>
    </row>
    <row r="9" ht="15" customHeight="1" s="256">
      <c r="A9" s="381" t="n"/>
      <c r="B9" s="381" t="n"/>
      <c r="C9" s="381" t="n"/>
      <c r="D9" s="381" t="n"/>
    </row>
    <row r="10">
      <c r="A10" s="304" t="n">
        <v>1</v>
      </c>
      <c r="B10" s="304" t="n">
        <v>2</v>
      </c>
      <c r="C10" s="304" t="n">
        <v>3</v>
      </c>
      <c r="D10" s="304" t="n">
        <v>4</v>
      </c>
    </row>
    <row r="11" ht="41.45" customHeight="1" s="256">
      <c r="A11" s="304" t="inlineStr">
        <is>
          <t>М6-07-1</t>
        </is>
      </c>
      <c r="B11" s="304" t="inlineStr">
        <is>
          <t>УНЦ на демонтажные работы ПС</t>
        </is>
      </c>
      <c r="C11" s="246" t="inlineStr">
        <is>
          <t>Демонтаж выключателя 35 кВ</t>
        </is>
      </c>
      <c r="D11" s="247">
        <f>'Прил.4 РМ'!C41/1000</f>
        <v/>
      </c>
      <c r="E11" s="248" t="n"/>
    </row>
    <row r="12">
      <c r="A12" s="254" t="n"/>
      <c r="B12" s="250" t="n"/>
      <c r="C12" s="254" t="n"/>
      <c r="D12" s="254" t="n"/>
    </row>
    <row r="13">
      <c r="A13" s="255" t="inlineStr">
        <is>
          <t>Составил ______________________      Д.Ю. Нефедова</t>
        </is>
      </c>
      <c r="B13" s="253" t="n"/>
      <c r="C13" s="253" t="n"/>
      <c r="D13" s="254" t="n"/>
    </row>
    <row r="14">
      <c r="A14" s="252" t="inlineStr">
        <is>
          <t xml:space="preserve">                         (подпись, инициалы, фамилия)</t>
        </is>
      </c>
      <c r="B14" s="253" t="n"/>
      <c r="C14" s="253" t="n"/>
      <c r="D14" s="254" t="n"/>
    </row>
    <row r="15">
      <c r="A15" s="255" t="n"/>
      <c r="B15" s="253" t="n"/>
      <c r="C15" s="253" t="n"/>
      <c r="D15" s="254" t="n"/>
    </row>
    <row r="16">
      <c r="A16" s="255" t="inlineStr">
        <is>
          <t>Проверил ______________________        А.В. Костянецкая</t>
        </is>
      </c>
      <c r="B16" s="253" t="n"/>
      <c r="C16" s="253" t="n"/>
      <c r="D16" s="254" t="n"/>
    </row>
    <row r="17">
      <c r="A17" s="252" t="inlineStr">
        <is>
          <t xml:space="preserve">                        (подпись, инициалы, фамилия)</t>
        </is>
      </c>
      <c r="B17" s="253" t="n"/>
      <c r="C17" s="253" t="n"/>
      <c r="D17" s="2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56" min="1" max="1"/>
    <col width="40.7109375" customWidth="1" style="256" min="2" max="2"/>
    <col width="37" customWidth="1" style="256" min="3" max="3"/>
    <col width="32" customWidth="1" style="256" min="4" max="4"/>
    <col width="9.140625" customWidth="1" style="256" min="5" max="5"/>
  </cols>
  <sheetData>
    <row r="4" ht="15.75" customHeight="1" s="256">
      <c r="B4" s="281" t="inlineStr">
        <is>
          <t>Приложение № 10</t>
        </is>
      </c>
    </row>
    <row r="5" ht="18.75" customHeight="1" s="256">
      <c r="B5" s="118" t="n"/>
    </row>
    <row r="6" ht="15.75" customHeight="1" s="256">
      <c r="B6" s="282" t="inlineStr">
        <is>
          <t>Используемые индексы изменений сметной стоимости и нормы сопутствующих затрат</t>
        </is>
      </c>
    </row>
    <row r="7">
      <c r="B7" s="325" t="n"/>
    </row>
    <row r="8">
      <c r="B8" s="325" t="n"/>
      <c r="C8" s="325" t="n"/>
      <c r="D8" s="325" t="n"/>
      <c r="E8" s="325" t="n"/>
    </row>
    <row r="9" ht="47.25" customHeight="1" s="256">
      <c r="B9" s="287" t="inlineStr">
        <is>
          <t>Наименование индекса / норм сопутствующих затрат</t>
        </is>
      </c>
      <c r="C9" s="287" t="inlineStr">
        <is>
          <t>Дата применения и обоснование индекса / норм сопутствующих затрат</t>
        </is>
      </c>
      <c r="D9" s="287" t="inlineStr">
        <is>
          <t>Размер индекса / норма сопутствующих затрат</t>
        </is>
      </c>
    </row>
    <row r="10" ht="15.75" customHeight="1" s="256">
      <c r="B10" s="287" t="n">
        <v>1</v>
      </c>
      <c r="C10" s="287" t="n">
        <v>2</v>
      </c>
      <c r="D10" s="287" t="n">
        <v>3</v>
      </c>
    </row>
    <row r="11" ht="45" customHeight="1" s="256">
      <c r="B11" s="287" t="inlineStr">
        <is>
          <t xml:space="preserve">Индекс изменения сметной стоимости на 1 квартал 2023 года. ОЗП </t>
        </is>
      </c>
      <c r="C11" s="287" t="inlineStr">
        <is>
          <t>Письмо Минстроя России от 30.03.2023г. №17106-ИФ/09  прил.1</t>
        </is>
      </c>
      <c r="D11" s="287" t="n">
        <v>44.29</v>
      </c>
    </row>
    <row r="12" ht="29.25" customHeight="1" s="256">
      <c r="B12" s="287" t="inlineStr">
        <is>
          <t>Индекс изменения сметной стоимости на 1 квартал 2023 года. ЭМ</t>
        </is>
      </c>
      <c r="C12" s="287" t="inlineStr">
        <is>
          <t>Письмо Минстроя России от 30.03.2023г. №17106-ИФ/09  прил.1</t>
        </is>
      </c>
      <c r="D12" s="287" t="n">
        <v>13.47</v>
      </c>
    </row>
    <row r="13" ht="29.25" customHeight="1" s="256">
      <c r="B13" s="287" t="inlineStr">
        <is>
          <t>Индекс изменения сметной стоимости на 1 квартал 2023 года. МАТ</t>
        </is>
      </c>
      <c r="C13" s="287" t="inlineStr">
        <is>
          <t>Письмо Минстроя России от 30.03.2023г. №17106-ИФ/09  прил.1</t>
        </is>
      </c>
      <c r="D13" s="287" t="n">
        <v>8.039999999999999</v>
      </c>
    </row>
    <row r="14" ht="30.75" customHeight="1" s="256">
      <c r="B14" s="287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87" t="n">
        <v>6.26</v>
      </c>
    </row>
    <row r="15" ht="89.25" customHeight="1" s="256">
      <c r="B15" s="287" t="inlineStr">
        <is>
          <t>Временные здания и сооружения</t>
        </is>
      </c>
      <c r="C15" s="28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1" t="n">
        <v>0.025</v>
      </c>
    </row>
    <row r="16" ht="78.75" customHeight="1" s="256">
      <c r="B16" s="287" t="inlineStr">
        <is>
          <t>Дополнительные затраты при производстве строительно-монтажных работ в зимнее время</t>
        </is>
      </c>
      <c r="C16" s="287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1" t="n">
        <v>0.021</v>
      </c>
    </row>
    <row r="17" ht="31.5" customHeight="1" s="256">
      <c r="B17" s="287" t="inlineStr">
        <is>
          <t>Строительный контроль</t>
        </is>
      </c>
      <c r="C17" s="287" t="inlineStr">
        <is>
          <t>Постановление Правительства РФ от 21.06.10 г. № 468</t>
        </is>
      </c>
      <c r="D17" s="121" t="n">
        <v>0.0214</v>
      </c>
    </row>
    <row r="18" ht="31.5" customHeight="1" s="256">
      <c r="B18" s="287" t="inlineStr">
        <is>
          <t>Авторский надзор - 0,2%</t>
        </is>
      </c>
      <c r="C18" s="287" t="inlineStr">
        <is>
          <t>Приказ от 4.08.2020 № 421/пр п.173</t>
        </is>
      </c>
      <c r="D18" s="121" t="n">
        <v>0.002</v>
      </c>
    </row>
    <row r="19" ht="24" customHeight="1" s="256">
      <c r="B19" s="287" t="inlineStr">
        <is>
          <t>Непредвиденные расходы</t>
        </is>
      </c>
      <c r="C19" s="287" t="inlineStr">
        <is>
          <t>Приказ от 4.08.2020 № 421/пр п.179</t>
        </is>
      </c>
      <c r="D19" s="121" t="n">
        <v>0.03</v>
      </c>
    </row>
    <row r="20" ht="18.75" customHeight="1" s="256">
      <c r="B20" s="122" t="n"/>
    </row>
    <row r="21" ht="18.75" customHeight="1" s="256">
      <c r="B21" s="122" t="n"/>
    </row>
    <row r="22" ht="18.75" customHeight="1" s="256">
      <c r="B22" s="122" t="n"/>
    </row>
    <row r="23" ht="18.75" customHeight="1" s="256">
      <c r="B23" s="122" t="n"/>
    </row>
    <row r="26">
      <c r="B26" s="255" t="inlineStr">
        <is>
          <t>Составил ______________________        Д.Ю. Нефедова</t>
        </is>
      </c>
      <c r="C26" s="253" t="n"/>
    </row>
    <row r="27">
      <c r="B27" s="252" t="inlineStr">
        <is>
          <t xml:space="preserve">                         (подпись, инициалы, фамилия)</t>
        </is>
      </c>
      <c r="C27" s="253" t="n"/>
    </row>
    <row r="28">
      <c r="B28" s="255" t="n"/>
      <c r="C28" s="253" t="n"/>
    </row>
    <row r="29">
      <c r="B29" s="255" t="inlineStr">
        <is>
          <t>Проверил ______________________        А.В. Костянецкая</t>
        </is>
      </c>
      <c r="C29" s="253" t="n"/>
    </row>
    <row r="30">
      <c r="B30" s="252" t="inlineStr">
        <is>
          <t xml:space="preserve">                        (подпись, инициалы, фамилия)</t>
        </is>
      </c>
      <c r="C30" s="25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6" min="2" max="2"/>
    <col width="13" customWidth="1" style="256" min="3" max="3"/>
    <col width="22.85546875" customWidth="1" style="256" min="4" max="4"/>
    <col width="21.5703125" customWidth="1" style="256" min="5" max="5"/>
    <col width="53.7109375" bestFit="1" customWidth="1" style="256" min="6" max="6"/>
  </cols>
  <sheetData>
    <row r="1" s="256"/>
    <row r="2" ht="17.25" customHeight="1" s="256">
      <c r="A2" s="282" t="inlineStr">
        <is>
          <t>Расчет размера средств на оплату труда рабочих-строителей в текущем уровне цен (ФОТр.тек.)</t>
        </is>
      </c>
    </row>
    <row r="3" s="256"/>
    <row r="4" ht="18" customHeight="1" s="256">
      <c r="A4" s="257" t="inlineStr">
        <is>
          <t>Составлен в уровне цен на 01.01.2023 г.</t>
        </is>
      </c>
      <c r="B4" s="258" t="n"/>
      <c r="C4" s="258" t="n"/>
      <c r="D4" s="258" t="n"/>
      <c r="E4" s="258" t="n"/>
      <c r="F4" s="258" t="n"/>
      <c r="G4" s="258" t="n"/>
    </row>
    <row r="5" ht="15.75" customHeight="1" s="256">
      <c r="A5" s="259" t="inlineStr">
        <is>
          <t>№ пп.</t>
        </is>
      </c>
      <c r="B5" s="259" t="inlineStr">
        <is>
          <t>Наименование элемента</t>
        </is>
      </c>
      <c r="C5" s="259" t="inlineStr">
        <is>
          <t>Обозначение</t>
        </is>
      </c>
      <c r="D5" s="259" t="inlineStr">
        <is>
          <t>Формула</t>
        </is>
      </c>
      <c r="E5" s="259" t="inlineStr">
        <is>
          <t>Величина элемента</t>
        </is>
      </c>
      <c r="F5" s="259" t="inlineStr">
        <is>
          <t>Наименования обосновывающих документов</t>
        </is>
      </c>
      <c r="G5" s="258" t="n"/>
    </row>
    <row r="6" ht="15.75" customHeight="1" s="256">
      <c r="A6" s="259" t="n">
        <v>1</v>
      </c>
      <c r="B6" s="259" t="n">
        <v>2</v>
      </c>
      <c r="C6" s="259" t="n">
        <v>3</v>
      </c>
      <c r="D6" s="259" t="n">
        <v>4</v>
      </c>
      <c r="E6" s="259" t="n">
        <v>5</v>
      </c>
      <c r="F6" s="259" t="n">
        <v>6</v>
      </c>
      <c r="G6" s="258" t="n"/>
    </row>
    <row r="7" ht="110.25" customHeight="1" s="256">
      <c r="A7" s="260" t="inlineStr">
        <is>
          <t>1.1</t>
        </is>
      </c>
      <c r="B7" s="2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63" t="n">
        <v>47872.94</v>
      </c>
      <c r="F7" s="2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8" t="n"/>
    </row>
    <row r="8" ht="31.5" customHeight="1" s="256">
      <c r="A8" s="260" t="inlineStr">
        <is>
          <t>1.2</t>
        </is>
      </c>
      <c r="B8" s="265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64">
        <f>1973/12</f>
        <v/>
      </c>
      <c r="F8" s="265" t="inlineStr">
        <is>
          <t>Производственный календарь 2023 год
(40-часов.неделя)</t>
        </is>
      </c>
      <c r="G8" s="267" t="n"/>
    </row>
    <row r="9" ht="15.75" customHeight="1" s="256">
      <c r="A9" s="260" t="inlineStr">
        <is>
          <t>1.3</t>
        </is>
      </c>
      <c r="B9" s="265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64" t="n">
        <v>1</v>
      </c>
      <c r="F9" s="265" t="n"/>
      <c r="G9" s="267" t="n"/>
    </row>
    <row r="10" ht="15.75" customHeight="1" s="256">
      <c r="A10" s="260" t="inlineStr">
        <is>
          <t>1.4</t>
        </is>
      </c>
      <c r="B10" s="265" t="inlineStr">
        <is>
          <t>Средний разряд работ</t>
        </is>
      </c>
      <c r="C10" s="287" t="n"/>
      <c r="D10" s="287" t="n"/>
      <c r="E10" s="389" t="n">
        <v>3.9</v>
      </c>
      <c r="F10" s="265" t="inlineStr">
        <is>
          <t>РТМ</t>
        </is>
      </c>
      <c r="G10" s="267" t="n"/>
    </row>
    <row r="11" ht="78.75" customHeight="1" s="256">
      <c r="A11" s="260" t="inlineStr">
        <is>
          <t>1.5</t>
        </is>
      </c>
      <c r="B11" s="265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90" t="n">
        <v>1.324</v>
      </c>
      <c r="F11" s="2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8" t="n"/>
    </row>
    <row r="12" ht="78.75" customHeight="1" s="256">
      <c r="A12" s="270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271" t="inlineStr">
        <is>
          <t>Кинф</t>
        </is>
      </c>
      <c r="D12" s="271" t="inlineStr">
        <is>
          <t>-</t>
        </is>
      </c>
      <c r="E12" s="391" t="n">
        <v>1.139</v>
      </c>
      <c r="F12" s="3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6">
      <c r="A13" s="373" t="inlineStr">
        <is>
          <t>1.7</t>
        </is>
      </c>
      <c r="B13" s="374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376">
        <f>((E7*E9/E8)*E11)*E12</f>
        <v/>
      </c>
      <c r="F13" s="3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2025-01-24T12:11:53Z</dcterms:modified>
  <cp:lastModifiedBy>Николай Трофименко</cp:lastModifiedBy>
  <cp:lastPrinted>2023-11-29T12:35:33Z</cp:lastPrinted>
</cp:coreProperties>
</file>