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Times New Roman"/>
      <color rgb="FF000000"/>
      <sz val="10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0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4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4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0" fontId="2" fillId="0" borderId="1" applyAlignment="1" pivotButton="0" quotePrefix="0" xfId="0">
      <alignment horizontal="right" vertical="center" wrapText="1"/>
    </xf>
    <xf numFmtId="167" fontId="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right" vertical="top"/>
    </xf>
    <xf numFmtId="0" fontId="2" fillId="0" borderId="0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horizontal="right" vertical="center"/>
    </xf>
    <xf numFmtId="0" fontId="2" fillId="0" borderId="1" applyAlignment="1" pivotButton="0" quotePrefix="0" xfId="0">
      <alignment horizontal="right" vertical="center"/>
    </xf>
    <xf numFmtId="4" fontId="2" fillId="0" borderId="1" applyAlignment="1" pivotButton="0" quotePrefix="0" xfId="0">
      <alignment horizontal="right" vertical="center"/>
    </xf>
    <xf numFmtId="0" fontId="1" fillId="0" borderId="1" pivotButton="0" quotePrefix="0" xfId="0"/>
    <xf numFmtId="2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2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2" fontId="2" fillId="0" borderId="2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7" applyAlignment="1" pivotButton="0" quotePrefix="0" xfId="0">
      <alignment horizontal="right" vertical="center" wrapText="1"/>
    </xf>
    <xf numFmtId="4" fontId="2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center" vertical="top" wrapText="1"/>
    </xf>
    <xf numFmtId="2" fontId="2" fillId="0" borderId="1" applyAlignment="1" pivotButton="0" quotePrefix="0" xfId="0">
      <alignment horizontal="center" vertical="center" wrapText="1"/>
    </xf>
    <xf numFmtId="10" fontId="2" fillId="0" borderId="3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1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6" fillId="2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11" applyAlignment="1" pivotButton="0" quotePrefix="0" xfId="0">
      <alignment horizontal="center" vertical="center"/>
    </xf>
    <xf numFmtId="49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left" vertical="center" wrapText="1"/>
    </xf>
    <xf numFmtId="0" fontId="6" fillId="0" borderId="11" applyAlignment="1" pivotButton="0" quotePrefix="0" xfId="0">
      <alignment horizontal="center" vertical="center" wrapText="1"/>
    </xf>
    <xf numFmtId="4" fontId="0" fillId="0" borderId="11" applyAlignment="1" pivotButton="0" quotePrefix="0" xfId="0">
      <alignment horizontal="center" vertical="center"/>
    </xf>
    <xf numFmtId="4" fontId="6" fillId="0" borderId="11" applyAlignment="1" pivotButton="0" quotePrefix="0" xfId="0">
      <alignment horizontal="center" vertical="center"/>
    </xf>
    <xf numFmtId="169" fontId="6" fillId="0" borderId="11" applyAlignment="1" pivotButton="0" quotePrefix="0" xfId="0">
      <alignment horizontal="center" vertical="center"/>
    </xf>
    <xf numFmtId="167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vertical="center" wrapText="1"/>
    </xf>
    <xf numFmtId="166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wrapText="1"/>
    </xf>
    <xf numFmtId="0" fontId="10" fillId="0" borderId="11" applyAlignment="1" pivotButton="0" quotePrefix="0" xfId="0">
      <alignment vertical="center" wrapText="1"/>
    </xf>
    <xf numFmtId="4" fontId="10" fillId="0" borderId="1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5" pivotButton="0" quotePrefix="0" xfId="0"/>
    <xf numFmtId="0" fontId="0" fillId="0" borderId="8" pivotButton="0" quotePrefix="0" xfId="0"/>
    <xf numFmtId="0" fontId="0" fillId="0" borderId="2" pivotButton="0" quotePrefix="0" xfId="0"/>
    <xf numFmtId="0" fontId="1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9" pivotButton="0" quotePrefix="0" xfId="0"/>
    <xf numFmtId="166" fontId="12" fillId="0" borderId="0" pivotButton="0" quotePrefix="0" xfId="0"/>
    <xf numFmtId="169" fontId="6" fillId="0" borderId="11" applyAlignment="1" pivotButton="0" quotePrefix="0" xfId="0">
      <alignment horizontal="center" vertical="center"/>
    </xf>
    <xf numFmtId="167" fontId="6" fillId="0" borderId="11" applyAlignment="1" pivotButton="0" quotePrefix="0" xfId="0">
      <alignment horizontal="center" vertical="center"/>
    </xf>
    <xf numFmtId="166" fontId="6" fillId="0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4"/>
  <sheetViews>
    <sheetView view="pageBreakPreview" topLeftCell="A22" zoomScale="85" zoomScaleNormal="85" zoomScaleSheetLayoutView="85" workbookViewId="0">
      <selection activeCell="C28" sqref="C28"/>
    </sheetView>
  </sheetViews>
  <sheetFormatPr baseColWidth="8" defaultRowHeight="15.75"/>
  <cols>
    <col width="9.140625" customWidth="1" style="210" min="1" max="2"/>
    <col width="36.85546875" customWidth="1" style="210" min="3" max="3"/>
    <col width="36.5703125" customWidth="1" style="210" min="4" max="4"/>
    <col width="14.28515625" customWidth="1" style="208" min="5" max="5"/>
    <col width="12.140625" customWidth="1" style="208" min="6" max="6"/>
    <col width="12.28515625" customWidth="1" style="208" min="7" max="7"/>
    <col width="15" customWidth="1" style="208" min="8" max="8"/>
    <col width="9.140625" customWidth="1" style="208" min="9" max="9"/>
  </cols>
  <sheetData>
    <row r="1">
      <c r="E1" s="210" t="n"/>
      <c r="F1" s="210" t="n"/>
      <c r="G1" s="210" t="n"/>
      <c r="H1" s="210" t="n"/>
      <c r="I1" s="210" t="n"/>
    </row>
    <row r="2">
      <c r="E2" s="210" t="n"/>
      <c r="F2" s="210" t="n"/>
      <c r="G2" s="210" t="n"/>
      <c r="H2" s="210" t="n"/>
      <c r="I2" s="210" t="n"/>
    </row>
    <row r="3">
      <c r="B3" s="219" t="inlineStr">
        <is>
          <t>Приложение № 1</t>
        </is>
      </c>
      <c r="E3" s="210" t="n"/>
      <c r="F3" s="210" t="n"/>
      <c r="G3" s="210" t="n"/>
      <c r="H3" s="210" t="n"/>
      <c r="I3" s="210" t="n"/>
    </row>
    <row r="4">
      <c r="B4" s="220" t="inlineStr">
        <is>
          <t>Сравнительная таблица отбора объекта-представителя</t>
        </is>
      </c>
      <c r="E4" s="210" t="n"/>
      <c r="F4" s="210" t="n"/>
      <c r="G4" s="210" t="n"/>
      <c r="H4" s="210" t="n"/>
      <c r="I4" s="210" t="n"/>
    </row>
    <row r="5" ht="12.75" customHeight="1" s="208">
      <c r="B5" s="88" t="n"/>
      <c r="C5" s="88" t="n"/>
      <c r="D5" s="88" t="n"/>
      <c r="E5" s="210" t="n"/>
      <c r="F5" s="210" t="n"/>
      <c r="G5" s="210" t="n"/>
      <c r="H5" s="210" t="n"/>
      <c r="I5" s="210" t="n"/>
    </row>
    <row r="6" ht="4.5" customHeight="1" s="208">
      <c r="B6" s="88" t="n"/>
      <c r="C6" s="88" t="n"/>
      <c r="D6" s="88" t="n"/>
      <c r="E6" s="210" t="n"/>
      <c r="F6" s="210" t="n"/>
      <c r="G6" s="210" t="n"/>
      <c r="H6" s="210" t="n"/>
      <c r="I6" s="210" t="n"/>
    </row>
    <row r="7" ht="15" customHeight="1" s="208">
      <c r="B7" s="218">
        <f>_xlfn.CONCAT(TEXT('Прил.5 Расчет СМР и ОБ'!A6,0)," - ",TEXT('Прил.5 Расчет СМР и ОБ'!D6,0))</f>
        <v/>
      </c>
      <c r="E7" s="89" t="n"/>
      <c r="F7" s="210" t="n"/>
      <c r="G7" s="210" t="n"/>
      <c r="H7" s="210" t="n"/>
      <c r="I7" s="210" t="n"/>
    </row>
    <row r="8" ht="15.75" customHeight="1" s="208">
      <c r="B8" s="125" t="inlineStr">
        <is>
          <t xml:space="preserve">Сопоставимый уровень цен: </t>
        </is>
      </c>
      <c r="C8" s="125" t="n"/>
      <c r="D8" s="125" t="inlineStr">
        <is>
          <t>2 квартал 2011</t>
        </is>
      </c>
      <c r="E8" s="210" t="n"/>
      <c r="F8" s="210" t="n"/>
      <c r="G8" s="210" t="n"/>
      <c r="H8" s="210" t="n"/>
      <c r="I8" s="210" t="n"/>
    </row>
    <row r="9" ht="15.75" customHeight="1" s="208">
      <c r="B9" s="218" t="inlineStr">
        <is>
          <t>Единица измерения  — 1 ед.</t>
        </is>
      </c>
      <c r="E9" s="89" t="n"/>
      <c r="F9" s="210" t="n"/>
      <c r="G9" s="210" t="n"/>
      <c r="H9" s="210" t="n"/>
      <c r="I9" s="210" t="n"/>
    </row>
    <row r="10">
      <c r="B10" s="218" t="n"/>
      <c r="E10" s="210" t="n"/>
      <c r="F10" s="210" t="n"/>
      <c r="G10" s="210" t="n"/>
      <c r="H10" s="210" t="n"/>
      <c r="I10" s="210" t="n"/>
    </row>
    <row r="11">
      <c r="B11" s="227" t="inlineStr">
        <is>
          <t>№ п/п</t>
        </is>
      </c>
      <c r="C11" s="227" t="inlineStr">
        <is>
          <t>Параметр</t>
        </is>
      </c>
      <c r="D11" s="227" t="inlineStr">
        <is>
          <t>Объект-представитель 1</t>
        </is>
      </c>
      <c r="E11" s="89" t="n"/>
      <c r="F11" s="210" t="n"/>
      <c r="G11" s="210" t="n"/>
      <c r="H11" s="210" t="n"/>
      <c r="I11" s="210" t="n"/>
    </row>
    <row r="12" ht="31.5" customHeight="1" s="208">
      <c r="B12" s="227" t="n">
        <v>1</v>
      </c>
      <c r="C12" s="90" t="inlineStr">
        <is>
          <t>Наименование объекта-представителя</t>
        </is>
      </c>
      <c r="D12" s="206" t="inlineStr">
        <is>
          <t>ПС 35 кВ Ужовка-2 (МРСК Центра и Приволжья)</t>
        </is>
      </c>
      <c r="E12" s="210" t="n"/>
      <c r="F12" s="210" t="n"/>
      <c r="G12" s="210" t="n"/>
      <c r="H12" s="210" t="n"/>
      <c r="I12" s="210" t="n"/>
    </row>
    <row r="13" ht="31.5" customHeight="1" s="208">
      <c r="B13" s="227" t="n">
        <v>2</v>
      </c>
      <c r="C13" s="90" t="inlineStr">
        <is>
          <t>Наименование субъекта Российской Федерации</t>
        </is>
      </c>
      <c r="D13" s="206" t="inlineStr">
        <is>
          <t>Нижегородская обл.</t>
        </is>
      </c>
      <c r="E13" s="210" t="n"/>
      <c r="F13" s="210" t="n"/>
      <c r="G13" s="210" t="n"/>
      <c r="H13" s="210" t="n"/>
      <c r="I13" s="210" t="n"/>
    </row>
    <row r="14">
      <c r="B14" s="227" t="n">
        <v>3</v>
      </c>
      <c r="C14" s="90" t="inlineStr">
        <is>
          <t>Климатический район и подрайон</t>
        </is>
      </c>
      <c r="D14" s="207" t="inlineStr">
        <is>
          <t>IIB</t>
        </is>
      </c>
      <c r="E14" s="210" t="n"/>
      <c r="F14" s="210" t="n"/>
      <c r="G14" s="210" t="n"/>
      <c r="H14" s="210" t="n"/>
      <c r="I14" s="210" t="n"/>
    </row>
    <row r="15">
      <c r="B15" s="227" t="n">
        <v>4</v>
      </c>
      <c r="C15" s="90" t="inlineStr">
        <is>
          <t>Мощность объекта</t>
        </is>
      </c>
      <c r="D15" s="227" t="n">
        <v>2</v>
      </c>
      <c r="E15" s="210" t="n"/>
      <c r="F15" s="210" t="n"/>
      <c r="G15" s="210" t="n"/>
      <c r="H15" s="210" t="n"/>
      <c r="I15" s="210" t="n"/>
    </row>
    <row r="16" ht="91.5" customHeight="1" s="208">
      <c r="B16" s="227" t="n">
        <v>5</v>
      </c>
      <c r="C16" s="14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7" t="inlineStr">
        <is>
          <t>Трансформатор тока ТОЛ-10 УХЛ1</t>
        </is>
      </c>
      <c r="E16" s="210" t="n"/>
      <c r="F16" s="210" t="n"/>
      <c r="G16" s="210" t="n"/>
      <c r="H16" s="210" t="n"/>
      <c r="I16" s="210" t="n"/>
    </row>
    <row r="17" ht="75.75" customHeight="1" s="208">
      <c r="B17" s="227" t="n">
        <v>6</v>
      </c>
      <c r="C17" s="14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D18+D19</f>
        <v/>
      </c>
      <c r="E17" s="92" t="n"/>
      <c r="F17" s="210" t="n"/>
      <c r="G17" s="210" t="n"/>
      <c r="H17" s="210" t="n"/>
      <c r="I17" s="210" t="n"/>
    </row>
    <row r="18">
      <c r="B18" s="93" t="inlineStr">
        <is>
          <t>6.1</t>
        </is>
      </c>
      <c r="C18" s="90" t="inlineStr">
        <is>
          <t>строительно-монтажные работы</t>
        </is>
      </c>
      <c r="D18" s="272">
        <f>'Прил.2 Расч стоим'!F14</f>
        <v/>
      </c>
      <c r="E18" s="210" t="n"/>
      <c r="F18" s="210" t="n"/>
      <c r="G18" s="210" t="n"/>
      <c r="H18" s="210" t="n"/>
      <c r="I18" s="210" t="n"/>
    </row>
    <row r="19">
      <c r="B19" s="93" t="inlineStr">
        <is>
          <t>6.2</t>
        </is>
      </c>
      <c r="C19" s="90" t="inlineStr">
        <is>
          <t>оборудование и инвентарь</t>
        </is>
      </c>
      <c r="D19" s="272" t="n">
        <v>0</v>
      </c>
      <c r="E19" s="210" t="n"/>
      <c r="F19" s="210" t="n"/>
      <c r="G19" s="210" t="n"/>
      <c r="H19" s="210" t="n"/>
      <c r="I19" s="210" t="n"/>
    </row>
    <row r="20">
      <c r="B20" s="93" t="inlineStr">
        <is>
          <t>6.3</t>
        </is>
      </c>
      <c r="C20" s="90" t="inlineStr">
        <is>
          <t>пусконаладочные работы</t>
        </is>
      </c>
      <c r="D20" s="272" t="n"/>
      <c r="E20" s="210" t="n"/>
      <c r="F20" s="210" t="n"/>
      <c r="G20" s="210" t="n"/>
      <c r="H20" s="210" t="n"/>
      <c r="I20" s="210" t="n"/>
    </row>
    <row r="21">
      <c r="B21" s="93" t="inlineStr">
        <is>
          <t>6.4</t>
        </is>
      </c>
      <c r="C21" s="94" t="inlineStr">
        <is>
          <t>прочие и лимитированные затраты</t>
        </is>
      </c>
      <c r="D21" s="272" t="n"/>
      <c r="E21" s="210" t="n"/>
      <c r="F21" s="210" t="n"/>
      <c r="G21" s="210" t="n"/>
      <c r="H21" s="210" t="n"/>
      <c r="I21" s="210" t="n"/>
    </row>
    <row r="22">
      <c r="B22" s="227" t="n">
        <v>7</v>
      </c>
      <c r="C22" s="94" t="inlineStr">
        <is>
          <t>Сопоставимый уровень цен</t>
        </is>
      </c>
      <c r="D22" s="227" t="inlineStr">
        <is>
          <t>2 квартал 2011</t>
        </is>
      </c>
      <c r="E22" s="92" t="n"/>
      <c r="F22" s="210" t="n"/>
      <c r="G22" s="210" t="n"/>
      <c r="H22" s="210" t="n"/>
      <c r="I22" s="210" t="n"/>
    </row>
    <row r="23" ht="114" customHeight="1" s="208">
      <c r="B23" s="227" t="n">
        <v>8</v>
      </c>
      <c r="C23" s="9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10" t="n"/>
      <c r="F23" s="210" t="n"/>
      <c r="G23" s="210" t="n"/>
      <c r="H23" s="210" t="n"/>
      <c r="I23" s="210" t="n"/>
    </row>
    <row r="24" ht="47.25" customHeight="1" s="208">
      <c r="B24" s="227" t="n">
        <v>9</v>
      </c>
      <c r="C24" s="142" t="inlineStr">
        <is>
          <t>Приведенная сметная стоимость на единицу мощности, тыс. руб. (строка 8/строку 4)</t>
        </is>
      </c>
      <c r="D24" s="272">
        <f>D17/D15</f>
        <v/>
      </c>
      <c r="E24" s="92" t="n"/>
      <c r="F24" s="210" t="n"/>
      <c r="G24" s="210" t="n"/>
      <c r="H24" s="210" t="n"/>
      <c r="I24" s="210" t="n"/>
    </row>
    <row r="25" ht="21.75" customHeight="1" s="208">
      <c r="B25" s="227" t="n">
        <v>10</v>
      </c>
      <c r="C25" s="90" t="inlineStr">
        <is>
          <t>Примечание</t>
        </is>
      </c>
      <c r="D25" s="90" t="n"/>
      <c r="E25" s="210" t="n"/>
      <c r="F25" s="210" t="n"/>
      <c r="G25" s="210" t="n"/>
      <c r="H25" s="210" t="n"/>
      <c r="I25" s="210" t="n"/>
    </row>
    <row r="26">
      <c r="B26" s="257" t="n"/>
      <c r="C26" s="97" t="n"/>
      <c r="D26" s="97" t="n"/>
      <c r="E26" s="210" t="n"/>
      <c r="F26" s="210" t="n"/>
      <c r="G26" s="210" t="n"/>
      <c r="H26" s="210" t="n"/>
      <c r="I26" s="210" t="n"/>
    </row>
    <row r="27">
      <c r="B27" s="210" t="inlineStr">
        <is>
          <t>Составил ______________________        Е.А. Князева</t>
        </is>
      </c>
      <c r="E27" s="210" t="n"/>
      <c r="F27" s="210" t="n"/>
      <c r="G27" s="210" t="n"/>
      <c r="H27" s="210" t="n"/>
      <c r="I27" s="210" t="n"/>
    </row>
    <row r="28" ht="22.5" customHeight="1" s="208">
      <c r="B28" s="107" t="inlineStr">
        <is>
          <t xml:space="preserve">                         (подпись, инициалы, фамилия)</t>
        </is>
      </c>
      <c r="E28" s="210" t="n"/>
      <c r="F28" s="210" t="n"/>
      <c r="G28" s="210" t="n"/>
      <c r="H28" s="210" t="n"/>
      <c r="I28" s="210" t="n"/>
    </row>
    <row r="29">
      <c r="E29" s="210" t="n"/>
      <c r="F29" s="210" t="n"/>
      <c r="G29" s="210" t="n"/>
      <c r="H29" s="210" t="n"/>
      <c r="I29" s="210" t="n"/>
    </row>
    <row r="30">
      <c r="B30" s="210" t="inlineStr">
        <is>
          <t>Проверил ______________________        А.В. Костянецкая</t>
        </is>
      </c>
      <c r="E30" s="210" t="n"/>
      <c r="F30" s="210" t="n"/>
      <c r="G30" s="210" t="n"/>
      <c r="H30" s="210" t="n"/>
      <c r="I30" s="210" t="n"/>
    </row>
    <row r="31" ht="22.5" customHeight="1" s="208">
      <c r="B31" s="107" t="inlineStr">
        <is>
          <t xml:space="preserve">                        (подпись, инициалы, фамилия)</t>
        </is>
      </c>
      <c r="E31" s="210" t="n"/>
      <c r="F31" s="210" t="n"/>
      <c r="G31" s="210" t="n"/>
      <c r="H31" s="210" t="n"/>
      <c r="I31" s="210" t="n"/>
    </row>
    <row r="32">
      <c r="E32" s="210" t="n"/>
      <c r="F32" s="210" t="n"/>
      <c r="G32" s="210" t="n"/>
      <c r="H32" s="210" t="n"/>
      <c r="I32" s="210" t="n"/>
    </row>
    <row r="33">
      <c r="E33" s="210" t="n"/>
      <c r="F33" s="210" t="n"/>
      <c r="G33" s="210" t="n"/>
      <c r="H33" s="210" t="n"/>
      <c r="I33" s="210" t="n"/>
    </row>
    <row r="34">
      <c r="E34" s="210" t="n"/>
      <c r="F34" s="210" t="n"/>
      <c r="G34" s="210" t="n"/>
      <c r="H34" s="210" t="n"/>
      <c r="I34" s="210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95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3"/>
  <sheetViews>
    <sheetView view="pageBreakPreview" zoomScale="60" zoomScaleNormal="100" workbookViewId="0">
      <selection activeCell="C18" sqref="C18"/>
    </sheetView>
  </sheetViews>
  <sheetFormatPr baseColWidth="8" defaultRowHeight="15"/>
  <cols>
    <col width="5.5703125" customWidth="1" style="208" min="1" max="1"/>
    <col width="9.140625" customWidth="1" style="208" min="2" max="2"/>
    <col width="35.28515625" customWidth="1" style="208" min="3" max="3"/>
    <col width="13.85546875" customWidth="1" style="208" min="4" max="4"/>
    <col width="24.85546875" customWidth="1" style="208" min="5" max="5"/>
    <col width="12.7109375" customWidth="1" style="208" min="6" max="6"/>
    <col width="14.85546875" customWidth="1" style="208" min="7" max="7"/>
    <col width="16.7109375" customWidth="1" style="208" min="8" max="8"/>
    <col width="13" customWidth="1" style="208" min="9" max="10"/>
    <col width="9.140625" customWidth="1" style="208" min="11" max="11"/>
  </cols>
  <sheetData>
    <row r="1" ht="15.75" customHeight="1" s="208">
      <c r="A1" s="210" t="n"/>
      <c r="B1" s="210" t="n"/>
      <c r="C1" s="210" t="n"/>
      <c r="D1" s="210" t="n"/>
      <c r="E1" s="210" t="n"/>
      <c r="F1" s="210" t="n"/>
      <c r="G1" s="210" t="n"/>
      <c r="H1" s="210" t="n"/>
      <c r="I1" s="210" t="n"/>
      <c r="J1" s="210" t="n"/>
    </row>
    <row r="2" ht="15.75" customHeight="1" s="208">
      <c r="A2" s="210" t="n"/>
      <c r="B2" s="210" t="n"/>
      <c r="C2" s="210" t="n"/>
      <c r="D2" s="210" t="n"/>
      <c r="E2" s="210" t="n"/>
      <c r="F2" s="210" t="n"/>
      <c r="G2" s="210" t="n"/>
      <c r="H2" s="210" t="n"/>
      <c r="I2" s="210" t="n"/>
      <c r="J2" s="210" t="n"/>
    </row>
    <row r="3" ht="15.75" customHeight="1" s="208">
      <c r="A3" s="210" t="n"/>
      <c r="B3" s="219" t="inlineStr">
        <is>
          <t>Приложение № 2</t>
        </is>
      </c>
    </row>
    <row r="4" ht="15.75" customHeight="1" s="208">
      <c r="A4" s="210" t="n"/>
      <c r="B4" s="220" t="inlineStr">
        <is>
          <t>Расчет стоимости основных видов работ для выбора объекта-представителя</t>
        </is>
      </c>
    </row>
    <row r="5" ht="15.75" customHeight="1" s="208">
      <c r="A5" s="210" t="n"/>
      <c r="B5" s="88" t="n"/>
      <c r="C5" s="88" t="n"/>
      <c r="D5" s="88" t="n"/>
      <c r="E5" s="88" t="n"/>
      <c r="F5" s="88" t="n"/>
      <c r="G5" s="88" t="n"/>
      <c r="H5" s="88" t="n"/>
      <c r="I5" s="88" t="n"/>
      <c r="J5" s="88" t="n"/>
    </row>
    <row r="6" ht="15.75" customHeight="1" s="208">
      <c r="A6" s="210" t="n"/>
      <c r="B6" s="226">
        <f>'Прил.1 Сравнит табл'!B7</f>
        <v/>
      </c>
    </row>
    <row r="7" ht="15.75" customHeight="1" s="208">
      <c r="A7" s="210" t="n"/>
      <c r="B7" s="218">
        <f>'Прил.1 Сравнит табл'!B9</f>
        <v/>
      </c>
    </row>
    <row r="8" ht="15.75" customHeight="1" s="208">
      <c r="A8" s="210" t="n"/>
      <c r="B8" s="218" t="n"/>
      <c r="C8" s="210" t="n"/>
      <c r="D8" s="210" t="n"/>
      <c r="E8" s="210" t="n"/>
      <c r="F8" s="210" t="n"/>
      <c r="G8" s="210" t="n"/>
      <c r="H8" s="210" t="n"/>
      <c r="I8" s="210" t="n"/>
      <c r="J8" s="210" t="n"/>
    </row>
    <row r="9" ht="15.75" customHeight="1" s="208">
      <c r="A9" s="210" t="n"/>
      <c r="B9" s="227" t="inlineStr">
        <is>
          <t>№ п/п</t>
        </is>
      </c>
      <c r="C9" s="2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7" t="inlineStr">
        <is>
          <t>Объект-представитель 1</t>
        </is>
      </c>
      <c r="E9" s="273" t="n"/>
      <c r="F9" s="273" t="n"/>
      <c r="G9" s="273" t="n"/>
      <c r="H9" s="273" t="n"/>
      <c r="I9" s="273" t="n"/>
      <c r="J9" s="274" t="n"/>
    </row>
    <row r="10" ht="15.75" customHeight="1" s="208">
      <c r="A10" s="210" t="n"/>
      <c r="B10" s="275" t="n"/>
      <c r="C10" s="275" t="n"/>
      <c r="D10" s="227" t="inlineStr">
        <is>
          <t>Номер сметы</t>
        </is>
      </c>
      <c r="E10" s="227" t="inlineStr">
        <is>
          <t>Наименование сметы</t>
        </is>
      </c>
      <c r="F10" s="227" t="inlineStr">
        <is>
          <t>Сметная стоимость в уровне цен 2 кв. 2011г., тыс. руб.</t>
        </is>
      </c>
      <c r="G10" s="273" t="n"/>
      <c r="H10" s="273" t="n"/>
      <c r="I10" s="273" t="n"/>
      <c r="J10" s="274" t="n"/>
    </row>
    <row r="11" ht="63" customHeight="1" s="208">
      <c r="A11" s="210" t="n"/>
      <c r="B11" s="276" t="n"/>
      <c r="C11" s="276" t="n"/>
      <c r="D11" s="276" t="n"/>
      <c r="E11" s="276" t="n"/>
      <c r="F11" s="227" t="inlineStr">
        <is>
          <t>Строительные работы</t>
        </is>
      </c>
      <c r="G11" s="227" t="inlineStr">
        <is>
          <t>Монтажные работы</t>
        </is>
      </c>
      <c r="H11" s="227" t="inlineStr">
        <is>
          <t>Оборудование</t>
        </is>
      </c>
      <c r="I11" s="227" t="inlineStr">
        <is>
          <t>Прочее</t>
        </is>
      </c>
      <c r="J11" s="227" t="inlineStr">
        <is>
          <t>Всего</t>
        </is>
      </c>
    </row>
    <row r="12" ht="15.75" customHeight="1" s="208">
      <c r="A12" s="210" t="n"/>
      <c r="B12" s="227" t="n"/>
      <c r="C12" s="215" t="inlineStr">
        <is>
          <t>Демонтаж трансформаторов тока 6-15 кВ</t>
        </is>
      </c>
      <c r="D12" s="227" t="n"/>
      <c r="E12" s="227" t="n"/>
      <c r="F12" s="227" t="n">
        <v>12.2667554</v>
      </c>
      <c r="G12" s="274" t="n"/>
      <c r="H12" s="227" t="n">
        <v>0</v>
      </c>
      <c r="I12" s="227" t="n"/>
      <c r="J12" s="227" t="n">
        <v>12.2667554</v>
      </c>
    </row>
    <row r="13" ht="15.75" customHeight="1" s="208">
      <c r="A13" s="210" t="n"/>
      <c r="B13" s="223" t="inlineStr">
        <is>
          <t>Всего по объекту:</t>
        </is>
      </c>
      <c r="C13" s="273" t="n"/>
      <c r="D13" s="273" t="n"/>
      <c r="E13" s="274" t="n"/>
      <c r="F13" s="216" t="n"/>
      <c r="G13" s="216" t="n"/>
      <c r="H13" s="216" t="n"/>
      <c r="I13" s="216" t="n"/>
      <c r="J13" s="216" t="n"/>
    </row>
    <row r="14" ht="15.75" customHeight="1" s="208">
      <c r="A14" s="210" t="n"/>
      <c r="B14" s="223" t="inlineStr">
        <is>
          <t>Всего по объекту в сопоставимом уровне цен 2кв. 2011г:</t>
        </is>
      </c>
      <c r="C14" s="273" t="n"/>
      <c r="D14" s="273" t="n"/>
      <c r="E14" s="274" t="n"/>
      <c r="F14" s="277">
        <f>F12</f>
        <v/>
      </c>
      <c r="G14" s="274" t="n"/>
      <c r="H14" s="216">
        <f>H12</f>
        <v/>
      </c>
      <c r="I14" s="216" t="n"/>
      <c r="J14" s="216">
        <f>J12</f>
        <v/>
      </c>
    </row>
    <row r="15" ht="15" customHeight="1" s="208">
      <c r="A15" s="210" t="n"/>
      <c r="B15" s="210" t="n"/>
      <c r="C15" s="210" t="n"/>
      <c r="D15" s="210" t="n"/>
      <c r="E15" s="210" t="n"/>
      <c r="F15" s="210" t="n"/>
      <c r="G15" s="210" t="n"/>
      <c r="H15" s="210" t="n"/>
      <c r="I15" s="210" t="n"/>
      <c r="J15" s="210" t="n"/>
    </row>
    <row r="16" ht="15.75" customHeight="1" s="208">
      <c r="A16" s="210" t="n"/>
      <c r="B16" s="210" t="n"/>
      <c r="C16" s="210" t="n"/>
      <c r="D16" s="210" t="n"/>
      <c r="E16" s="210" t="n"/>
      <c r="F16" s="210" t="n"/>
      <c r="G16" s="210" t="n"/>
      <c r="H16" s="210" t="n"/>
      <c r="I16" s="210" t="n"/>
      <c r="J16" s="210" t="n"/>
    </row>
    <row r="17" ht="15.75" customHeight="1" s="208">
      <c r="A17" s="210" t="n"/>
      <c r="B17" s="210" t="n"/>
      <c r="C17" s="210" t="n"/>
      <c r="D17" s="210" t="n"/>
      <c r="E17" s="210" t="n"/>
      <c r="F17" s="210" t="n"/>
      <c r="G17" s="210" t="n"/>
      <c r="H17" s="210" t="n"/>
      <c r="I17" s="210" t="n"/>
      <c r="J17" s="210" t="n"/>
    </row>
    <row r="18" ht="15.75" customHeight="1" s="208">
      <c r="A18" s="210" t="n"/>
      <c r="B18" s="210" t="n"/>
      <c r="C18" s="210" t="n"/>
      <c r="D18" s="210" t="n"/>
      <c r="E18" s="210" t="n"/>
      <c r="F18" s="210" t="n"/>
      <c r="G18" s="210" t="n"/>
      <c r="H18" s="210" t="n"/>
      <c r="I18" s="210" t="n"/>
      <c r="J18" s="210" t="n"/>
    </row>
    <row r="19" ht="15.75" customHeight="1" s="208">
      <c r="A19" s="210" t="n"/>
      <c r="B19" s="210" t="inlineStr">
        <is>
          <t>Составил ______________________        Е.А. Князева</t>
        </is>
      </c>
      <c r="C19" s="210" t="n"/>
      <c r="D19" s="210" t="n"/>
      <c r="E19" s="210" t="n"/>
      <c r="F19" s="210" t="n"/>
      <c r="G19" s="210" t="n"/>
      <c r="H19" s="210" t="n"/>
      <c r="I19" s="210" t="n"/>
      <c r="J19" s="210" t="n"/>
    </row>
    <row r="20" ht="22.5" customHeight="1" s="208">
      <c r="A20" s="210" t="n"/>
      <c r="B20" s="107" t="inlineStr">
        <is>
          <t xml:space="preserve">                         (подпись, инициалы, фамилия)</t>
        </is>
      </c>
      <c r="C20" s="210" t="n"/>
      <c r="D20" s="210" t="n"/>
      <c r="E20" s="210" t="n"/>
      <c r="F20" s="210" t="n"/>
      <c r="G20" s="210" t="n"/>
      <c r="H20" s="210" t="n"/>
      <c r="I20" s="210" t="n"/>
      <c r="J20" s="210" t="n"/>
    </row>
    <row r="21" ht="15.75" customHeight="1" s="208">
      <c r="A21" s="210" t="n"/>
      <c r="B21" s="210" t="n"/>
      <c r="C21" s="210" t="n"/>
      <c r="D21" s="210" t="n"/>
      <c r="E21" s="210" t="n"/>
      <c r="F21" s="210" t="n"/>
      <c r="G21" s="210" t="n"/>
      <c r="H21" s="210" t="n"/>
      <c r="I21" s="210" t="n"/>
      <c r="J21" s="210" t="n"/>
    </row>
    <row r="22" ht="15.75" customHeight="1" s="208">
      <c r="A22" s="210" t="n"/>
      <c r="B22" s="210" t="inlineStr">
        <is>
          <t>Проверил ______________________        А.В. Костянецкая</t>
        </is>
      </c>
      <c r="C22" s="210" t="n"/>
      <c r="D22" s="210" t="n"/>
      <c r="E22" s="210" t="n"/>
      <c r="F22" s="210" t="n"/>
      <c r="G22" s="210" t="n"/>
      <c r="H22" s="210" t="n"/>
      <c r="I22" s="210" t="n"/>
      <c r="J22" s="210" t="n"/>
    </row>
    <row r="23" ht="22.5" customHeight="1" s="208">
      <c r="A23" s="210" t="n"/>
      <c r="B23" s="107" t="inlineStr">
        <is>
          <t xml:space="preserve">                        (подпись, инициалы, фамилия)</t>
        </is>
      </c>
      <c r="C23" s="210" t="n"/>
      <c r="D23" s="210" t="n"/>
      <c r="E23" s="210" t="n"/>
      <c r="F23" s="210" t="n"/>
      <c r="G23" s="210" t="n"/>
      <c r="H23" s="210" t="n"/>
      <c r="I23" s="210" t="n"/>
      <c r="J23" s="210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82"/>
  <sheetViews>
    <sheetView view="pageBreakPreview" topLeftCell="A67" workbookViewId="0">
      <selection activeCell="D102" sqref="D102"/>
    </sheetView>
  </sheetViews>
  <sheetFormatPr baseColWidth="8" defaultRowHeight="15.75"/>
  <cols>
    <col width="9.140625" customWidth="1" style="147" min="1" max="1"/>
    <col width="12.5703125" customWidth="1" style="210" min="2" max="2"/>
    <col width="22.42578125" customWidth="1" style="210" min="3" max="3"/>
    <col width="49.7109375" customWidth="1" style="210" min="4" max="4"/>
    <col width="10.140625" customWidth="1" style="210" min="5" max="5"/>
    <col width="20.7109375" customWidth="1" style="210" min="6" max="6"/>
    <col width="16.140625" customWidth="1" style="210" min="7" max="7"/>
    <col width="16.7109375" customWidth="1" style="210" min="8" max="8"/>
    <col width="9.140625" customWidth="1" style="210" min="9" max="9"/>
    <col width="19.42578125" customWidth="1" style="210" min="10" max="10"/>
    <col width="13" customWidth="1" style="208" min="11" max="11"/>
    <col width="9.140625" customWidth="1" style="208" min="12" max="13"/>
  </cols>
  <sheetData>
    <row r="1">
      <c r="K1" s="210" t="n"/>
    </row>
    <row r="2">
      <c r="A2" s="219" t="inlineStr">
        <is>
          <t xml:space="preserve">Приложение № 3 </t>
        </is>
      </c>
      <c r="K2" s="210" t="n"/>
    </row>
    <row r="3">
      <c r="A3" s="220" t="inlineStr">
        <is>
          <t>Объектная ресурсная ведомость</t>
        </is>
      </c>
      <c r="K3" s="210" t="n"/>
    </row>
    <row r="4" ht="18.75" customHeight="1" s="208">
      <c r="A4" s="219" t="n"/>
      <c r="K4" s="210" t="n"/>
    </row>
    <row r="5" ht="36.75" customHeight="1" s="208">
      <c r="A5" s="231">
        <f>'Прил.1 Сравнит табл'!B7</f>
        <v/>
      </c>
      <c r="K5" s="210" t="n"/>
    </row>
    <row r="6" ht="16.5" customHeight="1" s="208">
      <c r="A6" s="231" t="n"/>
      <c r="B6" s="231" t="n"/>
      <c r="C6" s="231" t="n"/>
      <c r="D6" s="231" t="n"/>
      <c r="E6" s="231" t="n"/>
      <c r="F6" s="231" t="n"/>
      <c r="G6" s="231" t="n"/>
      <c r="H6" s="231" t="n"/>
      <c r="I6" s="210" t="n"/>
      <c r="J6" s="210" t="n"/>
      <c r="K6" s="210" t="n"/>
    </row>
    <row r="7" ht="16.5" customHeight="1" s="208">
      <c r="A7" s="231" t="n"/>
      <c r="B7" s="231" t="n"/>
      <c r="C7" s="231" t="n"/>
      <c r="D7" s="231" t="n"/>
      <c r="E7" s="231" t="n"/>
      <c r="F7" s="231" t="n"/>
      <c r="G7" s="231" t="n"/>
      <c r="H7" s="231" t="n"/>
      <c r="I7" s="210" t="n"/>
      <c r="J7" s="210" t="n"/>
      <c r="K7" s="210" t="n"/>
    </row>
    <row r="8">
      <c r="A8" s="219" t="n"/>
      <c r="B8" s="226" t="n"/>
      <c r="C8" s="226" t="n"/>
      <c r="D8" s="226" t="n"/>
      <c r="E8" s="226" t="n"/>
      <c r="F8" s="226" t="n"/>
      <c r="G8" s="226" t="n"/>
      <c r="H8" s="226" t="n"/>
      <c r="K8" s="210" t="n"/>
    </row>
    <row r="9" ht="33" customHeight="1" s="208">
      <c r="A9" s="227" t="inlineStr">
        <is>
          <t>п/п</t>
        </is>
      </c>
      <c r="B9" s="227" t="inlineStr">
        <is>
          <t>№ЛСР</t>
        </is>
      </c>
      <c r="C9" s="227" t="inlineStr">
        <is>
          <t>Код ресурса</t>
        </is>
      </c>
      <c r="D9" s="227" t="inlineStr">
        <is>
          <t>Наименование ресурса</t>
        </is>
      </c>
      <c r="E9" s="227" t="inlineStr">
        <is>
          <t>Ед. изм.</t>
        </is>
      </c>
      <c r="F9" s="227" t="inlineStr">
        <is>
          <t>Кол-во единиц по данным объекта-представителя</t>
        </is>
      </c>
      <c r="G9" s="227" t="inlineStr">
        <is>
          <t>Сметная стоимость в ценах на 01.01.2000 (руб.)</t>
        </is>
      </c>
      <c r="H9" s="274" t="n"/>
      <c r="K9" s="210" t="n"/>
    </row>
    <row r="10" ht="33" customHeight="1" s="208">
      <c r="A10" s="276" t="n"/>
      <c r="B10" s="276" t="n"/>
      <c r="C10" s="276" t="n"/>
      <c r="D10" s="276" t="n"/>
      <c r="E10" s="276" t="n"/>
      <c r="F10" s="276" t="n"/>
      <c r="G10" s="227" t="inlineStr">
        <is>
          <t>на ед.изм.</t>
        </is>
      </c>
      <c r="H10" s="227" t="inlineStr">
        <is>
          <t>общая</t>
        </is>
      </c>
      <c r="K10" s="210" t="n"/>
    </row>
    <row r="11">
      <c r="A11" s="122" t="n">
        <v>1</v>
      </c>
      <c r="B11" s="122" t="n"/>
      <c r="C11" s="122" t="n">
        <v>2</v>
      </c>
      <c r="D11" s="122" t="inlineStr">
        <is>
          <t>З</t>
        </is>
      </c>
      <c r="E11" s="122" t="n">
        <v>4</v>
      </c>
      <c r="F11" s="122" t="n">
        <v>5</v>
      </c>
      <c r="G11" s="122" t="n">
        <v>6</v>
      </c>
      <c r="H11" s="122" t="n">
        <v>7</v>
      </c>
      <c r="I11" s="278" t="n"/>
      <c r="K11" s="210" t="n"/>
    </row>
    <row r="12">
      <c r="A12" s="228" t="inlineStr">
        <is>
          <t>Затраты труда рабочих</t>
        </is>
      </c>
      <c r="B12" s="273" t="n"/>
      <c r="C12" s="273" t="n"/>
      <c r="D12" s="273" t="n"/>
      <c r="E12" s="274" t="n"/>
      <c r="F12" s="100" t="n">
        <v>73.56604160000001</v>
      </c>
      <c r="G12" s="100" t="n"/>
      <c r="H12" s="100">
        <f>SUM(H13:H17)</f>
        <v/>
      </c>
      <c r="I12" s="101" t="n"/>
      <c r="J12" s="101" t="n"/>
      <c r="K12" s="101" t="n"/>
    </row>
    <row r="13">
      <c r="A13" s="148" t="inlineStr">
        <is>
          <t>1</t>
        </is>
      </c>
      <c r="B13" s="123" t="n"/>
      <c r="C13" s="103" t="inlineStr">
        <is>
          <t>1-4-1</t>
        </is>
      </c>
      <c r="D13" s="230" t="inlineStr">
        <is>
          <t>Затраты труда рабочих (ср 4,1)</t>
        </is>
      </c>
      <c r="E13" s="229" t="inlineStr">
        <is>
          <t>чел.-ч</t>
        </is>
      </c>
      <c r="F13" s="229" t="n">
        <v>15.6180416</v>
      </c>
      <c r="G13" s="105" t="n">
        <v>9.76</v>
      </c>
      <c r="H13" s="105">
        <f>ROUND(F13*G13,2)</f>
        <v/>
      </c>
      <c r="K13" s="210" t="n"/>
    </row>
    <row r="14" ht="15" customHeight="1" s="208">
      <c r="A14" s="148" t="inlineStr">
        <is>
          <t>2</t>
        </is>
      </c>
      <c r="B14" s="123" t="n"/>
      <c r="C14" s="103" t="inlineStr">
        <is>
          <t>1-4-0</t>
        </is>
      </c>
      <c r="D14" s="230" t="inlineStr">
        <is>
          <t>Затраты труда рабочих (ср 4)</t>
        </is>
      </c>
      <c r="E14" s="229" t="inlineStr">
        <is>
          <t>чел.-ч</t>
        </is>
      </c>
      <c r="F14" s="229" t="n">
        <v>47.42</v>
      </c>
      <c r="G14" s="105" t="n">
        <v>9.619999999999999</v>
      </c>
      <c r="H14" s="105">
        <f>ROUND(F14*G14,2)</f>
        <v/>
      </c>
      <c r="K14" s="210" t="n"/>
    </row>
    <row r="15" ht="15" customHeight="1" s="208">
      <c r="A15" s="148" t="inlineStr">
        <is>
          <t>3</t>
        </is>
      </c>
      <c r="B15" s="123" t="n"/>
      <c r="C15" s="103" t="inlineStr">
        <is>
          <t>1-3-8</t>
        </is>
      </c>
      <c r="D15" s="230" t="inlineStr">
        <is>
          <t>Затраты труда рабочих (ср 3,8)</t>
        </is>
      </c>
      <c r="E15" s="229" t="inlineStr">
        <is>
          <t>чел.-ч</t>
        </is>
      </c>
      <c r="F15" s="229" t="n">
        <v>7.424</v>
      </c>
      <c r="G15" s="105" t="n">
        <v>9.4</v>
      </c>
      <c r="H15" s="105">
        <f>ROUND(F15*G15,2)</f>
        <v/>
      </c>
      <c r="K15" s="210" t="n"/>
    </row>
    <row r="16">
      <c r="A16" s="148" t="inlineStr">
        <is>
          <t>4</t>
        </is>
      </c>
      <c r="B16" s="123" t="n"/>
      <c r="C16" s="103" t="inlineStr">
        <is>
          <t>1-3-6</t>
        </is>
      </c>
      <c r="D16" s="230" t="inlineStr">
        <is>
          <t>Затраты труда рабочих (ср 3,6)</t>
        </is>
      </c>
      <c r="E16" s="229" t="inlineStr">
        <is>
          <t>чел.-ч</t>
        </is>
      </c>
      <c r="F16" s="229" t="n">
        <v>1.024</v>
      </c>
      <c r="G16" s="105" t="n">
        <v>9.18</v>
      </c>
      <c r="H16" s="105">
        <f>ROUND(F16*G16,2)</f>
        <v/>
      </c>
      <c r="K16" s="210" t="n"/>
    </row>
    <row r="17">
      <c r="A17" s="148" t="inlineStr">
        <is>
          <t>5</t>
        </is>
      </c>
      <c r="B17" s="123" t="n"/>
      <c r="C17" s="103" t="inlineStr">
        <is>
          <t>1-3-2</t>
        </is>
      </c>
      <c r="D17" s="230" t="inlineStr">
        <is>
          <t>Затраты труда рабочих (ср 3,2)</t>
        </is>
      </c>
      <c r="E17" s="229" t="inlineStr">
        <is>
          <t>чел.-ч</t>
        </is>
      </c>
      <c r="F17" s="229" t="n">
        <v>2.08</v>
      </c>
      <c r="G17" s="105" t="n">
        <v>8.74</v>
      </c>
      <c r="H17" s="105">
        <f>ROUND(F17*G17,2)</f>
        <v/>
      </c>
      <c r="K17" s="210" t="n"/>
    </row>
    <row r="18">
      <c r="A18" s="228" t="inlineStr">
        <is>
          <t>Затраты труда машинистов</t>
        </is>
      </c>
      <c r="B18" s="273" t="n"/>
      <c r="C18" s="273" t="n"/>
      <c r="D18" s="273" t="n"/>
      <c r="E18" s="274" t="n"/>
      <c r="F18" s="228" t="n">
        <v>17.6999972</v>
      </c>
      <c r="G18" s="100" t="n"/>
      <c r="H18" s="100">
        <f>H19</f>
        <v/>
      </c>
      <c r="K18" s="210" t="n"/>
    </row>
    <row r="19">
      <c r="A19" s="148" t="inlineStr">
        <is>
          <t>6</t>
        </is>
      </c>
      <c r="B19" s="124" t="n"/>
      <c r="C19" s="113" t="n">
        <v>2</v>
      </c>
      <c r="D19" s="230" t="inlineStr">
        <is>
          <t>Затраты труда машинистов</t>
        </is>
      </c>
      <c r="E19" s="229" t="inlineStr">
        <is>
          <t>чел.час</t>
        </is>
      </c>
      <c r="F19" s="229" t="n">
        <v>17.6999972</v>
      </c>
      <c r="G19" s="105" t="n"/>
      <c r="H19" s="105" t="n">
        <v>210.26</v>
      </c>
      <c r="K19" s="210" t="n"/>
    </row>
    <row r="20">
      <c r="A20" s="228" t="inlineStr">
        <is>
          <t>Машины и механизмы</t>
        </is>
      </c>
      <c r="B20" s="273" t="n"/>
      <c r="C20" s="273" t="n"/>
      <c r="D20" s="273" t="n"/>
      <c r="E20" s="274" t="n"/>
      <c r="F20" s="228" t="n"/>
      <c r="G20" s="100" t="n"/>
      <c r="H20" s="100">
        <f>SUM(H21:H39)</f>
        <v/>
      </c>
      <c r="I20" s="101" t="n"/>
      <c r="J20" s="101" t="n"/>
      <c r="K20" s="101" t="n"/>
    </row>
    <row r="21" ht="31.5" customHeight="1" s="208">
      <c r="A21" s="148" t="inlineStr">
        <is>
          <t>7</t>
        </is>
      </c>
      <c r="B21" s="124" t="n"/>
      <c r="C21" s="230" t="inlineStr">
        <is>
          <t>91.05.05-015</t>
        </is>
      </c>
      <c r="D21" s="230" t="inlineStr">
        <is>
          <t>Краны на автомобильном ходу, грузоподъемность 16 т</t>
        </is>
      </c>
      <c r="E21" s="229" t="inlineStr">
        <is>
          <t>маш.час</t>
        </is>
      </c>
      <c r="F21" s="229" t="n">
        <v>7.1111676</v>
      </c>
      <c r="G21" s="105" t="n">
        <v>115.4</v>
      </c>
      <c r="H21" s="105">
        <f>ROUND(F21*G21,2)</f>
        <v/>
      </c>
      <c r="K21" s="210" t="n"/>
    </row>
    <row r="22" ht="31.5" customHeight="1" s="208">
      <c r="A22" s="148" t="inlineStr">
        <is>
          <t>8</t>
        </is>
      </c>
      <c r="B22" s="124" t="n"/>
      <c r="C22" s="230" t="inlineStr">
        <is>
          <t>91.04.01-031</t>
        </is>
      </c>
      <c r="D22" s="230" t="inlineStr">
        <is>
          <t>Машины бурильно-крановые на автомобиле, глубина бурения 3,5 м</t>
        </is>
      </c>
      <c r="E22" s="229" t="inlineStr">
        <is>
          <t>маш.час</t>
        </is>
      </c>
      <c r="F22" s="229" t="n">
        <v>2.14</v>
      </c>
      <c r="G22" s="105" t="n">
        <v>138.54</v>
      </c>
      <c r="H22" s="105">
        <f>ROUND(F22*G22,2)</f>
        <v/>
      </c>
      <c r="I22" s="101" t="n"/>
      <c r="J22" s="101" t="n"/>
      <c r="K22" s="101" t="n"/>
    </row>
    <row r="23" ht="47.25" customHeight="1" s="208">
      <c r="A23" s="148" t="inlineStr">
        <is>
          <t>9</t>
        </is>
      </c>
      <c r="B23" s="124" t="n"/>
      <c r="C23" s="230" t="inlineStr">
        <is>
          <t>91.18.01-007</t>
        </is>
      </c>
      <c r="D23" s="23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3" s="229" t="inlineStr">
        <is>
          <t>маш.час</t>
        </is>
      </c>
      <c r="F23" s="229" t="n">
        <v>1.504</v>
      </c>
      <c r="G23" s="105" t="n">
        <v>90</v>
      </c>
      <c r="H23" s="105">
        <f>ROUND(F23*G23,2)</f>
        <v/>
      </c>
      <c r="K23" s="210" t="n"/>
    </row>
    <row r="24" ht="31.5" customHeight="1" s="208">
      <c r="A24" s="148" t="inlineStr">
        <is>
          <t>10</t>
        </is>
      </c>
      <c r="B24" s="124" t="n"/>
      <c r="C24" s="230" t="inlineStr">
        <is>
          <t>91.06.06-042</t>
        </is>
      </c>
      <c r="D24" s="230" t="inlineStr">
        <is>
          <t>Подъемники гидравлические, высота подъема 10 м</t>
        </is>
      </c>
      <c r="E24" s="229" t="inlineStr">
        <is>
          <t>маш.час</t>
        </is>
      </c>
      <c r="F24" s="229" t="n">
        <v>4.53</v>
      </c>
      <c r="G24" s="105" t="n">
        <v>29.6</v>
      </c>
      <c r="H24" s="105">
        <f>ROUND(F24*G24,2)</f>
        <v/>
      </c>
      <c r="K24" s="210" t="n"/>
    </row>
    <row r="25">
      <c r="A25" s="148" t="inlineStr">
        <is>
          <t>11</t>
        </is>
      </c>
      <c r="B25" s="124" t="n"/>
      <c r="C25" s="230" t="inlineStr">
        <is>
          <t>91.14.02-001</t>
        </is>
      </c>
      <c r="D25" s="230" t="inlineStr">
        <is>
          <t>Автомобили бортовые, грузоподъемность до 5 т</t>
        </is>
      </c>
      <c r="E25" s="229" t="inlineStr">
        <is>
          <t>маш.час</t>
        </is>
      </c>
      <c r="F25" s="229" t="n">
        <v>1.612</v>
      </c>
      <c r="G25" s="105" t="n">
        <v>65.70999999999999</v>
      </c>
      <c r="H25" s="105">
        <f>ROUND(F25*G25,2)</f>
        <v/>
      </c>
      <c r="K25" s="210" t="n"/>
    </row>
    <row r="26" ht="31.5" customHeight="1" s="208">
      <c r="A26" s="148" t="inlineStr">
        <is>
          <t>12</t>
        </is>
      </c>
      <c r="B26" s="124" t="n"/>
      <c r="C26" s="230" t="inlineStr">
        <is>
          <t>91.05.06-012</t>
        </is>
      </c>
      <c r="D26" s="230" t="inlineStr">
        <is>
          <t>Краны на гусеничном ходу, грузоподъемность до 16 т</t>
        </is>
      </c>
      <c r="E26" s="229" t="inlineStr">
        <is>
          <t>маш.час</t>
        </is>
      </c>
      <c r="F26" s="229" t="n">
        <v>0.5600000000000001</v>
      </c>
      <c r="G26" s="105" t="n">
        <v>96.89</v>
      </c>
      <c r="H26" s="105">
        <f>ROUND(F26*G26,2)</f>
        <v/>
      </c>
      <c r="K26" s="210" t="n"/>
    </row>
    <row r="27" ht="47.25" customHeight="1" s="208">
      <c r="A27" s="148" t="inlineStr">
        <is>
          <t>13</t>
        </is>
      </c>
      <c r="B27" s="124" t="n"/>
      <c r="C27" s="230" t="inlineStr">
        <is>
          <t>91.17.04-036</t>
        </is>
      </c>
      <c r="D27" s="230" t="inlineStr">
        <is>
          <t>Агрегаты сварочные передвижные с дизельным двигателем, номинальный сварочный ток 250-400 А</t>
        </is>
      </c>
      <c r="E27" s="229" t="inlineStr">
        <is>
          <t>маш.час</t>
        </is>
      </c>
      <c r="F27" s="229" t="n">
        <v>1.9599944</v>
      </c>
      <c r="G27" s="105" t="n">
        <v>14</v>
      </c>
      <c r="H27" s="105">
        <f>ROUND(F27*G27,2)</f>
        <v/>
      </c>
      <c r="K27" s="210" t="n"/>
    </row>
    <row r="28" ht="31.5" customHeight="1" s="208">
      <c r="A28" s="148" t="inlineStr">
        <is>
          <t>14</t>
        </is>
      </c>
      <c r="B28" s="124" t="n"/>
      <c r="C28" s="230" t="inlineStr">
        <is>
          <t>91.17.04-233</t>
        </is>
      </c>
      <c r="D28" s="230" t="inlineStr">
        <is>
          <t>Установки для сварки ручной дуговой (постоянного тока)</t>
        </is>
      </c>
      <c r="E28" s="229" t="inlineStr">
        <is>
          <t>маш.час</t>
        </is>
      </c>
      <c r="F28" s="229" t="n">
        <v>1.4</v>
      </c>
      <c r="G28" s="105" t="n">
        <v>8.1</v>
      </c>
      <c r="H28" s="105">
        <f>ROUND(F28*G28,2)</f>
        <v/>
      </c>
      <c r="K28" s="210" t="n"/>
    </row>
    <row r="29" ht="47.25" customHeight="1" s="208">
      <c r="A29" s="148" t="inlineStr">
        <is>
          <t>15</t>
        </is>
      </c>
      <c r="B29" s="124" t="n"/>
      <c r="C29" s="230" t="inlineStr">
        <is>
          <t>91.19.06-011</t>
        </is>
      </c>
      <c r="D29" s="230" t="inlineStr">
        <is>
          <t>Насосы грязевые, подача 23,4-65,3 м3/ч, давление нагнетания 15,7-5,88 МПа (160-60 кгс/см2)</t>
        </is>
      </c>
      <c r="E29" s="229" t="inlineStr">
        <is>
          <t>маш.час</t>
        </is>
      </c>
      <c r="F29" s="229" t="n">
        <v>0.336</v>
      </c>
      <c r="G29" s="105" t="n">
        <v>32.71</v>
      </c>
      <c r="H29" s="105">
        <f>ROUND(F29*G29,2)</f>
        <v/>
      </c>
      <c r="K29" s="210" t="n"/>
    </row>
    <row r="30">
      <c r="A30" s="148" t="inlineStr">
        <is>
          <t>16</t>
        </is>
      </c>
      <c r="B30" s="124" t="n"/>
      <c r="C30" s="230" t="inlineStr">
        <is>
          <t>91.21.12-002</t>
        </is>
      </c>
      <c r="D30" s="230" t="inlineStr">
        <is>
          <t>Ножницы листовые кривошипные гильотинные</t>
        </is>
      </c>
      <c r="E30" s="229" t="inlineStr">
        <is>
          <t>маш.час</t>
        </is>
      </c>
      <c r="F30" s="229" t="n">
        <v>0.1</v>
      </c>
      <c r="G30" s="105" t="n">
        <v>70</v>
      </c>
      <c r="H30" s="105">
        <f>ROUND(F30*G30,2)</f>
        <v/>
      </c>
      <c r="K30" s="210" t="n"/>
    </row>
    <row r="31" ht="31.5" customHeight="1" s="208">
      <c r="A31" s="148" t="inlineStr">
        <is>
          <t>17</t>
        </is>
      </c>
      <c r="B31" s="124" t="n"/>
      <c r="C31" s="230" t="inlineStr">
        <is>
          <t>91.06.03-061</t>
        </is>
      </c>
      <c r="D31" s="230" t="inlineStr">
        <is>
          <t>Лебедки электрические тяговым усилием до 12,26 кН (1,25 т)</t>
        </is>
      </c>
      <c r="E31" s="229" t="inlineStr">
        <is>
          <t>маш.час</t>
        </is>
      </c>
      <c r="F31" s="229" t="n">
        <v>1.76</v>
      </c>
      <c r="G31" s="105" t="n">
        <v>3.28</v>
      </c>
      <c r="H31" s="105">
        <f>ROUND(F31*G31,2)</f>
        <v/>
      </c>
      <c r="K31" s="210" t="n"/>
    </row>
    <row r="32" ht="31.5" customHeight="1" s="208">
      <c r="A32" s="148" t="inlineStr">
        <is>
          <t>18</t>
        </is>
      </c>
      <c r="B32" s="124" t="n"/>
      <c r="C32" s="230" t="inlineStr">
        <is>
          <t>91.21.16-014</t>
        </is>
      </c>
      <c r="D32" s="230" t="inlineStr">
        <is>
          <t>Прессы листогибочные кривошипные 1000 кН (100 тс)</t>
        </is>
      </c>
      <c r="E32" s="229" t="inlineStr">
        <is>
          <t>маш.час</t>
        </is>
      </c>
      <c r="F32" s="229" t="n">
        <v>0.1</v>
      </c>
      <c r="G32" s="105" t="n">
        <v>56.24</v>
      </c>
      <c r="H32" s="105">
        <f>ROUND(F32*G32,2)</f>
        <v/>
      </c>
      <c r="K32" s="210" t="n"/>
    </row>
    <row r="33" ht="31.5" customHeight="1" s="208">
      <c r="A33" s="148" t="inlineStr">
        <is>
          <t>19</t>
        </is>
      </c>
      <c r="B33" s="124" t="n"/>
      <c r="C33" s="230" t="inlineStr">
        <is>
          <t>91.06.01-003</t>
        </is>
      </c>
      <c r="D33" s="230" t="inlineStr">
        <is>
          <t>Домкраты гидравлические, грузоподъемность 63-100 т</t>
        </is>
      </c>
      <c r="E33" s="229" t="inlineStr">
        <is>
          <t>маш.час</t>
        </is>
      </c>
      <c r="F33" s="229" t="n">
        <v>5.54</v>
      </c>
      <c r="G33" s="105" t="n">
        <v>0.9</v>
      </c>
      <c r="H33" s="105">
        <f>ROUND(F33*G33,2)</f>
        <v/>
      </c>
      <c r="K33" s="210" t="n"/>
    </row>
    <row r="34">
      <c r="A34" s="148" t="inlineStr">
        <is>
          <t>20</t>
        </is>
      </c>
      <c r="B34" s="124" t="n"/>
      <c r="C34" s="230" t="inlineStr">
        <is>
          <t>91.14.02-002</t>
        </is>
      </c>
      <c r="D34" s="230" t="inlineStr">
        <is>
          <t>Автомобили бортовые, грузоподъемность до 8 т</t>
        </is>
      </c>
      <c r="E34" s="229" t="inlineStr">
        <is>
          <t>маш.час</t>
        </is>
      </c>
      <c r="F34" s="229" t="n">
        <v>0.0428296</v>
      </c>
      <c r="G34" s="105" t="n">
        <v>85.84</v>
      </c>
      <c r="H34" s="105">
        <f>ROUND(F34*G34,2)</f>
        <v/>
      </c>
      <c r="K34" s="210" t="n"/>
    </row>
    <row r="35" ht="31.5" customHeight="1" s="208">
      <c r="A35" s="148" t="inlineStr">
        <is>
          <t>21</t>
        </is>
      </c>
      <c r="B35" s="124" t="n"/>
      <c r="C35" s="230" t="inlineStr">
        <is>
          <t>91.21.16-013</t>
        </is>
      </c>
      <c r="D35" s="230" t="inlineStr">
        <is>
          <t>Прессы кривошипные простого действия 25 кН (2,5 тс)</t>
        </is>
      </c>
      <c r="E35" s="229" t="inlineStr">
        <is>
          <t>маш.час</t>
        </is>
      </c>
      <c r="F35" s="229" t="n">
        <v>0.1</v>
      </c>
      <c r="G35" s="105" t="n">
        <v>16.92</v>
      </c>
      <c r="H35" s="105">
        <f>ROUND(F35*G35,2)</f>
        <v/>
      </c>
      <c r="K35" s="210" t="n"/>
    </row>
    <row r="36" ht="31.5" customHeight="1" s="208">
      <c r="A36" s="148" t="inlineStr">
        <is>
          <t>22</t>
        </is>
      </c>
      <c r="B36" s="124" t="n"/>
      <c r="C36" s="230" t="inlineStr">
        <is>
          <t>91.08.09-023</t>
        </is>
      </c>
      <c r="D36" s="230" t="inlineStr">
        <is>
          <t>Трамбовки пневматические при работе от передвижных компрессорных станций</t>
        </is>
      </c>
      <c r="E36" s="229" t="inlineStr">
        <is>
          <t>маш.час</t>
        </is>
      </c>
      <c r="F36" s="229" t="n">
        <v>3.008</v>
      </c>
      <c r="G36" s="105" t="n">
        <v>0.55</v>
      </c>
      <c r="H36" s="105">
        <f>ROUND(F36*G36,2)</f>
        <v/>
      </c>
      <c r="K36" s="210" t="n"/>
    </row>
    <row r="37" ht="47.25" customHeight="1" s="208">
      <c r="A37" s="148" t="inlineStr">
        <is>
          <t>23</t>
        </is>
      </c>
      <c r="B37" s="124" t="n"/>
      <c r="C37" s="230" t="inlineStr">
        <is>
          <t>91.21.01-012</t>
        </is>
      </c>
      <c r="D37" s="230" t="inlineStr">
        <is>
          <t>Агрегаты окрасочные высокого давления для окраски поверхностей конструкций, мощность 1 кВт</t>
        </is>
      </c>
      <c r="E37" s="229" t="inlineStr">
        <is>
          <t>маш.час</t>
        </is>
      </c>
      <c r="F37" s="229" t="n">
        <v>0.124</v>
      </c>
      <c r="G37" s="105" t="n">
        <v>6.82</v>
      </c>
      <c r="H37" s="105">
        <f>ROUND(F37*G37,2)</f>
        <v/>
      </c>
      <c r="K37" s="210" t="n"/>
    </row>
    <row r="38">
      <c r="A38" s="148" t="inlineStr">
        <is>
          <t>24</t>
        </is>
      </c>
      <c r="B38" s="124" t="n"/>
      <c r="C38" s="230" t="inlineStr">
        <is>
          <t>91.07.04-001</t>
        </is>
      </c>
      <c r="D38" s="230" t="inlineStr">
        <is>
          <t>Вибраторы глубинные</t>
        </is>
      </c>
      <c r="E38" s="229" t="inlineStr">
        <is>
          <t>маш.час</t>
        </is>
      </c>
      <c r="F38" s="229" t="n">
        <v>0.384</v>
      </c>
      <c r="G38" s="105" t="n">
        <v>1.9</v>
      </c>
      <c r="H38" s="105">
        <f>ROUND(F38*G38,2)</f>
        <v/>
      </c>
      <c r="K38" s="210" t="n"/>
    </row>
    <row r="39">
      <c r="A39" s="148" t="inlineStr">
        <is>
          <t>25</t>
        </is>
      </c>
      <c r="B39" s="124" t="n"/>
      <c r="C39" s="230" t="inlineStr">
        <is>
          <t>91.21.19-031</t>
        </is>
      </c>
      <c r="D39" s="230" t="inlineStr">
        <is>
          <t>Станки сверлильные</t>
        </is>
      </c>
      <c r="E39" s="229" t="inlineStr">
        <is>
          <t>маш.час</t>
        </is>
      </c>
      <c r="F39" s="229" t="n">
        <v>0.1</v>
      </c>
      <c r="G39" s="105" t="n">
        <v>2.36</v>
      </c>
      <c r="H39" s="105">
        <f>ROUND(F39*G39,2)</f>
        <v/>
      </c>
      <c r="K39" s="210" t="n"/>
    </row>
    <row r="40">
      <c r="A40" s="228" t="inlineStr">
        <is>
          <t>Оборудование</t>
        </is>
      </c>
      <c r="B40" s="273" t="n"/>
      <c r="C40" s="273" t="n"/>
      <c r="D40" s="273" t="n"/>
      <c r="E40" s="274" t="n"/>
      <c r="F40" s="228" t="n"/>
      <c r="G40" s="100" t="n"/>
      <c r="H40" s="100">
        <f>SUM(H41:H43)</f>
        <v/>
      </c>
      <c r="J40" s="115" t="n"/>
    </row>
    <row r="41">
      <c r="A41" s="148" t="inlineStr">
        <is>
          <t>26</t>
        </is>
      </c>
      <c r="B41" s="124" t="n"/>
      <c r="C41" s="230" t="inlineStr">
        <is>
          <t>Прайс из СД ОП</t>
        </is>
      </c>
      <c r="D41" s="230" t="inlineStr">
        <is>
          <t>Трансформатор тока ТОЛ-10 УХЛ1</t>
        </is>
      </c>
      <c r="E41" s="229" t="inlineStr">
        <is>
          <t>шт.</t>
        </is>
      </c>
      <c r="F41" s="229" t="n">
        <v>6</v>
      </c>
      <c r="G41" s="105" t="n">
        <v>6603.83</v>
      </c>
      <c r="H41" s="105">
        <f>ROUND(F41*G41,2)</f>
        <v/>
      </c>
      <c r="J41" s="115" t="n"/>
    </row>
    <row r="42">
      <c r="A42" s="148" t="inlineStr">
        <is>
          <t>27</t>
        </is>
      </c>
      <c r="B42" s="124" t="n"/>
      <c r="C42" s="230" t="inlineStr">
        <is>
          <t>Прайс из СД ОП</t>
        </is>
      </c>
      <c r="D42" s="230" t="inlineStr">
        <is>
          <t>Шкаф промежуточных зажимов ШЗВ-60 УХЛ1</t>
        </is>
      </c>
      <c r="E42" s="229" t="inlineStr">
        <is>
          <t>шт.</t>
        </is>
      </c>
      <c r="F42" s="229" t="n">
        <v>2</v>
      </c>
      <c r="G42" s="105" t="n">
        <v>6790.9</v>
      </c>
      <c r="H42" s="105">
        <f>ROUND(F42*G42,2)</f>
        <v/>
      </c>
      <c r="J42" s="115" t="n"/>
    </row>
    <row r="43" ht="31.5" customHeight="1" s="208">
      <c r="A43" s="148" t="inlineStr">
        <is>
          <t>28</t>
        </is>
      </c>
      <c r="B43" s="124" t="n"/>
      <c r="C43" s="230" t="inlineStr">
        <is>
          <t>Прайс из СД ОП</t>
        </is>
      </c>
      <c r="D43" s="230" t="inlineStr">
        <is>
          <t>Коробка зажимов для цепей тока с (КИ-10) К3-11-АСКУЭ</t>
        </is>
      </c>
      <c r="E43" s="229" t="inlineStr">
        <is>
          <t>шт.</t>
        </is>
      </c>
      <c r="F43" s="229" t="n">
        <v>2</v>
      </c>
      <c r="G43" s="105" t="n">
        <v>921.63</v>
      </c>
      <c r="H43" s="105">
        <f>ROUND(F43*G43,2)</f>
        <v/>
      </c>
      <c r="J43" s="115" t="n"/>
    </row>
    <row r="44">
      <c r="A44" s="228" t="inlineStr">
        <is>
          <t>Материалы</t>
        </is>
      </c>
      <c r="B44" s="273" t="n"/>
      <c r="C44" s="273" t="n"/>
      <c r="D44" s="273" t="n"/>
      <c r="E44" s="274" t="n"/>
      <c r="F44" s="228" t="n"/>
      <c r="G44" s="100" t="n"/>
      <c r="H44" s="100">
        <f>SUM(H45:H75)</f>
        <v/>
      </c>
      <c r="J44" s="115" t="n"/>
    </row>
    <row r="45">
      <c r="A45" s="148" t="inlineStr">
        <is>
          <t>29</t>
        </is>
      </c>
      <c r="B45" s="124" t="n"/>
      <c r="C45" s="230" t="inlineStr">
        <is>
          <t>22.2.02.07-0003</t>
        </is>
      </c>
      <c r="D45" s="230" t="inlineStr">
        <is>
          <t>Конструкции стальные порталов ОРУ</t>
        </is>
      </c>
      <c r="E45" s="229" t="inlineStr">
        <is>
          <t>т</t>
        </is>
      </c>
      <c r="F45" s="229" t="n">
        <v>0.40448</v>
      </c>
      <c r="G45" s="105" t="n">
        <v>12500</v>
      </c>
      <c r="H45" s="105">
        <f>ROUND(F45*G45,2)</f>
        <v/>
      </c>
      <c r="J45" s="115" t="n"/>
    </row>
    <row r="46" ht="31.5" customHeight="1" s="208">
      <c r="A46" s="148" t="inlineStr">
        <is>
          <t>30</t>
        </is>
      </c>
      <c r="B46" s="124" t="n"/>
      <c r="C46" s="230" t="inlineStr">
        <is>
          <t>07.2.07.13-0211</t>
        </is>
      </c>
      <c r="D46" s="230" t="inlineStr">
        <is>
          <t>Тяги, распорки, связи, стойки стальные оцинкованные</t>
        </is>
      </c>
      <c r="E46" s="229" t="inlineStr">
        <is>
          <t>т</t>
        </is>
      </c>
      <c r="F46" s="229" t="n">
        <v>0.1754</v>
      </c>
      <c r="G46" s="105" t="n">
        <v>22977.81</v>
      </c>
      <c r="H46" s="105">
        <f>ROUND(F46*G46,2)</f>
        <v/>
      </c>
      <c r="J46" s="115" t="n"/>
    </row>
    <row r="47" ht="47.25" customHeight="1" s="208">
      <c r="A47" s="148" t="inlineStr">
        <is>
          <t>31</t>
        </is>
      </c>
      <c r="B47" s="124" t="n"/>
      <c r="C47" s="230" t="inlineStr">
        <is>
          <t>05.1.02.07-0028</t>
        </is>
      </c>
      <c r="D47" s="230" t="inlineStr">
        <is>
          <t>Стойки железобетонные под оборудование подстанций УСО-1А, бетон B15, объем 0,32 м3, расход арматуры 66,53 кг</t>
        </is>
      </c>
      <c r="E47" s="229" t="inlineStr">
        <is>
          <t>шт</t>
        </is>
      </c>
      <c r="F47" s="229" t="n">
        <v>2</v>
      </c>
      <c r="G47" s="105" t="n">
        <v>1340.68</v>
      </c>
      <c r="H47" s="105">
        <f>ROUND(F47*G47,2)</f>
        <v/>
      </c>
      <c r="J47" s="115" t="n"/>
    </row>
    <row r="48">
      <c r="A48" s="148" t="inlineStr">
        <is>
          <t>32</t>
        </is>
      </c>
      <c r="B48" s="124" t="n"/>
      <c r="C48" s="230" t="inlineStr">
        <is>
          <t>20.1.01.02-0066</t>
        </is>
      </c>
      <c r="D48" s="230" t="inlineStr">
        <is>
          <t>Зажим аппаратный прессуемый: А4А-300-2</t>
        </is>
      </c>
      <c r="E48" s="229" t="inlineStr">
        <is>
          <t>100 шт</t>
        </is>
      </c>
      <c r="F48" s="229" t="n">
        <v>0.18</v>
      </c>
      <c r="G48" s="105" t="n">
        <v>6080</v>
      </c>
      <c r="H48" s="105">
        <f>ROUND(F48*G48,2)</f>
        <v/>
      </c>
      <c r="J48" s="115" t="n"/>
    </row>
    <row r="49" ht="31.5" customHeight="1" s="208">
      <c r="A49" s="148" t="inlineStr">
        <is>
          <t>33</t>
        </is>
      </c>
      <c r="B49" s="124" t="n"/>
      <c r="C49" s="230" t="inlineStr">
        <is>
          <t>21.2.01.02-0094</t>
        </is>
      </c>
      <c r="D49" s="230" t="inlineStr">
        <is>
          <t>Провод неизолированный для воздушных линий электропередачи АС 300/39</t>
        </is>
      </c>
      <c r="E49" s="229" t="inlineStr">
        <is>
          <t>т</t>
        </is>
      </c>
      <c r="F49" s="229" t="n">
        <v>0.0311753</v>
      </c>
      <c r="G49" s="105" t="n">
        <v>32758.86</v>
      </c>
      <c r="H49" s="105">
        <f>ROUND(F49*G49,2)</f>
        <v/>
      </c>
      <c r="J49" s="115" t="n"/>
    </row>
    <row r="50" ht="31.5" customHeight="1" s="208">
      <c r="A50" s="148" t="inlineStr">
        <is>
          <t>34</t>
        </is>
      </c>
      <c r="B50" s="124" t="n"/>
      <c r="C50" s="230" t="inlineStr">
        <is>
          <t>04.1.02.05-0003</t>
        </is>
      </c>
      <c r="D50" s="230" t="inlineStr">
        <is>
          <t>Смеси бетонные тяжелого бетона (БСТ), класс В7,5 (М100)</t>
        </is>
      </c>
      <c r="E50" s="229" t="inlineStr">
        <is>
          <t>м3</t>
        </is>
      </c>
      <c r="F50" s="229" t="n">
        <v>1.632</v>
      </c>
      <c r="G50" s="105" t="n">
        <v>560</v>
      </c>
      <c r="H50" s="105">
        <f>ROUND(F50*G50,2)</f>
        <v/>
      </c>
      <c r="J50" s="115" t="n"/>
    </row>
    <row r="51" ht="31.5" customHeight="1" s="208">
      <c r="A51" s="148" t="inlineStr">
        <is>
          <t>35</t>
        </is>
      </c>
      <c r="B51" s="124" t="n"/>
      <c r="C51" s="230" t="inlineStr">
        <is>
          <t>21.1.06.09-0177</t>
        </is>
      </c>
      <c r="D51" s="230" t="inlineStr">
        <is>
          <t>Кабель силовой с медными жилами ВВГнг(A)-LS 5х4-660</t>
        </is>
      </c>
      <c r="E51" s="229" t="inlineStr">
        <is>
          <t>1000 м</t>
        </is>
      </c>
      <c r="F51" s="229" t="n">
        <v>0.04</v>
      </c>
      <c r="G51" s="105" t="n">
        <v>18047.85</v>
      </c>
      <c r="H51" s="105">
        <f>ROUND(F51*G51,2)</f>
        <v/>
      </c>
      <c r="J51" s="115" t="n"/>
    </row>
    <row r="52">
      <c r="A52" s="148" t="inlineStr">
        <is>
          <t>36</t>
        </is>
      </c>
      <c r="B52" s="124" t="n"/>
      <c r="C52" s="230" t="inlineStr">
        <is>
          <t>01.7.17.11-0001</t>
        </is>
      </c>
      <c r="D52" s="230" t="inlineStr">
        <is>
          <t>Бумага шлифовальная</t>
        </is>
      </c>
      <c r="E52" s="229" t="inlineStr">
        <is>
          <t>кг</t>
        </is>
      </c>
      <c r="F52" s="229" t="n">
        <v>8</v>
      </c>
      <c r="G52" s="105" t="n">
        <v>50</v>
      </c>
      <c r="H52" s="105">
        <f>ROUND(F52*G52,2)</f>
        <v/>
      </c>
      <c r="J52" s="115" t="n"/>
    </row>
    <row r="53">
      <c r="A53" s="148" t="inlineStr">
        <is>
          <t>37</t>
        </is>
      </c>
      <c r="B53" s="124" t="n"/>
      <c r="C53" s="230" t="inlineStr">
        <is>
          <t>21.1.08.03-0693</t>
        </is>
      </c>
      <c r="D53" s="230" t="inlineStr">
        <is>
          <t>Кабель контрольный КВВГЭнг-LS 4х1,5</t>
        </is>
      </c>
      <c r="E53" s="229" t="inlineStr">
        <is>
          <t>1000 м</t>
        </is>
      </c>
      <c r="F53" s="229" t="n">
        <v>0.04</v>
      </c>
      <c r="G53" s="105" t="n">
        <v>8958.610000000001</v>
      </c>
      <c r="H53" s="105">
        <f>ROUND(F53*G53,2)</f>
        <v/>
      </c>
      <c r="J53" s="115" t="n"/>
    </row>
    <row r="54" ht="47.25" customHeight="1" s="208">
      <c r="A54" s="148" t="inlineStr">
        <is>
          <t>38</t>
        </is>
      </c>
      <c r="B54" s="124" t="n"/>
      <c r="C54" s="230" t="inlineStr">
        <is>
          <t>23.3.01.04-0074</t>
        </is>
      </c>
      <c r="D54" s="230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E54" s="229" t="inlineStr">
        <is>
          <t>м</t>
        </is>
      </c>
      <c r="F54" s="229" t="n">
        <v>0.24</v>
      </c>
      <c r="G54" s="105" t="n">
        <v>1001.3</v>
      </c>
      <c r="H54" s="105">
        <f>ROUND(F54*G54,2)</f>
        <v/>
      </c>
      <c r="J54" s="115" t="n"/>
    </row>
    <row r="55">
      <c r="A55" s="148" t="inlineStr">
        <is>
          <t>39</t>
        </is>
      </c>
      <c r="B55" s="124" t="n"/>
      <c r="C55" s="230" t="inlineStr">
        <is>
          <t>01.7.15.03-0042</t>
        </is>
      </c>
      <c r="D55" s="230" t="inlineStr">
        <is>
          <t>Болты с гайками и шайбами строительные</t>
        </is>
      </c>
      <c r="E55" s="229" t="inlineStr">
        <is>
          <t>кг</t>
        </is>
      </c>
      <c r="F55" s="229" t="n">
        <v>15.94</v>
      </c>
      <c r="G55" s="105" t="n">
        <v>9.039999999999999</v>
      </c>
      <c r="H55" s="105">
        <f>ROUND(F55*G55,2)</f>
        <v/>
      </c>
      <c r="J55" s="115" t="n"/>
    </row>
    <row r="56" ht="31.5" customHeight="1" s="208">
      <c r="A56" s="148" t="inlineStr">
        <is>
          <t>40</t>
        </is>
      </c>
      <c r="B56" s="124" t="n"/>
      <c r="C56" s="230" t="inlineStr">
        <is>
          <t>08.3.07.01-0076</t>
        </is>
      </c>
      <c r="D56" s="230" t="inlineStr">
        <is>
          <t>Прокат полосовой, горячекатаный, марка стали Ст3сп, ширина 50-200 мм, толщина 4-5 мм</t>
        </is>
      </c>
      <c r="E56" s="229" t="inlineStr">
        <is>
          <t>т</t>
        </is>
      </c>
      <c r="F56" s="229" t="n">
        <v>0.02</v>
      </c>
      <c r="G56" s="105" t="n">
        <v>5000</v>
      </c>
      <c r="H56" s="105">
        <f>ROUND(F56*G56,2)</f>
        <v/>
      </c>
      <c r="J56" s="115" t="n"/>
    </row>
    <row r="57">
      <c r="A57" s="148" t="inlineStr">
        <is>
          <t>41</t>
        </is>
      </c>
      <c r="B57" s="124" t="n"/>
      <c r="C57" s="230" t="inlineStr">
        <is>
          <t>01.7.11.07-0032</t>
        </is>
      </c>
      <c r="D57" s="230" t="inlineStr">
        <is>
          <t>Электроды сварочные Э42, диаметр 4 мм</t>
        </is>
      </c>
      <c r="E57" s="229" t="inlineStr">
        <is>
          <t>т</t>
        </is>
      </c>
      <c r="F57" s="229" t="n">
        <v>0.0059588</v>
      </c>
      <c r="G57" s="105" t="n">
        <v>10315.01</v>
      </c>
      <c r="H57" s="105">
        <f>ROUND(F57*G57,2)</f>
        <v/>
      </c>
      <c r="J57" s="115" t="n"/>
    </row>
    <row r="58" ht="31.5" customHeight="1" s="208">
      <c r="A58" s="148" t="inlineStr">
        <is>
          <t>42</t>
        </is>
      </c>
      <c r="B58" s="124" t="n"/>
      <c r="C58" s="230" t="inlineStr">
        <is>
          <t>08.3.08.02-0091</t>
        </is>
      </c>
      <c r="D58" s="230" t="inlineStr">
        <is>
          <t>Уголок перфорированный, марка стали Ст3, размер 35х35 мм</t>
        </is>
      </c>
      <c r="E58" s="229" t="inlineStr">
        <is>
          <t>м</t>
        </is>
      </c>
      <c r="F58" s="229" t="n">
        <v>3.8</v>
      </c>
      <c r="G58" s="105" t="n">
        <v>15.13</v>
      </c>
      <c r="H58" s="105">
        <f>ROUND(F58*G58,2)</f>
        <v/>
      </c>
      <c r="J58" s="115" t="n"/>
    </row>
    <row r="59" ht="31.5" customHeight="1" s="208">
      <c r="A59" s="148" t="inlineStr">
        <is>
          <t>43</t>
        </is>
      </c>
      <c r="B59" s="124" t="n"/>
      <c r="C59" s="230" t="inlineStr">
        <is>
          <t>08.3.05.02-0052</t>
        </is>
      </c>
      <c r="D59" s="230" t="inlineStr">
        <is>
          <t>Прокат толстолистовой горячекатаный марка стали Ст3, толщина 2-6 мм</t>
        </is>
      </c>
      <c r="E59" s="229" t="inlineStr">
        <is>
          <t>т</t>
        </is>
      </c>
      <c r="F59" s="229" t="n">
        <v>0.004</v>
      </c>
      <c r="G59" s="105" t="n">
        <v>5941.89</v>
      </c>
      <c r="H59" s="105">
        <f>ROUND(F59*G59,2)</f>
        <v/>
      </c>
      <c r="J59" s="115" t="n"/>
    </row>
    <row r="60">
      <c r="A60" s="148" t="inlineStr">
        <is>
          <t>44</t>
        </is>
      </c>
      <c r="B60" s="124" t="n"/>
      <c r="C60" s="230" t="inlineStr">
        <is>
          <t>01.7.11.07-0034</t>
        </is>
      </c>
      <c r="D60" s="230" t="inlineStr">
        <is>
          <t>Электроды сварочные Э42А, диаметр 4 мм</t>
        </is>
      </c>
      <c r="E60" s="229" t="inlineStr">
        <is>
          <t>кг</t>
        </is>
      </c>
      <c r="F60" s="229" t="n">
        <v>2.1</v>
      </c>
      <c r="G60" s="105" t="n">
        <v>10.57</v>
      </c>
      <c r="H60" s="105">
        <f>ROUND(F60*G60,2)</f>
        <v/>
      </c>
      <c r="J60" s="115" t="n"/>
    </row>
    <row r="61">
      <c r="A61" s="148" t="inlineStr">
        <is>
          <t>45</t>
        </is>
      </c>
      <c r="B61" s="124" t="n"/>
      <c r="C61" s="230" t="inlineStr">
        <is>
          <t>14.4.02.09-0001</t>
        </is>
      </c>
      <c r="D61" s="230" t="inlineStr">
        <is>
          <t>Краска</t>
        </is>
      </c>
      <c r="E61" s="229" t="inlineStr">
        <is>
          <t>кг</t>
        </is>
      </c>
      <c r="F61" s="229" t="n">
        <v>0.6</v>
      </c>
      <c r="G61" s="105" t="n">
        <v>28.6</v>
      </c>
      <c r="H61" s="105">
        <f>ROUND(F61*G61,2)</f>
        <v/>
      </c>
      <c r="J61" s="115" t="n"/>
    </row>
    <row r="62" ht="31.5" customHeight="1" s="208">
      <c r="A62" s="148" t="inlineStr">
        <is>
          <t>46</t>
        </is>
      </c>
      <c r="B62" s="124" t="n"/>
      <c r="C62" s="230" t="inlineStr">
        <is>
          <t>01.3.01.06-0050</t>
        </is>
      </c>
      <c r="D62" s="230" t="inlineStr">
        <is>
          <t>Смазка универсальная тугоплавкая УТ (консталин жировой)</t>
        </is>
      </c>
      <c r="E62" s="229" t="inlineStr">
        <is>
          <t>т</t>
        </is>
      </c>
      <c r="F62" s="229" t="n">
        <v>0.00084</v>
      </c>
      <c r="G62" s="105" t="n">
        <v>17500</v>
      </c>
      <c r="H62" s="105">
        <f>ROUND(F62*G62,2)</f>
        <v/>
      </c>
      <c r="J62" s="115" t="n"/>
    </row>
    <row r="63" ht="31.5" customHeight="1" s="208">
      <c r="A63" s="148" t="inlineStr">
        <is>
          <t>47</t>
        </is>
      </c>
      <c r="B63" s="124" t="n"/>
      <c r="C63" s="230" t="inlineStr">
        <is>
          <t>10.3.02.03-0011</t>
        </is>
      </c>
      <c r="D63" s="230" t="inlineStr">
        <is>
          <t>Припои оловянно-свинцовые бессурьмянистые, марка ПОС30</t>
        </is>
      </c>
      <c r="E63" s="229" t="inlineStr">
        <is>
          <t>т</t>
        </is>
      </c>
      <c r="F63" s="229" t="n">
        <v>0.000208</v>
      </c>
      <c r="G63" s="105" t="n">
        <v>68050</v>
      </c>
      <c r="H63" s="105">
        <f>ROUND(F63*G63,2)</f>
        <v/>
      </c>
      <c r="J63" s="115" t="n"/>
    </row>
    <row r="64" ht="31.5" customHeight="1" s="208">
      <c r="A64" s="148" t="inlineStr">
        <is>
          <t>48</t>
        </is>
      </c>
      <c r="B64" s="124" t="n"/>
      <c r="C64" s="230" t="inlineStr">
        <is>
          <t>999-9950</t>
        </is>
      </c>
      <c r="D64" s="230" t="inlineStr">
        <is>
          <t>Вспомогательные ненормируемые ресурсы (2% от Оплаты труда рабочих)</t>
        </is>
      </c>
      <c r="E64" s="229" t="inlineStr">
        <is>
          <t>руб</t>
        </is>
      </c>
      <c r="F64" s="229" t="n">
        <v>10.462</v>
      </c>
      <c r="G64" s="105" t="n">
        <v>1</v>
      </c>
      <c r="H64" s="105">
        <f>ROUND(F64*G64,2)</f>
        <v/>
      </c>
      <c r="J64" s="115" t="n"/>
    </row>
    <row r="65">
      <c r="A65" s="148" t="inlineStr">
        <is>
          <t>49</t>
        </is>
      </c>
      <c r="B65" s="124" t="n"/>
      <c r="C65" s="230" t="inlineStr">
        <is>
          <t>01.7.20.08-0031</t>
        </is>
      </c>
      <c r="D65" s="230" t="inlineStr">
        <is>
          <t>Бязь суровая</t>
        </is>
      </c>
      <c r="E65" s="229" t="inlineStr">
        <is>
          <t>10 м2</t>
        </is>
      </c>
      <c r="F65" s="229" t="n">
        <v>0.114</v>
      </c>
      <c r="G65" s="105" t="n">
        <v>79.09999999999999</v>
      </c>
      <c r="H65" s="105">
        <f>ROUND(F65*G65,2)</f>
        <v/>
      </c>
      <c r="J65" s="115" t="n"/>
    </row>
    <row r="66">
      <c r="A66" s="148" t="inlineStr">
        <is>
          <t>50</t>
        </is>
      </c>
      <c r="B66" s="124" t="n"/>
      <c r="C66" s="230" t="inlineStr">
        <is>
          <t>02.2.05.04-1777</t>
        </is>
      </c>
      <c r="D66" s="230" t="inlineStr">
        <is>
          <t>Щебень М 800, фракция 20-40 мм, группа 2</t>
        </is>
      </c>
      <c r="E66" s="229" t="inlineStr">
        <is>
          <t>м3</t>
        </is>
      </c>
      <c r="F66" s="229" t="n">
        <v>0.06</v>
      </c>
      <c r="G66" s="105" t="n">
        <v>108.4</v>
      </c>
      <c r="H66" s="105">
        <f>ROUND(F66*G66,2)</f>
        <v/>
      </c>
      <c r="J66" s="115" t="n"/>
    </row>
    <row r="67">
      <c r="A67" s="148" t="inlineStr">
        <is>
          <t>51</t>
        </is>
      </c>
      <c r="B67" s="124" t="n"/>
      <c r="C67" s="230" t="inlineStr">
        <is>
          <t>14.4.03.03-0002</t>
        </is>
      </c>
      <c r="D67" s="230" t="inlineStr">
        <is>
          <t>Лак битумный БТ-123</t>
        </is>
      </c>
      <c r="E67" s="229" t="inlineStr">
        <is>
          <t>т</t>
        </is>
      </c>
      <c r="F67" s="229" t="n">
        <v>0.000576</v>
      </c>
      <c r="G67" s="105" t="n">
        <v>7826.9</v>
      </c>
      <c r="H67" s="105">
        <f>ROUND(F67*G67,2)</f>
        <v/>
      </c>
      <c r="J67" s="115" t="n"/>
    </row>
    <row r="68">
      <c r="A68" s="148" t="inlineStr">
        <is>
          <t>52</t>
        </is>
      </c>
      <c r="B68" s="124" t="n"/>
      <c r="C68" s="230" t="inlineStr">
        <is>
          <t>14.4.04.09-0017</t>
        </is>
      </c>
      <c r="D68" s="230" t="inlineStr">
        <is>
          <t>Эмаль ХВ-124, защитная, зеленая</t>
        </is>
      </c>
      <c r="E68" s="229" t="inlineStr">
        <is>
          <t>т</t>
        </is>
      </c>
      <c r="F68" s="229" t="n">
        <v>0.00012</v>
      </c>
      <c r="G68" s="105" t="n">
        <v>28300.4</v>
      </c>
      <c r="H68" s="105">
        <f>ROUND(F68*G68,2)</f>
        <v/>
      </c>
      <c r="J68" s="115" t="n"/>
    </row>
    <row r="69">
      <c r="A69" s="148" t="inlineStr">
        <is>
          <t>53</t>
        </is>
      </c>
      <c r="B69" s="124" t="n"/>
      <c r="C69" s="230" t="inlineStr">
        <is>
          <t>01.7.15.07-0007</t>
        </is>
      </c>
      <c r="D69" s="230" t="inlineStr">
        <is>
          <t>Дюбели пластмассовые, диаметр 14 мм</t>
        </is>
      </c>
      <c r="E69" s="229" t="inlineStr">
        <is>
          <t>100 шт</t>
        </is>
      </c>
      <c r="F69" s="229" t="n">
        <v>0.08</v>
      </c>
      <c r="G69" s="105" t="n">
        <v>26.6</v>
      </c>
      <c r="H69" s="105">
        <f>ROUND(F69*G69,2)</f>
        <v/>
      </c>
      <c r="J69" s="115" t="n"/>
    </row>
    <row r="70">
      <c r="A70" s="148" t="inlineStr">
        <is>
          <t>54</t>
        </is>
      </c>
      <c r="B70" s="124" t="n"/>
      <c r="C70" s="230" t="inlineStr">
        <is>
          <t>14.4.01.01-0003</t>
        </is>
      </c>
      <c r="D70" s="230" t="inlineStr">
        <is>
          <t>Грунтовка ГФ-021</t>
        </is>
      </c>
      <c r="E70" s="229" t="inlineStr">
        <is>
          <t>т</t>
        </is>
      </c>
      <c r="F70" s="229" t="n">
        <v>0.00012</v>
      </c>
      <c r="G70" s="105" t="n">
        <v>15620</v>
      </c>
      <c r="H70" s="105">
        <f>ROUND(F70*G70,2)</f>
        <v/>
      </c>
      <c r="J70" s="115" t="n"/>
    </row>
    <row r="71">
      <c r="A71" s="148" t="inlineStr">
        <is>
          <t>55</t>
        </is>
      </c>
      <c r="B71" s="124" t="n"/>
      <c r="C71" s="230" t="inlineStr">
        <is>
          <t>01.7.06.07-0002</t>
        </is>
      </c>
      <c r="D71" s="230" t="inlineStr">
        <is>
          <t>Лента монтажная, тип ЛМ-5</t>
        </is>
      </c>
      <c r="E71" s="229" t="inlineStr">
        <is>
          <t>10 м</t>
        </is>
      </c>
      <c r="F71" s="229" t="n">
        <v>0.196</v>
      </c>
      <c r="G71" s="105" t="n">
        <v>6.9</v>
      </c>
      <c r="H71" s="105">
        <f>ROUND(F71*G71,2)</f>
        <v/>
      </c>
      <c r="J71" s="115" t="n"/>
    </row>
    <row r="72" ht="31.5" customHeight="1" s="208">
      <c r="A72" s="148" t="inlineStr">
        <is>
          <t>56</t>
        </is>
      </c>
      <c r="B72" s="124" t="n"/>
      <c r="C72" s="230" t="inlineStr">
        <is>
          <t>01.7.15.03-0031</t>
        </is>
      </c>
      <c r="D72" s="230" t="inlineStr">
        <is>
          <t>Болты с гайками и шайбами оцинкованные, диаметр 6 мм</t>
        </is>
      </c>
      <c r="E72" s="229" t="inlineStr">
        <is>
          <t>кг</t>
        </is>
      </c>
      <c r="F72" s="229" t="n">
        <v>0.04</v>
      </c>
      <c r="G72" s="105" t="n">
        <v>28.22</v>
      </c>
      <c r="H72" s="105">
        <f>ROUND(F72*G72,2)</f>
        <v/>
      </c>
      <c r="J72" s="115" t="n"/>
    </row>
    <row r="73">
      <c r="A73" s="148" t="inlineStr">
        <is>
          <t>57</t>
        </is>
      </c>
      <c r="B73" s="124" t="n"/>
      <c r="C73" s="230" t="inlineStr">
        <is>
          <t>01.7.15.14-0165</t>
        </is>
      </c>
      <c r="D73" s="230" t="inlineStr">
        <is>
          <t>Шурупы с полукруглой головкой 4х40 мм</t>
        </is>
      </c>
      <c r="E73" s="229" t="inlineStr">
        <is>
          <t>т</t>
        </is>
      </c>
      <c r="F73" s="229" t="n">
        <v>8.8e-05</v>
      </c>
      <c r="G73" s="105" t="n">
        <v>12430</v>
      </c>
      <c r="H73" s="105">
        <f>ROUND(F73*G73,2)</f>
        <v/>
      </c>
      <c r="J73" s="115" t="n"/>
    </row>
    <row r="74">
      <c r="A74" s="148" t="inlineStr">
        <is>
          <t>58</t>
        </is>
      </c>
      <c r="B74" s="124" t="n"/>
      <c r="C74" s="230" t="inlineStr">
        <is>
          <t>14.5.09.07-0030</t>
        </is>
      </c>
      <c r="D74" s="230" t="inlineStr">
        <is>
          <t>Растворитель Р-4</t>
        </is>
      </c>
      <c r="E74" s="229" t="inlineStr">
        <is>
          <t>кг</t>
        </is>
      </c>
      <c r="F74" s="229" t="n">
        <v>0.08</v>
      </c>
      <c r="G74" s="105" t="n">
        <v>9.42</v>
      </c>
      <c r="H74" s="105">
        <f>ROUND(F74*G74,2)</f>
        <v/>
      </c>
      <c r="J74" s="115" t="n"/>
    </row>
    <row r="75">
      <c r="A75" s="148" t="inlineStr">
        <is>
          <t>59</t>
        </is>
      </c>
      <c r="B75" s="124" t="n"/>
      <c r="C75" s="230" t="inlineStr">
        <is>
          <t>14.5.09.11-0102</t>
        </is>
      </c>
      <c r="D75" s="230" t="inlineStr">
        <is>
          <t>Уайт-спирит</t>
        </is>
      </c>
      <c r="E75" s="229" t="inlineStr">
        <is>
          <t>кг</t>
        </is>
      </c>
      <c r="F75" s="229" t="n">
        <v>0.04</v>
      </c>
      <c r="G75" s="105" t="n">
        <v>6.67</v>
      </c>
      <c r="H75" s="105">
        <f>ROUND(F75*G75,2)</f>
        <v/>
      </c>
      <c r="J75" s="115" t="n"/>
    </row>
    <row r="76">
      <c r="J76" s="115" t="n"/>
    </row>
    <row r="78">
      <c r="B78" s="210" t="inlineStr">
        <is>
          <t>Составил ______________________        Е.А. Князева</t>
        </is>
      </c>
    </row>
    <row r="79">
      <c r="B79" s="125" t="inlineStr">
        <is>
          <t xml:space="preserve">                         (подпись, инициалы, фамилия)</t>
        </is>
      </c>
    </row>
    <row r="81">
      <c r="B81" s="210" t="inlineStr">
        <is>
          <t>Проверил ______________________        А.В. Костянецкая</t>
        </is>
      </c>
    </row>
    <row r="82">
      <c r="B82" s="125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A20:E20"/>
    <mergeCell ref="E9:E10"/>
    <mergeCell ref="F9:F10"/>
    <mergeCell ref="A9:A10"/>
    <mergeCell ref="A2:H2"/>
    <mergeCell ref="A5:H5"/>
    <mergeCell ref="A44:E44"/>
    <mergeCell ref="G9:H9"/>
    <mergeCell ref="A40:E40"/>
    <mergeCell ref="A18:E18"/>
  </mergeCells>
  <pageMargins left="0.7" right="0.7" top="0.75" bottom="0.75" header="0.3" footer="0.3"/>
  <pageSetup orientation="portrait" paperSize="9" scale="4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RowHeight="15"/>
  <cols>
    <col width="4.140625" customWidth="1" style="208" min="1" max="1"/>
    <col width="36.28515625" customWidth="1" style="208" min="2" max="2"/>
    <col width="18.85546875" customWidth="1" style="208" min="3" max="3"/>
    <col width="18.28515625" customWidth="1" style="208" min="4" max="4"/>
    <col width="18.85546875" customWidth="1" style="208" min="5" max="5"/>
    <col width="9.140625" customWidth="1" style="208" min="6" max="6"/>
    <col width="12.85546875" customWidth="1" style="208" min="7" max="7"/>
    <col width="9.140625" customWidth="1" style="208" min="8" max="11"/>
    <col width="13.5703125" customWidth="1" style="208" min="12" max="12"/>
    <col width="9.140625" customWidth="1" style="208" min="13" max="13"/>
  </cols>
  <sheetData>
    <row r="1">
      <c r="B1" s="205" t="n"/>
      <c r="C1" s="205" t="n"/>
      <c r="D1" s="205" t="n"/>
      <c r="E1" s="205" t="n"/>
    </row>
    <row r="2">
      <c r="B2" s="205" t="n"/>
      <c r="C2" s="205" t="n"/>
      <c r="D2" s="205" t="n"/>
      <c r="E2" s="255" t="inlineStr">
        <is>
          <t>Приложение № 4</t>
        </is>
      </c>
    </row>
    <row r="3">
      <c r="B3" s="205" t="n"/>
      <c r="C3" s="205" t="n"/>
      <c r="D3" s="205" t="n"/>
      <c r="E3" s="205" t="n"/>
    </row>
    <row r="4">
      <c r="B4" s="205" t="n"/>
      <c r="C4" s="205" t="n"/>
      <c r="D4" s="205" t="n"/>
      <c r="E4" s="205" t="n"/>
    </row>
    <row r="5">
      <c r="B5" s="232" t="inlineStr">
        <is>
          <t>Ресурсная модель</t>
        </is>
      </c>
    </row>
    <row r="6">
      <c r="B6" s="18" t="n"/>
      <c r="C6" s="205" t="n"/>
      <c r="D6" s="205" t="n"/>
      <c r="E6" s="205" t="n"/>
    </row>
    <row r="7" ht="39.75" customHeight="1" s="208">
      <c r="B7" s="233">
        <f>'Прил.1 Сравнит табл'!B7</f>
        <v/>
      </c>
    </row>
    <row r="8">
      <c r="B8" s="234">
        <f>'Прил.1 Сравнит табл'!B9</f>
        <v/>
      </c>
    </row>
    <row r="9">
      <c r="B9" s="18" t="n"/>
      <c r="C9" s="205" t="n"/>
      <c r="D9" s="205" t="n"/>
      <c r="E9" s="205" t="n"/>
    </row>
    <row r="10" ht="51" customHeight="1" s="208">
      <c r="B10" s="235" t="inlineStr">
        <is>
          <t>Наименование</t>
        </is>
      </c>
      <c r="C10" s="235" t="inlineStr">
        <is>
          <t>Сметная стоимость в ценах на 01.01.2023
 (руб.)</t>
        </is>
      </c>
      <c r="D10" s="235" t="inlineStr">
        <is>
          <t>Удельный вес, 
(в СМР)</t>
        </is>
      </c>
      <c r="E10" s="235" t="inlineStr">
        <is>
          <t>Удельный вес, % 
(от всего по РМ)</t>
        </is>
      </c>
    </row>
    <row r="11">
      <c r="B11" s="28" t="inlineStr">
        <is>
          <t>Оплата труда рабочих</t>
        </is>
      </c>
      <c r="C11" s="196">
        <f>'Прил.5 Расчет СМР и ОБ'!J15</f>
        <v/>
      </c>
      <c r="D11" s="30">
        <f>C11/$C$24</f>
        <v/>
      </c>
      <c r="E11" s="30">
        <f>C11/$C$40</f>
        <v/>
      </c>
    </row>
    <row r="12">
      <c r="B12" s="28" t="inlineStr">
        <is>
          <t>Эксплуатация машин основных</t>
        </is>
      </c>
      <c r="C12" s="196">
        <f>'Прил.5 Расчет СМР и ОБ'!J26</f>
        <v/>
      </c>
      <c r="D12" s="30">
        <f>C12/$C$24</f>
        <v/>
      </c>
      <c r="E12" s="30">
        <f>C12/$C$40</f>
        <v/>
      </c>
    </row>
    <row r="13">
      <c r="B13" s="28" t="inlineStr">
        <is>
          <t>Эксплуатация машин прочих</t>
        </is>
      </c>
      <c r="C13" s="196">
        <f>'Прил.5 Расчет СМР и ОБ'!J43</f>
        <v/>
      </c>
      <c r="D13" s="30">
        <f>C13/$C$24</f>
        <v/>
      </c>
      <c r="E13" s="30">
        <f>C13/$C$40</f>
        <v/>
      </c>
    </row>
    <row r="14">
      <c r="B14" s="28" t="inlineStr">
        <is>
          <t>ЭКСПЛУАТАЦИЯ МАШИН, ВСЕГО:</t>
        </is>
      </c>
      <c r="C14" s="196">
        <f>C13+C12</f>
        <v/>
      </c>
      <c r="D14" s="30">
        <f>C14/$C$24</f>
        <v/>
      </c>
      <c r="E14" s="30">
        <f>C14/$C$40</f>
        <v/>
      </c>
    </row>
    <row r="15">
      <c r="B15" s="28" t="inlineStr">
        <is>
          <t>в том числе зарплата машинистов</t>
        </is>
      </c>
      <c r="C15" s="196">
        <f>'Прил.5 Расчет СМР и ОБ'!J18</f>
        <v/>
      </c>
      <c r="D15" s="30">
        <f>C15/$C$24</f>
        <v/>
      </c>
      <c r="E15" s="30">
        <f>C15/$C$40</f>
        <v/>
      </c>
    </row>
    <row r="16">
      <c r="B16" s="28" t="inlineStr">
        <is>
          <t>Материалы основные</t>
        </is>
      </c>
      <c r="C16" s="196">
        <f>'Прил.5 Расчет СМР и ОБ'!J54</f>
        <v/>
      </c>
      <c r="D16" s="30">
        <f>C16/$C$24</f>
        <v/>
      </c>
      <c r="E16" s="30">
        <f>C16/$C$40</f>
        <v/>
      </c>
    </row>
    <row r="17">
      <c r="B17" s="28" t="inlineStr">
        <is>
          <t>Материалы прочие</t>
        </is>
      </c>
      <c r="C17" s="196">
        <f>'Прил.5 Расчет СМР и ОБ'!J55</f>
        <v/>
      </c>
      <c r="D17" s="30">
        <f>C17/$C$24</f>
        <v/>
      </c>
      <c r="E17" s="30">
        <f>C17/$C$40</f>
        <v/>
      </c>
      <c r="G17" s="279" t="n"/>
    </row>
    <row r="18">
      <c r="B18" s="28" t="inlineStr">
        <is>
          <t>МАТЕРИАЛЫ, ВСЕГО:</t>
        </is>
      </c>
      <c r="C18" s="196">
        <f>C17+C16</f>
        <v/>
      </c>
      <c r="D18" s="30">
        <f>C18/$C$24</f>
        <v/>
      </c>
      <c r="E18" s="30">
        <f>C18/$C$40</f>
        <v/>
      </c>
    </row>
    <row r="19">
      <c r="B19" s="28" t="inlineStr">
        <is>
          <t>ИТОГО</t>
        </is>
      </c>
      <c r="C19" s="196">
        <f>C18+C14+C11</f>
        <v/>
      </c>
      <c r="D19" s="30" t="n"/>
      <c r="E19" s="28" t="n"/>
    </row>
    <row r="20">
      <c r="B20" s="28" t="inlineStr">
        <is>
          <t>Сметная прибыль, руб.</t>
        </is>
      </c>
      <c r="C20" s="196">
        <f>ROUND(C21*(C11+C15),2)</f>
        <v/>
      </c>
      <c r="D20" s="30">
        <f>C20/$C$24</f>
        <v/>
      </c>
      <c r="E20" s="30">
        <f>C20/$C$40</f>
        <v/>
      </c>
    </row>
    <row r="21">
      <c r="B21" s="28" t="inlineStr">
        <is>
          <t>Сметная прибыль, %</t>
        </is>
      </c>
      <c r="C21" s="164">
        <f>'Прил.5 Расчет СМР и ОБ'!D61</f>
        <v/>
      </c>
      <c r="D21" s="30" t="n"/>
      <c r="E21" s="28" t="n"/>
    </row>
    <row r="22">
      <c r="B22" s="28" t="inlineStr">
        <is>
          <t>Накладные расходы, руб.</t>
        </is>
      </c>
      <c r="C22" s="196">
        <f>ROUND(C23*(C11+C15),2)</f>
        <v/>
      </c>
      <c r="D22" s="30">
        <f>C22/$C$24</f>
        <v/>
      </c>
      <c r="E22" s="30">
        <f>C22/$C$40</f>
        <v/>
      </c>
    </row>
    <row r="23">
      <c r="B23" s="28" t="inlineStr">
        <is>
          <t>Накладные расходы, %</t>
        </is>
      </c>
      <c r="C23" s="164">
        <f>'Прил.5 Расчет СМР и ОБ'!D59</f>
        <v/>
      </c>
      <c r="D23" s="30" t="n"/>
      <c r="E23" s="28" t="n"/>
    </row>
    <row r="24">
      <c r="B24" s="28" t="inlineStr">
        <is>
          <t>ВСЕГО СМР с НР и СП</t>
        </is>
      </c>
      <c r="C24" s="196">
        <f>C19+C20+C22</f>
        <v/>
      </c>
      <c r="D24" s="30">
        <f>C24/$C$24</f>
        <v/>
      </c>
      <c r="E24" s="30">
        <f>C24/$C$40</f>
        <v/>
      </c>
    </row>
    <row r="25" ht="25.5" customHeight="1" s="208">
      <c r="B25" s="28" t="inlineStr">
        <is>
          <t>ВСЕГО стоимость оборудования, в том числе</t>
        </is>
      </c>
      <c r="C25" s="196">
        <f>'Прил.5 Расчет СМР и ОБ'!J50</f>
        <v/>
      </c>
      <c r="D25" s="30" t="n"/>
      <c r="E25" s="30">
        <f>C25/$C$40</f>
        <v/>
      </c>
    </row>
    <row r="26" ht="25.5" customHeight="1" s="208">
      <c r="B26" s="28" t="inlineStr">
        <is>
          <t>стоимость оборудования технологического</t>
        </is>
      </c>
      <c r="C26" s="196">
        <f>'Прил.5 Расчет СМР и ОБ'!J51</f>
        <v/>
      </c>
      <c r="D26" s="30" t="n"/>
      <c r="E26" s="30">
        <f>C26/$C$40</f>
        <v/>
      </c>
    </row>
    <row r="27">
      <c r="B27" s="28" t="inlineStr">
        <is>
          <t>ИТОГО (СМР + ОБОРУДОВАНИЕ)</t>
        </is>
      </c>
      <c r="C27" s="166">
        <f>C24+C25</f>
        <v/>
      </c>
      <c r="D27" s="30" t="n"/>
      <c r="E27" s="30">
        <f>C27/$C$40</f>
        <v/>
      </c>
    </row>
    <row r="28" ht="33" customHeight="1" s="208">
      <c r="B28" s="28" t="inlineStr">
        <is>
          <t>ПРОЧ. ЗАТР., УЧТЕННЫЕ ПОКАЗАТЕЛЕМ,  в том числе</t>
        </is>
      </c>
      <c r="C28" s="28" t="n"/>
      <c r="D28" s="28" t="n"/>
      <c r="E28" s="28" t="n"/>
    </row>
    <row r="29" ht="25.5" customHeight="1" s="208">
      <c r="B29" s="28" t="inlineStr">
        <is>
          <t>Временные здания и сооружения - 2,5%</t>
        </is>
      </c>
      <c r="C29" s="166">
        <f>ROUND(C24*2.5%,2)</f>
        <v/>
      </c>
      <c r="D29" s="28" t="n"/>
      <c r="E29" s="30">
        <f>C29/$C$40</f>
        <v/>
      </c>
    </row>
    <row r="30" ht="38.25" customHeight="1" s="208">
      <c r="B30" s="28" t="inlineStr">
        <is>
          <t>Дополнительные затраты при производстве строительно-монтажных работ в зимнее время - 2,1%</t>
        </is>
      </c>
      <c r="C30" s="166">
        <f>ROUND((C24+C29)*2.1%,2)</f>
        <v/>
      </c>
      <c r="D30" s="28" t="n"/>
      <c r="E30" s="30">
        <f>C30/$C$40</f>
        <v/>
      </c>
    </row>
    <row r="31">
      <c r="B31" s="28" t="inlineStr">
        <is>
          <t xml:space="preserve">Пусконаладочные работы </t>
        </is>
      </c>
      <c r="C31" s="166" t="n">
        <v>0</v>
      </c>
      <c r="D31" s="28" t="n"/>
      <c r="E31" s="30">
        <f>C31/$C$40</f>
        <v/>
      </c>
    </row>
    <row r="32" ht="25.5" customHeight="1" s="208">
      <c r="B32" s="28" t="inlineStr">
        <is>
          <t xml:space="preserve">Затраты по перевозке работников к месту работы и обратно </t>
        </is>
      </c>
      <c r="C32" s="166" t="n">
        <v>0</v>
      </c>
      <c r="D32" s="28" t="n"/>
      <c r="E32" s="30">
        <f>C32/$C$40</f>
        <v/>
      </c>
      <c r="G32" s="119" t="n"/>
    </row>
    <row r="33" ht="25.5" customHeight="1" s="208">
      <c r="B33" s="28" t="inlineStr">
        <is>
          <t>Затраты, связанные с осуществлением работ вахтовым методом</t>
        </is>
      </c>
      <c r="C33" s="166" t="n">
        <v>0</v>
      </c>
      <c r="D33" s="28" t="n"/>
      <c r="E33" s="30">
        <f>C33/$C$40</f>
        <v/>
      </c>
      <c r="G33" s="119" t="n"/>
    </row>
    <row r="34" ht="51" customHeight="1" s="208">
      <c r="B34" s="2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6" t="n">
        <v>0</v>
      </c>
      <c r="D34" s="28" t="n"/>
      <c r="E34" s="30">
        <f>C34/$C$40</f>
        <v/>
      </c>
      <c r="G34" s="119" t="n"/>
    </row>
    <row r="35" ht="76.5" customHeight="1" s="208">
      <c r="B35" s="2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6" t="n">
        <v>0</v>
      </c>
      <c r="D35" s="28" t="n"/>
      <c r="E35" s="30">
        <f>C35/$C$40</f>
        <v/>
      </c>
      <c r="G35" s="119" t="n"/>
    </row>
    <row r="36" ht="25.5" customHeight="1" s="208">
      <c r="B36" s="28" t="inlineStr">
        <is>
          <t>Строительный контроль и содержание службы заказчика - 2,14%</t>
        </is>
      </c>
      <c r="C36" s="166">
        <f>ROUND(SUM(C27:C35)*2.14%,2)</f>
        <v/>
      </c>
      <c r="D36" s="28" t="n"/>
      <c r="E36" s="30">
        <f>C36/$C$40</f>
        <v/>
      </c>
      <c r="G36" s="62" t="n"/>
      <c r="L36" s="20" t="n"/>
    </row>
    <row r="37">
      <c r="B37" s="28" t="inlineStr">
        <is>
          <t>Авторский надзор - 0,2%</t>
        </is>
      </c>
      <c r="C37" s="166">
        <f>ROUND(SUM(C27:C35)*0.2%,2)</f>
        <v/>
      </c>
      <c r="D37" s="28" t="n"/>
      <c r="E37" s="30">
        <f>C37/$C$40</f>
        <v/>
      </c>
      <c r="G37" s="62" t="n"/>
      <c r="L37" s="20" t="n"/>
    </row>
    <row r="38" ht="38.25" customHeight="1" s="208">
      <c r="B38" s="28" t="inlineStr">
        <is>
          <t>ИТОГО (СМР+ОБОРУДОВАНИЕ+ПРОЧ. ЗАТР., УЧТЕННЫЕ ПОКАЗАТЕЛЕМ)</t>
        </is>
      </c>
      <c r="C38" s="196">
        <f>SUM(C27:C37)</f>
        <v/>
      </c>
      <c r="D38" s="28" t="n"/>
      <c r="E38" s="30">
        <f>C38/$C$40</f>
        <v/>
      </c>
    </row>
    <row r="39" ht="13.5" customHeight="1" s="208">
      <c r="B39" s="28" t="inlineStr">
        <is>
          <t>Непредвиденные расходы - 3%</t>
        </is>
      </c>
      <c r="C39" s="196">
        <f>ROUND(C38*3%,2)</f>
        <v/>
      </c>
      <c r="D39" s="28" t="n"/>
      <c r="E39" s="30">
        <f>C39/$C$40</f>
        <v/>
      </c>
    </row>
    <row r="40">
      <c r="B40" s="28" t="inlineStr">
        <is>
          <t>ВСЕГО:</t>
        </is>
      </c>
      <c r="C40" s="196">
        <f>C39+C38</f>
        <v/>
      </c>
      <c r="D40" s="28" t="n"/>
      <c r="E40" s="30">
        <f>C40/$C$40</f>
        <v/>
      </c>
    </row>
    <row r="41">
      <c r="B41" s="28" t="inlineStr">
        <is>
          <t>ИТОГО ПОКАЗАТЕЛЬ НА ЕД. ИЗМ.</t>
        </is>
      </c>
      <c r="C41" s="196">
        <f>C40/'Прил.5 Расчет СМР и ОБ'!E65</f>
        <v/>
      </c>
      <c r="D41" s="28" t="n"/>
      <c r="E41" s="28" t="n"/>
    </row>
    <row r="42">
      <c r="B42" s="198" t="n"/>
      <c r="C42" s="205" t="n"/>
      <c r="D42" s="205" t="n"/>
      <c r="E42" s="205" t="n"/>
    </row>
    <row r="43">
      <c r="B43" s="205" t="inlineStr">
        <is>
          <t>Составил ______________________        Е.А. Князева</t>
        </is>
      </c>
      <c r="C43" s="203" t="n"/>
      <c r="D43" s="205" t="n"/>
      <c r="E43" s="205" t="n"/>
    </row>
    <row r="44">
      <c r="B44" s="202" t="inlineStr">
        <is>
          <t xml:space="preserve">                         (подпись, инициалы, фамилия)</t>
        </is>
      </c>
      <c r="C44" s="203" t="n"/>
      <c r="D44" s="205" t="n"/>
      <c r="E44" s="205" t="n"/>
    </row>
    <row r="45">
      <c r="B45" s="205" t="n"/>
      <c r="C45" s="203" t="n"/>
      <c r="D45" s="205" t="n"/>
      <c r="E45" s="205" t="n"/>
    </row>
    <row r="46">
      <c r="B46" s="205" t="inlineStr">
        <is>
          <t>Проверил ______________________        А.В. Костянецкая</t>
        </is>
      </c>
      <c r="C46" s="203" t="n"/>
      <c r="D46" s="205" t="n"/>
      <c r="E46" s="205" t="n"/>
    </row>
    <row r="47">
      <c r="B47" s="202" t="inlineStr">
        <is>
          <t xml:space="preserve">                        (подпись, инициалы, фамилия)</t>
        </is>
      </c>
      <c r="C47" s="203" t="n"/>
      <c r="D47" s="205" t="n"/>
      <c r="E47" s="205" t="n"/>
    </row>
    <row r="49">
      <c r="B49" s="205" t="n"/>
      <c r="C49" s="205" t="n"/>
      <c r="D49" s="205" t="n"/>
      <c r="E49" s="205" t="n"/>
    </row>
    <row r="50">
      <c r="B50" s="205" t="n"/>
      <c r="C50" s="205" t="n"/>
      <c r="D50" s="205" t="n"/>
      <c r="E50" s="20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N72"/>
  <sheetViews>
    <sheetView view="pageBreakPreview" topLeftCell="A51" workbookViewId="0">
      <selection activeCell="B49" sqref="B49"/>
    </sheetView>
  </sheetViews>
  <sheetFormatPr baseColWidth="8" defaultColWidth="9.140625" defaultRowHeight="15" outlineLevelRow="1"/>
  <cols>
    <col width="5.7109375" customWidth="1" style="203" min="1" max="1"/>
    <col width="22.5703125" customWidth="1" style="203" min="2" max="2"/>
    <col width="39.140625" customWidth="1" style="203" min="3" max="3"/>
    <col width="10.7109375" customWidth="1" style="203" min="4" max="4"/>
    <col width="12.7109375" customWidth="1" style="203" min="5" max="5"/>
    <col width="14.5703125" customWidth="1" style="203" min="6" max="6"/>
    <col width="13.42578125" customWidth="1" style="203" min="7" max="7"/>
    <col width="12.7109375" customWidth="1" style="203" min="8" max="8"/>
    <col width="14.5703125" customWidth="1" style="203" min="9" max="9"/>
    <col width="15.140625" customWidth="1" style="203" min="10" max="10"/>
    <col width="2.85546875" customWidth="1" style="203" min="11" max="11"/>
    <col width="10.7109375" customWidth="1" style="203" min="12" max="12"/>
    <col width="10.85546875" customWidth="1" style="203" min="13" max="13"/>
    <col width="9.140625" customWidth="1" style="203" min="14" max="14"/>
    <col width="9.140625" customWidth="1" style="208" min="15" max="15"/>
  </cols>
  <sheetData>
    <row r="2" ht="15.75" customHeight="1" s="208">
      <c r="I2" s="210" t="n"/>
      <c r="J2" s="147" t="inlineStr">
        <is>
          <t>Приложение №5</t>
        </is>
      </c>
    </row>
    <row r="4" ht="12.75" customFormat="1" customHeight="1" s="205">
      <c r="A4" s="232" t="inlineStr">
        <is>
          <t>Расчет стоимости СМР и оборудования</t>
        </is>
      </c>
      <c r="I4" s="232" t="n"/>
      <c r="J4" s="232" t="n"/>
    </row>
    <row r="5" ht="12.75" customFormat="1" customHeight="1" s="205">
      <c r="A5" s="232" t="n"/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</row>
    <row r="6" ht="41.25" customFormat="1" customHeight="1" s="205">
      <c r="A6" s="108" t="inlineStr">
        <is>
          <t>Наименование разрабатываемого показателя УНЦ</t>
        </is>
      </c>
      <c r="B6" s="109" t="n"/>
      <c r="C6" s="109" t="n"/>
      <c r="D6" s="248" t="inlineStr">
        <is>
          <t>Демонтаж трансформаторов тока 6-15 кВ</t>
        </is>
      </c>
    </row>
    <row r="7" ht="12.75" customFormat="1" customHeight="1" s="205">
      <c r="A7" s="248">
        <f>'Прил.1 Сравнит табл'!B9</f>
        <v/>
      </c>
      <c r="I7" s="233" t="n"/>
      <c r="J7" s="233" t="n"/>
    </row>
    <row r="8" ht="12.75" customFormat="1" customHeight="1" s="205"/>
    <row r="9" ht="27" customHeight="1" s="208">
      <c r="A9" s="235" t="inlineStr">
        <is>
          <t>№ пп.</t>
        </is>
      </c>
      <c r="B9" s="235" t="inlineStr">
        <is>
          <t>Код ресурса</t>
        </is>
      </c>
      <c r="C9" s="235" t="inlineStr">
        <is>
          <t>Наименование</t>
        </is>
      </c>
      <c r="D9" s="235" t="inlineStr">
        <is>
          <t>Ед. изм.</t>
        </is>
      </c>
      <c r="E9" s="235" t="inlineStr">
        <is>
          <t>Кол-во единиц по проектным данным</t>
        </is>
      </c>
      <c r="F9" s="235" t="inlineStr">
        <is>
          <t>Сметная стоимость в ценах на 01.01.2000 (руб.)</t>
        </is>
      </c>
      <c r="G9" s="274" t="n"/>
      <c r="H9" s="235" t="inlineStr">
        <is>
          <t>Удельный вес, %</t>
        </is>
      </c>
      <c r="I9" s="235" t="inlineStr">
        <is>
          <t>Сметная стоимость в ценах на 01.01.2023 (руб.)</t>
        </is>
      </c>
      <c r="J9" s="274" t="n"/>
    </row>
    <row r="10" ht="28.5" customHeight="1" s="208">
      <c r="A10" s="276" t="n"/>
      <c r="B10" s="276" t="n"/>
      <c r="C10" s="276" t="n"/>
      <c r="D10" s="276" t="n"/>
      <c r="E10" s="276" t="n"/>
      <c r="F10" s="235" t="inlineStr">
        <is>
          <t>на ед. изм.</t>
        </is>
      </c>
      <c r="G10" s="235" t="inlineStr">
        <is>
          <t>общая</t>
        </is>
      </c>
      <c r="H10" s="276" t="n"/>
      <c r="I10" s="235" t="inlineStr">
        <is>
          <t>на ед. изм.</t>
        </is>
      </c>
      <c r="J10" s="235" t="inlineStr">
        <is>
          <t>общая</t>
        </is>
      </c>
    </row>
    <row r="11">
      <c r="A11" s="235" t="n">
        <v>1</v>
      </c>
      <c r="B11" s="235" t="n">
        <v>2</v>
      </c>
      <c r="C11" s="235" t="n">
        <v>3</v>
      </c>
      <c r="D11" s="235" t="n">
        <v>4</v>
      </c>
      <c r="E11" s="235" t="n">
        <v>5</v>
      </c>
      <c r="F11" s="235" t="n">
        <v>6</v>
      </c>
      <c r="G11" s="235" t="n">
        <v>7</v>
      </c>
      <c r="H11" s="235" t="n">
        <v>8</v>
      </c>
      <c r="I11" s="235" t="n">
        <v>9</v>
      </c>
      <c r="J11" s="235" t="n">
        <v>10</v>
      </c>
    </row>
    <row r="12">
      <c r="A12" s="235" t="n"/>
      <c r="B12" s="249" t="inlineStr">
        <is>
          <t>Затраты труда рабочих-строителей</t>
        </is>
      </c>
      <c r="C12" s="273" t="n"/>
      <c r="D12" s="273" t="n"/>
      <c r="E12" s="273" t="n"/>
      <c r="F12" s="273" t="n"/>
      <c r="G12" s="273" t="n"/>
      <c r="H12" s="274" t="n"/>
      <c r="I12" s="39" t="n"/>
      <c r="J12" s="39" t="n"/>
      <c r="L12" s="280" t="n"/>
    </row>
    <row r="13" ht="25.5" customHeight="1" s="208">
      <c r="A13" s="235" t="n">
        <v>1</v>
      </c>
      <c r="B13" s="145" t="inlineStr">
        <is>
          <t>1-4-0</t>
        </is>
      </c>
      <c r="C13" s="240" t="inlineStr">
        <is>
          <t>Затраты труда рабочих-строителей среднего разряда (4,0)</t>
        </is>
      </c>
      <c r="D13" s="235" t="inlineStr">
        <is>
          <t>чел.-ч.</t>
        </is>
      </c>
      <c r="E13" s="281">
        <f>G13/F13</f>
        <v/>
      </c>
      <c r="F13" s="189" t="n">
        <v>9.619999999999999</v>
      </c>
      <c r="G13" s="189">
        <f>Прил.3!H12</f>
        <v/>
      </c>
      <c r="H13" s="250">
        <f>G13/G14</f>
        <v/>
      </c>
      <c r="I13" s="189">
        <f>ФОТр.тек.!E13</f>
        <v/>
      </c>
      <c r="J13" s="189">
        <f>ROUND(I13*E13,2)</f>
        <v/>
      </c>
    </row>
    <row r="14" ht="25.5" customFormat="1" customHeight="1" s="203">
      <c r="A14" s="235" t="n"/>
      <c r="B14" s="235" t="n"/>
      <c r="C14" s="249" t="inlineStr">
        <is>
          <t>Итого по разделу "Затраты труда рабочих-строителей"</t>
        </is>
      </c>
      <c r="D14" s="235" t="inlineStr">
        <is>
          <t>чел.-ч.</t>
        </is>
      </c>
      <c r="E14" s="281">
        <f>SUM(E13:E13)</f>
        <v/>
      </c>
      <c r="F14" s="189" t="n"/>
      <c r="G14" s="189">
        <f>SUM(G13:G13)</f>
        <v/>
      </c>
      <c r="H14" s="250" t="n">
        <v>1</v>
      </c>
      <c r="I14" s="189" t="n"/>
      <c r="J14" s="189">
        <f>SUM(J13:J13)</f>
        <v/>
      </c>
      <c r="L14" s="76" t="n"/>
    </row>
    <row r="15" ht="38.25" customFormat="1" customHeight="1" s="203">
      <c r="A15" s="235" t="n"/>
      <c r="B15" s="235" t="n"/>
      <c r="C15" s="249" t="inlineStr">
        <is>
          <t>Итого по разделу "Затраты труда рабочих-строителей" 
(с коэффициентом на демонтаж 0,7)</t>
        </is>
      </c>
      <c r="D15" s="235" t="n"/>
      <c r="E15" s="241" t="n"/>
      <c r="F15" s="242" t="n"/>
      <c r="G15" s="189">
        <f>SUM(G14)*0.7</f>
        <v/>
      </c>
      <c r="H15" s="243" t="n">
        <v>1</v>
      </c>
      <c r="I15" s="167" t="n"/>
      <c r="J15" s="189">
        <f>SUM(J13)*0.7</f>
        <v/>
      </c>
      <c r="L15" s="76" t="n"/>
    </row>
    <row r="16" ht="14.25" customFormat="1" customHeight="1" s="203">
      <c r="A16" s="235" t="n"/>
      <c r="B16" s="240" t="inlineStr">
        <is>
          <t>Затраты труда машинистов</t>
        </is>
      </c>
      <c r="C16" s="273" t="n"/>
      <c r="D16" s="273" t="n"/>
      <c r="E16" s="273" t="n"/>
      <c r="F16" s="273" t="n"/>
      <c r="G16" s="273" t="n"/>
      <c r="H16" s="274" t="n"/>
      <c r="I16" s="39" t="n"/>
      <c r="J16" s="39" t="n"/>
      <c r="L16" s="280" t="n"/>
    </row>
    <row r="17" ht="14.25" customFormat="1" customHeight="1" s="203">
      <c r="A17" s="235" t="n">
        <v>2</v>
      </c>
      <c r="B17" s="235" t="n">
        <v>2</v>
      </c>
      <c r="C17" s="240" t="inlineStr">
        <is>
          <t>Затраты труда машинистов</t>
        </is>
      </c>
      <c r="D17" s="235" t="inlineStr">
        <is>
          <t>чел.-ч.</t>
        </is>
      </c>
      <c r="E17" s="281">
        <f>Прил.3!F19</f>
        <v/>
      </c>
      <c r="F17" s="189">
        <f>G17/E17</f>
        <v/>
      </c>
      <c r="G17" s="189">
        <f>Прил.3!H19</f>
        <v/>
      </c>
      <c r="H17" s="250" t="n">
        <v>1</v>
      </c>
      <c r="I17" s="189">
        <f>ROUND(F17*Прил.10!D10,2)</f>
        <v/>
      </c>
      <c r="J17" s="189">
        <f>ROUND(I17*E17,2)</f>
        <v/>
      </c>
      <c r="L17" s="57" t="n"/>
    </row>
    <row r="18" ht="25.5" customFormat="1" customHeight="1" s="203">
      <c r="A18" s="235" t="n"/>
      <c r="B18" s="235" t="n"/>
      <c r="C18" s="168" t="inlineStr">
        <is>
          <t>Затраты труда машинистов 
(с коэффициентом на демонтаж 0,7)</t>
        </is>
      </c>
      <c r="D18" s="162" t="n"/>
      <c r="E18" s="162" t="n"/>
      <c r="F18" s="162" t="n"/>
      <c r="G18" s="166">
        <f>G17*0.7</f>
        <v/>
      </c>
      <c r="H18" s="164">
        <f>H17</f>
        <v/>
      </c>
      <c r="I18" s="165" t="n"/>
      <c r="J18" s="166">
        <f>J17*0.7</f>
        <v/>
      </c>
      <c r="L18" s="57" t="n"/>
    </row>
    <row r="19" ht="14.25" customFormat="1" customHeight="1" s="203">
      <c r="A19" s="235" t="n"/>
      <c r="B19" s="249" t="inlineStr">
        <is>
          <t>Машины и механизмы</t>
        </is>
      </c>
      <c r="C19" s="273" t="n"/>
      <c r="D19" s="273" t="n"/>
      <c r="E19" s="273" t="n"/>
      <c r="F19" s="273" t="n"/>
      <c r="G19" s="273" t="n"/>
      <c r="H19" s="274" t="n"/>
      <c r="I19" s="250" t="n"/>
      <c r="J19" s="250" t="n"/>
    </row>
    <row r="20" ht="14.25" customFormat="1" customHeight="1" s="203">
      <c r="A20" s="235" t="n"/>
      <c r="B20" s="240" t="inlineStr">
        <is>
          <t>Основные машины и механизмы</t>
        </is>
      </c>
      <c r="C20" s="273" t="n"/>
      <c r="D20" s="273" t="n"/>
      <c r="E20" s="273" t="n"/>
      <c r="F20" s="273" t="n"/>
      <c r="G20" s="273" t="n"/>
      <c r="H20" s="274" t="n"/>
      <c r="I20" s="39" t="n"/>
      <c r="J20" s="39" t="n"/>
    </row>
    <row r="21" ht="25.5" customFormat="1" customHeight="1" s="203">
      <c r="A21" s="235" t="n">
        <v>3</v>
      </c>
      <c r="B21" s="145" t="inlineStr">
        <is>
          <t>91.05.05-015</t>
        </is>
      </c>
      <c r="C21" s="240" t="inlineStr">
        <is>
          <t>Краны на автомобильном ходу, грузоподъемность 16 т</t>
        </is>
      </c>
      <c r="D21" s="235" t="inlineStr">
        <is>
          <t>маш.час</t>
        </is>
      </c>
      <c r="E21" s="281" t="n">
        <v>7.1111676</v>
      </c>
      <c r="F21" s="254" t="n">
        <v>115.4</v>
      </c>
      <c r="G21" s="189">
        <f>ROUND(E21*F21,2)</f>
        <v/>
      </c>
      <c r="H21" s="250">
        <f>G21/$G$44</f>
        <v/>
      </c>
      <c r="I21" s="189">
        <f>ROUND(F21*Прил.10!$D$11,2)</f>
        <v/>
      </c>
      <c r="J21" s="189">
        <f>ROUND(I21*E21,2)</f>
        <v/>
      </c>
    </row>
    <row r="22" ht="25.5" customFormat="1" customHeight="1" s="203">
      <c r="A22" s="235" t="n">
        <v>4</v>
      </c>
      <c r="B22" s="145" t="inlineStr">
        <is>
          <t>91.04.01-031</t>
        </is>
      </c>
      <c r="C22" s="240" t="inlineStr">
        <is>
          <t>Машины бурильно-крановые на автомобиле, глубина бурения 3,5 м</t>
        </is>
      </c>
      <c r="D22" s="235" t="inlineStr">
        <is>
          <t>маш.час</t>
        </is>
      </c>
      <c r="E22" s="281" t="n">
        <v>2.14</v>
      </c>
      <c r="F22" s="254" t="n">
        <v>138.54</v>
      </c>
      <c r="G22" s="189">
        <f>ROUND(E22*F22,2)</f>
        <v/>
      </c>
      <c r="H22" s="250">
        <f>G22/$G$44</f>
        <v/>
      </c>
      <c r="I22" s="189">
        <f>ROUND(F22*Прил.10!$D$11,2)</f>
        <v/>
      </c>
      <c r="J22" s="189">
        <f>ROUND(I22*E22,2)</f>
        <v/>
      </c>
    </row>
    <row r="23" ht="51" customFormat="1" customHeight="1" s="203">
      <c r="A23" s="235" t="n">
        <v>5</v>
      </c>
      <c r="B23" s="145" t="inlineStr">
        <is>
          <t>91.18.01-007</t>
        </is>
      </c>
      <c r="C23" s="24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35" t="inlineStr">
        <is>
          <t>маш.час</t>
        </is>
      </c>
      <c r="E23" s="281" t="n">
        <v>1.504</v>
      </c>
      <c r="F23" s="254" t="n">
        <v>90</v>
      </c>
      <c r="G23" s="189">
        <f>ROUND(E23*F23,2)</f>
        <v/>
      </c>
      <c r="H23" s="250">
        <f>G23/$G$44</f>
        <v/>
      </c>
      <c r="I23" s="189">
        <f>ROUND(F23*Прил.10!$D$11,2)</f>
        <v/>
      </c>
      <c r="J23" s="189">
        <f>ROUND(I23*E23,2)</f>
        <v/>
      </c>
    </row>
    <row r="24" ht="25.5" customFormat="1" customHeight="1" s="203">
      <c r="A24" s="236" t="n">
        <v>6</v>
      </c>
      <c r="B24" s="145" t="inlineStr">
        <is>
          <t>91.06.06-042</t>
        </is>
      </c>
      <c r="C24" s="240" t="inlineStr">
        <is>
          <t>Подъемники гидравлические, высота подъема 10 м</t>
        </is>
      </c>
      <c r="D24" s="235" t="inlineStr">
        <is>
          <t>маш.час</t>
        </is>
      </c>
      <c r="E24" s="281" t="n">
        <v>4.53</v>
      </c>
      <c r="F24" s="254" t="n">
        <v>29.6</v>
      </c>
      <c r="G24" s="189">
        <f>ROUND(E24*F24,2)</f>
        <v/>
      </c>
      <c r="H24" s="250">
        <f>G24/$G$44</f>
        <v/>
      </c>
      <c r="I24" s="189">
        <f>ROUND(F24*Прил.10!$D$11,2)</f>
        <v/>
      </c>
      <c r="J24" s="189">
        <f>ROUND(I24*E24,2)</f>
        <v/>
      </c>
    </row>
    <row r="25" ht="14.25" customFormat="1" customHeight="1" s="203">
      <c r="A25" s="167" t="n"/>
      <c r="B25" s="239" t="n"/>
      <c r="C25" s="240" t="inlineStr">
        <is>
          <t>Итого основные машины и механизмы</t>
        </is>
      </c>
      <c r="D25" s="235" t="n"/>
      <c r="E25" s="282" t="n"/>
      <c r="F25" s="189" t="n"/>
      <c r="G25" s="189">
        <f>SUM(G21:G24)</f>
        <v/>
      </c>
      <c r="H25" s="250">
        <f>G25/G44</f>
        <v/>
      </c>
      <c r="I25" s="189" t="n"/>
      <c r="J25" s="189">
        <f>SUM(J21:J24)</f>
        <v/>
      </c>
      <c r="L25" s="280" t="n"/>
    </row>
    <row r="26" ht="25.5" customFormat="1" customHeight="1" s="203">
      <c r="A26" s="167" t="n"/>
      <c r="B26" s="149" t="n"/>
      <c r="C26" s="168" t="inlineStr">
        <is>
          <t>Итого основные машины и механизмы 
(с коэффициентом на демонтаж 0,7)</t>
        </is>
      </c>
      <c r="D26" s="235" t="n"/>
      <c r="E26" s="283" t="n"/>
      <c r="F26" s="241" t="n"/>
      <c r="G26" s="189">
        <f>G25*0.7</f>
        <v/>
      </c>
      <c r="H26" s="250">
        <f>G26/G43</f>
        <v/>
      </c>
      <c r="I26" s="189" t="n"/>
      <c r="J26" s="189">
        <f>J25*0.7</f>
        <v/>
      </c>
      <c r="L26" s="280" t="n"/>
    </row>
    <row r="27" hidden="1" outlineLevel="1" ht="25.5" customFormat="1" customHeight="1" s="203">
      <c r="A27" s="237" t="n">
        <v>7</v>
      </c>
      <c r="B27" s="145" t="inlineStr">
        <is>
          <t>91.14.02-001</t>
        </is>
      </c>
      <c r="C27" s="240" t="inlineStr">
        <is>
          <t>Автомобили бортовые, грузоподъемность до 5 т</t>
        </is>
      </c>
      <c r="D27" s="235" t="inlineStr">
        <is>
          <t>маш.час</t>
        </is>
      </c>
      <c r="E27" s="281" t="n">
        <v>1.612</v>
      </c>
      <c r="F27" s="254" t="n">
        <v>65.70999999999999</v>
      </c>
      <c r="G27" s="189">
        <f>ROUND(E27*F27,2)</f>
        <v/>
      </c>
      <c r="H27" s="250">
        <f>G27/$G$44</f>
        <v/>
      </c>
      <c r="I27" s="189">
        <f>ROUND(F27*Прил.10!$D$11,2)</f>
        <v/>
      </c>
      <c r="J27" s="189">
        <f>ROUND(I27*E27,2)</f>
        <v/>
      </c>
      <c r="L27" s="280" t="n"/>
    </row>
    <row r="28" hidden="1" outlineLevel="1" ht="25.5" customFormat="1" customHeight="1" s="203">
      <c r="A28" s="235" t="n">
        <v>8</v>
      </c>
      <c r="B28" s="145" t="inlineStr">
        <is>
          <t>91.05.06-012</t>
        </is>
      </c>
      <c r="C28" s="240" t="inlineStr">
        <is>
          <t>Краны на гусеничном ходу, грузоподъемность до 16 т</t>
        </is>
      </c>
      <c r="D28" s="235" t="inlineStr">
        <is>
          <t>маш.час</t>
        </is>
      </c>
      <c r="E28" s="281" t="n">
        <v>0.5600000000000001</v>
      </c>
      <c r="F28" s="254" t="n">
        <v>96.89</v>
      </c>
      <c r="G28" s="189">
        <f>ROUND(E28*F28,2)</f>
        <v/>
      </c>
      <c r="H28" s="250">
        <f>G28/$G$44</f>
        <v/>
      </c>
      <c r="I28" s="189">
        <f>ROUND(F28*Прил.10!$D$11,2)</f>
        <v/>
      </c>
      <c r="J28" s="189">
        <f>ROUND(I28*E28,2)</f>
        <v/>
      </c>
      <c r="L28" s="280" t="n"/>
    </row>
    <row r="29" hidden="1" outlineLevel="1" ht="38.25" customFormat="1" customHeight="1" s="203">
      <c r="A29" s="235" t="n">
        <v>9</v>
      </c>
      <c r="B29" s="145" t="inlineStr">
        <is>
          <t>91.17.04-036</t>
        </is>
      </c>
      <c r="C29" s="240" t="inlineStr">
        <is>
          <t>Агрегаты сварочные передвижные с дизельным двигателем, номинальный сварочный ток 250-400 А</t>
        </is>
      </c>
      <c r="D29" s="235" t="inlineStr">
        <is>
          <t>маш.час</t>
        </is>
      </c>
      <c r="E29" s="281" t="n">
        <v>1.9599944</v>
      </c>
      <c r="F29" s="254" t="n">
        <v>14</v>
      </c>
      <c r="G29" s="189">
        <f>ROUND(E29*F29,2)</f>
        <v/>
      </c>
      <c r="H29" s="250">
        <f>G29/$G$44</f>
        <v/>
      </c>
      <c r="I29" s="189">
        <f>ROUND(F29*Прил.10!$D$11,2)</f>
        <v/>
      </c>
      <c r="J29" s="189">
        <f>ROUND(I29*E29,2)</f>
        <v/>
      </c>
      <c r="L29" s="280" t="n"/>
    </row>
    <row r="30" hidden="1" outlineLevel="1" ht="25.5" customFormat="1" customHeight="1" s="203">
      <c r="A30" s="235" t="n">
        <v>10</v>
      </c>
      <c r="B30" s="145" t="inlineStr">
        <is>
          <t>91.17.04-233</t>
        </is>
      </c>
      <c r="C30" s="240" t="inlineStr">
        <is>
          <t>Установки для сварки ручной дуговой (постоянного тока)</t>
        </is>
      </c>
      <c r="D30" s="235" t="inlineStr">
        <is>
          <t>маш.час</t>
        </is>
      </c>
      <c r="E30" s="281" t="n">
        <v>1.4</v>
      </c>
      <c r="F30" s="254" t="n">
        <v>8.1</v>
      </c>
      <c r="G30" s="189">
        <f>ROUND(E30*F30,2)</f>
        <v/>
      </c>
      <c r="H30" s="250">
        <f>G30/$G$44</f>
        <v/>
      </c>
      <c r="I30" s="189">
        <f>ROUND(F30*Прил.10!$D$11,2)</f>
        <v/>
      </c>
      <c r="J30" s="189">
        <f>ROUND(I30*E30,2)</f>
        <v/>
      </c>
      <c r="L30" s="280" t="n"/>
    </row>
    <row r="31" hidden="1" outlineLevel="1" ht="38.25" customFormat="1" customHeight="1" s="203">
      <c r="A31" s="235" t="n">
        <v>11</v>
      </c>
      <c r="B31" s="145" t="inlineStr">
        <is>
          <t>91.19.06-011</t>
        </is>
      </c>
      <c r="C31" s="240" t="inlineStr">
        <is>
          <t>Насосы грязевые, подача 23,4-65,3 м3/ч, давление нагнетания 15,7-5,88 МПа (160-60 кгс/см2)</t>
        </is>
      </c>
      <c r="D31" s="235" t="inlineStr">
        <is>
          <t>маш.час</t>
        </is>
      </c>
      <c r="E31" s="281" t="n">
        <v>0.336</v>
      </c>
      <c r="F31" s="254" t="n">
        <v>32.71</v>
      </c>
      <c r="G31" s="189">
        <f>ROUND(E31*F31,2)</f>
        <v/>
      </c>
      <c r="H31" s="250">
        <f>G31/$G$44</f>
        <v/>
      </c>
      <c r="I31" s="189">
        <f>ROUND(F31*Прил.10!$D$11,2)</f>
        <v/>
      </c>
      <c r="J31" s="189">
        <f>ROUND(I31*E31,2)</f>
        <v/>
      </c>
      <c r="L31" s="280" t="n"/>
    </row>
    <row r="32" hidden="1" outlineLevel="1" ht="25.5" customFormat="1" customHeight="1" s="203">
      <c r="A32" s="235" t="n">
        <v>12</v>
      </c>
      <c r="B32" s="145" t="inlineStr">
        <is>
          <t>91.21.12-002</t>
        </is>
      </c>
      <c r="C32" s="240" t="inlineStr">
        <is>
          <t>Ножницы листовые кривошипные гильотинные</t>
        </is>
      </c>
      <c r="D32" s="235" t="inlineStr">
        <is>
          <t>маш.час</t>
        </is>
      </c>
      <c r="E32" s="281" t="n">
        <v>0.1</v>
      </c>
      <c r="F32" s="254" t="n">
        <v>70</v>
      </c>
      <c r="G32" s="189">
        <f>ROUND(E32*F32,2)</f>
        <v/>
      </c>
      <c r="H32" s="250">
        <f>G32/$G$44</f>
        <v/>
      </c>
      <c r="I32" s="189">
        <f>ROUND(F32*Прил.10!$D$11,2)</f>
        <v/>
      </c>
      <c r="J32" s="189">
        <f>ROUND(I32*E32,2)</f>
        <v/>
      </c>
      <c r="L32" s="280" t="n"/>
    </row>
    <row r="33" hidden="1" outlineLevel="1" ht="25.5" customFormat="1" customHeight="1" s="203">
      <c r="A33" s="235" t="n">
        <v>13</v>
      </c>
      <c r="B33" s="145" t="inlineStr">
        <is>
          <t>91.06.03-061</t>
        </is>
      </c>
      <c r="C33" s="240" t="inlineStr">
        <is>
          <t>Лебедки электрические тяговым усилием до 12,26 кН (1,25 т)</t>
        </is>
      </c>
      <c r="D33" s="235" t="inlineStr">
        <is>
          <t>маш.час</t>
        </is>
      </c>
      <c r="E33" s="281" t="n">
        <v>1.76</v>
      </c>
      <c r="F33" s="254" t="n">
        <v>3.28</v>
      </c>
      <c r="G33" s="189">
        <f>ROUND(E33*F33,2)</f>
        <v/>
      </c>
      <c r="H33" s="250">
        <f>G33/$G$44</f>
        <v/>
      </c>
      <c r="I33" s="189">
        <f>ROUND(F33*Прил.10!$D$11,2)</f>
        <v/>
      </c>
      <c r="J33" s="189">
        <f>ROUND(I33*E33,2)</f>
        <v/>
      </c>
      <c r="L33" s="280" t="n"/>
    </row>
    <row r="34" hidden="1" outlineLevel="1" ht="25.5" customFormat="1" customHeight="1" s="203">
      <c r="A34" s="235" t="n">
        <v>14</v>
      </c>
      <c r="B34" s="145" t="inlineStr">
        <is>
          <t>91.21.16-014</t>
        </is>
      </c>
      <c r="C34" s="240" t="inlineStr">
        <is>
          <t>Прессы листогибочные кривошипные 1000 кН (100 тс)</t>
        </is>
      </c>
      <c r="D34" s="235" t="inlineStr">
        <is>
          <t>маш.час</t>
        </is>
      </c>
      <c r="E34" s="281" t="n">
        <v>0.1</v>
      </c>
      <c r="F34" s="254" t="n">
        <v>56.24</v>
      </c>
      <c r="G34" s="189">
        <f>ROUND(E34*F34,2)</f>
        <v/>
      </c>
      <c r="H34" s="250">
        <f>G34/$G$44</f>
        <v/>
      </c>
      <c r="I34" s="189">
        <f>ROUND(F34*Прил.10!$D$11,2)</f>
        <v/>
      </c>
      <c r="J34" s="189">
        <f>ROUND(I34*E34,2)</f>
        <v/>
      </c>
      <c r="L34" s="280" t="n"/>
    </row>
    <row r="35" hidden="1" outlineLevel="1" ht="25.5" customFormat="1" customHeight="1" s="203">
      <c r="A35" s="235" t="n">
        <v>15</v>
      </c>
      <c r="B35" s="145" t="inlineStr">
        <is>
          <t>91.06.01-003</t>
        </is>
      </c>
      <c r="C35" s="240" t="inlineStr">
        <is>
          <t>Домкраты гидравлические, грузоподъемность 63-100 т</t>
        </is>
      </c>
      <c r="D35" s="235" t="inlineStr">
        <is>
          <t>маш.час</t>
        </is>
      </c>
      <c r="E35" s="281" t="n">
        <v>5.54</v>
      </c>
      <c r="F35" s="254" t="n">
        <v>0.9</v>
      </c>
      <c r="G35" s="189">
        <f>ROUND(E35*F35,2)</f>
        <v/>
      </c>
      <c r="H35" s="250">
        <f>G35/$G$44</f>
        <v/>
      </c>
      <c r="I35" s="189">
        <f>ROUND(F35*Прил.10!$D$11,2)</f>
        <v/>
      </c>
      <c r="J35" s="189">
        <f>ROUND(I35*E35,2)</f>
        <v/>
      </c>
      <c r="L35" s="280" t="n"/>
    </row>
    <row r="36" hidden="1" outlineLevel="1" ht="25.5" customFormat="1" customHeight="1" s="203">
      <c r="A36" s="235" t="n">
        <v>16</v>
      </c>
      <c r="B36" s="145" t="inlineStr">
        <is>
          <t>91.14.02-002</t>
        </is>
      </c>
      <c r="C36" s="240" t="inlineStr">
        <is>
          <t>Автомобили бортовые, грузоподъемность до 8 т</t>
        </is>
      </c>
      <c r="D36" s="235" t="inlineStr">
        <is>
          <t>маш.час</t>
        </is>
      </c>
      <c r="E36" s="281" t="n">
        <v>0.0428296</v>
      </c>
      <c r="F36" s="254" t="n">
        <v>85.84</v>
      </c>
      <c r="G36" s="189">
        <f>ROUND(E36*F36,2)</f>
        <v/>
      </c>
      <c r="H36" s="250">
        <f>G36/$G$44</f>
        <v/>
      </c>
      <c r="I36" s="189">
        <f>ROUND(F36*Прил.10!$D$11,2)</f>
        <v/>
      </c>
      <c r="J36" s="189">
        <f>ROUND(I36*E36,2)</f>
        <v/>
      </c>
      <c r="L36" s="280" t="n"/>
    </row>
    <row r="37" hidden="1" outlineLevel="1" ht="25.5" customFormat="1" customHeight="1" s="203">
      <c r="A37" s="235" t="n">
        <v>17</v>
      </c>
      <c r="B37" s="145" t="inlineStr">
        <is>
          <t>91.21.16-013</t>
        </is>
      </c>
      <c r="C37" s="240" t="inlineStr">
        <is>
          <t>Прессы кривошипные простого действия 25 кН (2,5 тс)</t>
        </is>
      </c>
      <c r="D37" s="235" t="inlineStr">
        <is>
          <t>маш.час</t>
        </is>
      </c>
      <c r="E37" s="281" t="n">
        <v>0.1</v>
      </c>
      <c r="F37" s="254" t="n">
        <v>16.92</v>
      </c>
      <c r="G37" s="189">
        <f>ROUND(E37*F37,2)</f>
        <v/>
      </c>
      <c r="H37" s="250">
        <f>G37/$G$44</f>
        <v/>
      </c>
      <c r="I37" s="189">
        <f>ROUND(F37*Прил.10!$D$11,2)</f>
        <v/>
      </c>
      <c r="J37" s="189">
        <f>ROUND(I37*E37,2)</f>
        <v/>
      </c>
      <c r="L37" s="280" t="n"/>
    </row>
    <row r="38" hidden="1" outlineLevel="1" ht="25.5" customFormat="1" customHeight="1" s="203">
      <c r="A38" s="235" t="n">
        <v>18</v>
      </c>
      <c r="B38" s="145" t="inlineStr">
        <is>
          <t>91.08.09-023</t>
        </is>
      </c>
      <c r="C38" s="240" t="inlineStr">
        <is>
          <t>Трамбовки пневматические при работе от передвижных компрессорных станций</t>
        </is>
      </c>
      <c r="D38" s="235" t="inlineStr">
        <is>
          <t>маш.час</t>
        </is>
      </c>
      <c r="E38" s="281" t="n">
        <v>3.008</v>
      </c>
      <c r="F38" s="254" t="n">
        <v>0.55</v>
      </c>
      <c r="G38" s="189">
        <f>ROUND(E38*F38,2)</f>
        <v/>
      </c>
      <c r="H38" s="250">
        <f>G38/$G$44</f>
        <v/>
      </c>
      <c r="I38" s="189">
        <f>ROUND(F38*Прил.10!$D$11,2)</f>
        <v/>
      </c>
      <c r="J38" s="189">
        <f>ROUND(I38*E38,2)</f>
        <v/>
      </c>
      <c r="L38" s="280" t="n"/>
    </row>
    <row r="39" hidden="1" outlineLevel="1" ht="38.25" customFormat="1" customHeight="1" s="203">
      <c r="A39" s="235" t="n">
        <v>19</v>
      </c>
      <c r="B39" s="145" t="inlineStr">
        <is>
          <t>91.21.01-012</t>
        </is>
      </c>
      <c r="C39" s="240" t="inlineStr">
        <is>
          <t>Агрегаты окрасочные высокого давления для окраски поверхностей конструкций, мощность 1 кВт</t>
        </is>
      </c>
      <c r="D39" s="235" t="inlineStr">
        <is>
          <t>маш.час</t>
        </is>
      </c>
      <c r="E39" s="281" t="n">
        <v>0.124</v>
      </c>
      <c r="F39" s="254" t="n">
        <v>6.82</v>
      </c>
      <c r="G39" s="189">
        <f>ROUND(E39*F39,2)</f>
        <v/>
      </c>
      <c r="H39" s="250">
        <f>G39/$G$44</f>
        <v/>
      </c>
      <c r="I39" s="189">
        <f>ROUND(F39*Прил.10!$D$11,2)</f>
        <v/>
      </c>
      <c r="J39" s="189">
        <f>ROUND(I39*E39,2)</f>
        <v/>
      </c>
      <c r="L39" s="280" t="n"/>
    </row>
    <row r="40" hidden="1" outlineLevel="1" ht="14.25" customFormat="1" customHeight="1" s="203">
      <c r="A40" s="235" t="n">
        <v>20</v>
      </c>
      <c r="B40" s="145" t="inlineStr">
        <is>
          <t>91.07.04-001</t>
        </is>
      </c>
      <c r="C40" s="240" t="inlineStr">
        <is>
          <t>Вибраторы глубинные</t>
        </is>
      </c>
      <c r="D40" s="235" t="inlineStr">
        <is>
          <t>маш.час</t>
        </is>
      </c>
      <c r="E40" s="281" t="n">
        <v>0.384</v>
      </c>
      <c r="F40" s="254" t="n">
        <v>1.9</v>
      </c>
      <c r="G40" s="189">
        <f>ROUND(E40*F40,2)</f>
        <v/>
      </c>
      <c r="H40" s="250">
        <f>G40/$G$44</f>
        <v/>
      </c>
      <c r="I40" s="189">
        <f>ROUND(F40*Прил.10!$D$11,2)</f>
        <v/>
      </c>
      <c r="J40" s="189">
        <f>ROUND(I40*E40,2)</f>
        <v/>
      </c>
      <c r="L40" s="280" t="n"/>
    </row>
    <row r="41" hidden="1" outlineLevel="1" ht="14.25" customFormat="1" customHeight="1" s="203">
      <c r="A41" s="235" t="n">
        <v>21</v>
      </c>
      <c r="B41" s="145" t="inlineStr">
        <is>
          <t>91.21.19-031</t>
        </is>
      </c>
      <c r="C41" s="240" t="inlineStr">
        <is>
          <t>Станки сверлильные</t>
        </is>
      </c>
      <c r="D41" s="235" t="inlineStr">
        <is>
          <t>маш.час</t>
        </is>
      </c>
      <c r="E41" s="281" t="n">
        <v>0.1</v>
      </c>
      <c r="F41" s="254" t="n">
        <v>2.36</v>
      </c>
      <c r="G41" s="189">
        <f>ROUND(E41*F41,2)</f>
        <v/>
      </c>
      <c r="H41" s="250">
        <f>G41/$G$44</f>
        <v/>
      </c>
      <c r="I41" s="189">
        <f>ROUND(F41*Прил.10!$D$11,2)</f>
        <v/>
      </c>
      <c r="J41" s="189">
        <f>ROUND(I41*E41,2)</f>
        <v/>
      </c>
      <c r="L41" s="280" t="n"/>
    </row>
    <row r="42" collapsed="1" ht="14.25" customFormat="1" customHeight="1" s="203">
      <c r="A42" s="235" t="n"/>
      <c r="B42" s="235" t="n"/>
      <c r="C42" s="240" t="inlineStr">
        <is>
          <t>Итого прочие машины и механизмы</t>
        </is>
      </c>
      <c r="D42" s="235" t="n"/>
      <c r="E42" s="241" t="n"/>
      <c r="F42" s="189" t="n"/>
      <c r="G42" s="189">
        <f>SUM(G27:G41)</f>
        <v/>
      </c>
      <c r="H42" s="250">
        <f>G42/G44</f>
        <v/>
      </c>
      <c r="I42" s="189" t="n"/>
      <c r="J42" s="189">
        <f>SUM(J27:J41)</f>
        <v/>
      </c>
      <c r="K42" s="284" t="n"/>
      <c r="L42" s="280" t="n"/>
    </row>
    <row r="43" ht="25.5" customFormat="1" customHeight="1" s="203">
      <c r="A43" s="236" t="n"/>
      <c r="B43" s="236" t="n"/>
      <c r="C43" s="168" t="inlineStr">
        <is>
          <t>Итого прочие машины и механизмы 
(с коэффициентом на демонтаж 0,7)</t>
        </is>
      </c>
      <c r="D43" s="235" t="n"/>
      <c r="E43" s="241" t="n"/>
      <c r="F43" s="189" t="n"/>
      <c r="G43" s="189">
        <f>G42*0.7</f>
        <v/>
      </c>
      <c r="H43" s="250">
        <f>G43/G45</f>
        <v/>
      </c>
      <c r="I43" s="189" t="n"/>
      <c r="J43" s="189">
        <f>J42*0.7</f>
        <v/>
      </c>
      <c r="K43" s="284" t="n"/>
      <c r="L43" s="280" t="n"/>
    </row>
    <row r="44" ht="25.5" customFormat="1" customHeight="1" s="203">
      <c r="A44" s="235" t="n"/>
      <c r="B44" s="235" t="n"/>
      <c r="C44" s="249" t="inlineStr">
        <is>
          <t>Итого по разделу «Машины и механизмы»</t>
        </is>
      </c>
      <c r="D44" s="235" t="n"/>
      <c r="E44" s="241" t="n"/>
      <c r="F44" s="189" t="n"/>
      <c r="G44" s="189">
        <f>G25+G42</f>
        <v/>
      </c>
      <c r="H44" s="250" t="n">
        <v>1</v>
      </c>
      <c r="I44" s="189" t="n"/>
      <c r="J44" s="189">
        <f>J25+J42</f>
        <v/>
      </c>
    </row>
    <row r="45" ht="38.25" customFormat="1" customHeight="1" s="203">
      <c r="A45" s="235" t="n"/>
      <c r="B45" s="235" t="n"/>
      <c r="C45" s="176" t="inlineStr">
        <is>
          <t>Итого по разделу «Машины и механизмы»  
(с коэффициентом на демонтаж 0,7)</t>
        </is>
      </c>
      <c r="D45" s="237" t="n"/>
      <c r="E45" s="178" t="n"/>
      <c r="F45" s="179" t="n"/>
      <c r="G45" s="179">
        <f>G26+G43</f>
        <v/>
      </c>
      <c r="H45" s="180" t="n">
        <v>1</v>
      </c>
      <c r="I45" s="181" t="n"/>
      <c r="J45" s="179">
        <f>J26+J43</f>
        <v/>
      </c>
    </row>
    <row r="46" s="208">
      <c r="A46" s="150" t="n"/>
      <c r="B46" s="244" t="inlineStr">
        <is>
          <t xml:space="preserve">Оборудование </t>
        </is>
      </c>
      <c r="J46" s="285" t="n"/>
      <c r="K46" s="203" t="n"/>
      <c r="L46" s="203" t="n"/>
      <c r="M46" s="203" t="n"/>
      <c r="N46" s="203" t="n"/>
    </row>
    <row r="47" ht="15" customHeight="1" s="208">
      <c r="A47" s="235" t="n"/>
      <c r="B47" s="240" t="inlineStr">
        <is>
          <t>Основное оборудование</t>
        </is>
      </c>
      <c r="C47" s="273" t="n"/>
      <c r="D47" s="273" t="n"/>
      <c r="E47" s="273" t="n"/>
      <c r="F47" s="273" t="n"/>
      <c r="G47" s="273" t="n"/>
      <c r="H47" s="273" t="n"/>
      <c r="I47" s="273" t="n"/>
      <c r="J47" s="274" t="n"/>
      <c r="K47" s="203" t="n"/>
      <c r="L47" s="203" t="n"/>
      <c r="M47" s="203" t="n"/>
      <c r="N47" s="203" t="n"/>
    </row>
    <row r="48" s="208">
      <c r="A48" s="82" t="n"/>
      <c r="B48" s="235" t="n"/>
      <c r="C48" s="240" t="inlineStr">
        <is>
          <t>Итого основное оборудование</t>
        </is>
      </c>
      <c r="D48" s="235" t="n"/>
      <c r="E48" s="281" t="n"/>
      <c r="F48" s="242" t="n"/>
      <c r="G48" s="189" t="n">
        <v>0</v>
      </c>
      <c r="H48" s="250" t="n"/>
      <c r="I48" s="189" t="n"/>
      <c r="J48" s="189" t="n">
        <v>0</v>
      </c>
      <c r="K48" s="284" t="n"/>
      <c r="L48" s="203" t="n"/>
      <c r="M48" s="203" t="n"/>
      <c r="N48" s="203" t="n"/>
    </row>
    <row r="49" s="208">
      <c r="A49" s="82" t="n"/>
      <c r="B49" s="235" t="n"/>
      <c r="C49" s="240" t="inlineStr">
        <is>
          <t>Итого прочее оборудование</t>
        </is>
      </c>
      <c r="D49" s="235" t="n"/>
      <c r="E49" s="241" t="n"/>
      <c r="F49" s="242" t="n"/>
      <c r="G49" s="189" t="n">
        <v>0</v>
      </c>
      <c r="H49" s="250" t="n"/>
      <c r="I49" s="189" t="n"/>
      <c r="J49" s="189" t="n">
        <v>0</v>
      </c>
      <c r="K49" s="284" t="n"/>
      <c r="L49" s="286" t="n"/>
      <c r="M49" s="203" t="n"/>
      <c r="N49" s="203" t="n"/>
    </row>
    <row r="50" s="208">
      <c r="A50" s="235" t="n"/>
      <c r="B50" s="235" t="n"/>
      <c r="C50" s="249" t="inlineStr">
        <is>
          <t>Итого по разделу «Оборудование»</t>
        </is>
      </c>
      <c r="D50" s="235" t="n"/>
      <c r="E50" s="241" t="n"/>
      <c r="F50" s="242" t="n"/>
      <c r="G50" s="189">
        <f>G48+G49</f>
        <v/>
      </c>
      <c r="H50" s="250" t="n"/>
      <c r="I50" s="189" t="n"/>
      <c r="J50" s="189">
        <f>J49+J48</f>
        <v/>
      </c>
      <c r="K50" s="284" t="n"/>
      <c r="L50" s="203" t="n"/>
      <c r="M50" s="203" t="n"/>
      <c r="N50" s="203" t="n"/>
    </row>
    <row r="51" ht="25.5" customHeight="1" s="208">
      <c r="A51" s="235" t="n"/>
      <c r="B51" s="235" t="n"/>
      <c r="C51" s="240" t="inlineStr">
        <is>
          <t>в том числе технологическое оборудование</t>
        </is>
      </c>
      <c r="D51" s="235" t="n"/>
      <c r="E51" s="241" t="n"/>
      <c r="F51" s="242" t="n"/>
      <c r="G51" s="189">
        <f>'Прил.6 Расчет ОБ'!G16</f>
        <v/>
      </c>
      <c r="H51" s="250" t="n"/>
      <c r="I51" s="189" t="n"/>
      <c r="J51" s="189">
        <f>ROUND(G51*Прил.10!$D$13,2)</f>
        <v/>
      </c>
      <c r="K51" s="284" t="n"/>
      <c r="L51" s="203" t="n"/>
      <c r="M51" s="203" t="n"/>
      <c r="N51" s="203" t="n"/>
    </row>
    <row r="52" ht="14.25" customFormat="1" customHeight="1" s="203">
      <c r="A52" s="237" t="n"/>
      <c r="B52" s="244" t="inlineStr">
        <is>
          <t>Материалы</t>
        </is>
      </c>
      <c r="J52" s="285" t="n"/>
      <c r="K52" s="284" t="n"/>
    </row>
    <row r="53" ht="14.25" customFormat="1" customHeight="1" s="203">
      <c r="A53" s="235" t="n"/>
      <c r="B53" s="240" t="inlineStr">
        <is>
          <t>Основные материалы</t>
        </is>
      </c>
      <c r="C53" s="273" t="n"/>
      <c r="D53" s="273" t="n"/>
      <c r="E53" s="273" t="n"/>
      <c r="F53" s="273" t="n"/>
      <c r="G53" s="273" t="n"/>
      <c r="H53" s="274" t="n"/>
      <c r="I53" s="250" t="n"/>
      <c r="J53" s="250" t="n"/>
    </row>
    <row r="54" ht="14.25" customFormat="1" customHeight="1" s="203">
      <c r="B54" s="235" t="n"/>
      <c r="C54" s="240" t="inlineStr">
        <is>
          <t>Итого основные материалы</t>
        </is>
      </c>
      <c r="D54" s="235" t="n"/>
      <c r="E54" s="281" t="n"/>
      <c r="F54" s="242" t="n"/>
      <c r="G54" s="189" t="n">
        <v>0</v>
      </c>
      <c r="H54" s="250" t="n"/>
      <c r="I54" s="189" t="n"/>
      <c r="J54" s="189" t="n">
        <v>0</v>
      </c>
      <c r="K54" s="284" t="n"/>
    </row>
    <row r="55" customFormat="1" s="203">
      <c r="A55" s="235" t="n"/>
      <c r="B55" s="235" t="n"/>
      <c r="C55" s="240" t="inlineStr">
        <is>
          <t>Итого прочие материалы</t>
        </is>
      </c>
      <c r="D55" s="235" t="n"/>
      <c r="E55" s="241" t="n"/>
      <c r="F55" s="242" t="n"/>
      <c r="G55" s="189" t="n">
        <v>0</v>
      </c>
      <c r="H55" s="250" t="n"/>
      <c r="I55" s="189" t="n"/>
      <c r="J55" s="189" t="n">
        <v>0</v>
      </c>
      <c r="L55" s="286" t="n"/>
    </row>
    <row r="56" ht="14.25" customFormat="1" customHeight="1" s="203">
      <c r="A56" s="235" t="n"/>
      <c r="B56" s="235" t="n"/>
      <c r="C56" s="249" t="inlineStr">
        <is>
          <t>Итого по разделу «Материалы»</t>
        </is>
      </c>
      <c r="D56" s="235" t="n"/>
      <c r="E56" s="241" t="n"/>
      <c r="F56" s="242" t="n"/>
      <c r="G56" s="189">
        <f>G54+G55</f>
        <v/>
      </c>
      <c r="H56" s="250" t="n"/>
      <c r="I56" s="242" t="n"/>
      <c r="J56" s="189">
        <f>J54+J55</f>
        <v/>
      </c>
      <c r="K56" s="284" t="n"/>
    </row>
    <row r="57" ht="14.25" customFormat="1" customHeight="1" s="203">
      <c r="A57" s="235" t="n"/>
      <c r="B57" s="235" t="n"/>
      <c r="C57" s="240" t="inlineStr">
        <is>
          <t>ИТОГО ПО РМ</t>
        </is>
      </c>
      <c r="D57" s="235" t="n"/>
      <c r="E57" s="241" t="n"/>
      <c r="F57" s="242" t="n"/>
      <c r="G57" s="189">
        <f>G14+G44+G56</f>
        <v/>
      </c>
      <c r="H57" s="250" t="n"/>
      <c r="I57" s="242" t="n"/>
      <c r="J57" s="189">
        <f>J14+J44+J56</f>
        <v/>
      </c>
    </row>
    <row r="58" ht="25.5" customFormat="1" customHeight="1" s="203">
      <c r="A58" s="235" t="n"/>
      <c r="B58" s="235" t="n"/>
      <c r="C58" s="240" t="inlineStr">
        <is>
          <t>ИТОГО ПО РМ
(с коэффициентом на демонтаж 0,7)</t>
        </is>
      </c>
      <c r="D58" s="235" t="n"/>
      <c r="E58" s="241" t="n"/>
      <c r="F58" s="242" t="n"/>
      <c r="G58" s="189">
        <f>G15+G45</f>
        <v/>
      </c>
      <c r="H58" s="250" t="n"/>
      <c r="I58" s="189" t="n"/>
      <c r="J58" s="189">
        <f>J15+J45</f>
        <v/>
      </c>
      <c r="K58" s="56" t="n"/>
    </row>
    <row r="59" ht="14.25" customFormat="1" customHeight="1" s="203">
      <c r="A59" s="235" t="n"/>
      <c r="B59" s="235" t="n"/>
      <c r="C59" s="240" t="inlineStr">
        <is>
          <t>Накладные расходы</t>
        </is>
      </c>
      <c r="D59" s="185">
        <f>ROUND(G59/(G$17+$G$14),2)</f>
        <v/>
      </c>
      <c r="E59" s="241" t="n"/>
      <c r="F59" s="242" t="n"/>
      <c r="G59" s="189" t="n">
        <v>907.04</v>
      </c>
      <c r="H59" s="243" t="n"/>
      <c r="I59" s="189" t="n"/>
      <c r="J59" s="189">
        <f>ROUND(D59*(J17+J14),2)</f>
        <v/>
      </c>
      <c r="K59" s="56" t="n"/>
    </row>
    <row r="60" ht="25.5" customFormat="1" customHeight="1" s="203">
      <c r="A60" s="235" t="n"/>
      <c r="B60" s="235" t="n"/>
      <c r="C60" s="240" t="inlineStr">
        <is>
          <t>Накладные расходы 
(с коэффициентом на демонтаж 0,7)</t>
        </is>
      </c>
      <c r="D60" s="185">
        <f>D59</f>
        <v/>
      </c>
      <c r="E60" s="241" t="n"/>
      <c r="F60" s="242" t="n"/>
      <c r="G60" s="189">
        <f>G59*0.7</f>
        <v/>
      </c>
      <c r="H60" s="243" t="n"/>
      <c r="I60" s="189" t="n"/>
      <c r="J60" s="189">
        <f>ROUND(D60*(J18+J15),2)</f>
        <v/>
      </c>
      <c r="K60" s="56" t="n"/>
    </row>
    <row r="61" ht="14.25" customFormat="1" customHeight="1" s="203">
      <c r="A61" s="235" t="n"/>
      <c r="B61" s="235" t="n"/>
      <c r="C61" s="240" t="inlineStr">
        <is>
          <t>Сметная прибыль</t>
        </is>
      </c>
      <c r="D61" s="185">
        <f>ROUND(G61/(G$14+G$17),2)</f>
        <v/>
      </c>
      <c r="E61" s="241" t="n"/>
      <c r="F61" s="242" t="n"/>
      <c r="G61" s="189" t="n">
        <v>493.8</v>
      </c>
      <c r="H61" s="243" t="n"/>
      <c r="I61" s="189" t="n"/>
      <c r="J61" s="189">
        <f>ROUND(D61*(J17+J14),2)</f>
        <v/>
      </c>
      <c r="K61" s="56" t="n"/>
    </row>
    <row r="62" ht="25.5" customFormat="1" customHeight="1" s="203">
      <c r="A62" s="235" t="n"/>
      <c r="B62" s="235" t="n"/>
      <c r="C62" s="240" t="inlineStr">
        <is>
          <t>Сметная прибыль 
(с коэффициентом на демонтаж 0,7)</t>
        </is>
      </c>
      <c r="D62" s="188">
        <f>D61</f>
        <v/>
      </c>
      <c r="E62" s="241" t="n"/>
      <c r="F62" s="242" t="n"/>
      <c r="G62" s="189">
        <f>G61*0.7</f>
        <v/>
      </c>
      <c r="H62" s="243" t="n"/>
      <c r="I62" s="189" t="n"/>
      <c r="J62" s="189">
        <f>ROUND(D62*(J18+J15),2)</f>
        <v/>
      </c>
      <c r="K62" s="56" t="n"/>
    </row>
    <row r="63" ht="25.5" customFormat="1" customHeight="1" s="203">
      <c r="A63" s="235" t="n"/>
      <c r="B63" s="235" t="n"/>
      <c r="C63" s="240" t="inlineStr">
        <is>
          <t>Итого СМР (с НР и СП) 
(с коэффициентом на демонтаж 0,7)</t>
        </is>
      </c>
      <c r="D63" s="235" t="n"/>
      <c r="E63" s="241" t="n"/>
      <c r="F63" s="242" t="n"/>
      <c r="G63" s="189">
        <f>G58+G60+G62</f>
        <v/>
      </c>
      <c r="H63" s="243" t="n"/>
      <c r="I63" s="189" t="n"/>
      <c r="J63" s="189">
        <f>ROUND((J58+J60+J62),2)</f>
        <v/>
      </c>
      <c r="L63" s="57" t="n"/>
    </row>
    <row r="64" ht="25.5" customFormat="1" customHeight="1" s="203">
      <c r="A64" s="235" t="n"/>
      <c r="B64" s="235" t="n"/>
      <c r="C64" s="240" t="inlineStr">
        <is>
          <t>ВСЕГО СМР + ОБОРУДОВАНИЕ 
(с коэффициентом на демонтаж 0,7)</t>
        </is>
      </c>
      <c r="D64" s="235" t="n"/>
      <c r="E64" s="241" t="n"/>
      <c r="F64" s="242" t="n"/>
      <c r="G64" s="189">
        <f>G63</f>
        <v/>
      </c>
      <c r="H64" s="243" t="n"/>
      <c r="I64" s="189" t="n"/>
      <c r="J64" s="189">
        <f>J63</f>
        <v/>
      </c>
      <c r="L64" s="56" t="n"/>
    </row>
    <row r="65" ht="14.25" customFormat="1" customHeight="1" s="203">
      <c r="A65" s="235" t="n"/>
      <c r="B65" s="235" t="n"/>
      <c r="C65" s="240" t="inlineStr">
        <is>
          <t>ИТОГО ПОКАЗАТЕЛЬ НА ЕД. ИЗМ.</t>
        </is>
      </c>
      <c r="D65" s="235" t="inlineStr">
        <is>
          <t>ед.</t>
        </is>
      </c>
      <c r="E65" s="117">
        <f>'Прил.1 Сравнит табл'!D15</f>
        <v/>
      </c>
      <c r="F65" s="242" t="n"/>
      <c r="G65" s="189">
        <f>G64/E65</f>
        <v/>
      </c>
      <c r="H65" s="250" t="n"/>
      <c r="I65" s="242" t="n"/>
      <c r="J65" s="189">
        <f>J64/E65</f>
        <v/>
      </c>
      <c r="L65" s="280" t="n"/>
    </row>
    <row r="67" ht="14.25" customFormat="1" customHeight="1" s="203">
      <c r="A67" s="204" t="n"/>
    </row>
    <row r="68" ht="14.25" customFormat="1" customHeight="1" s="203">
      <c r="A68" s="205" t="inlineStr">
        <is>
          <t>Составил ______________________        Е.А. Князева</t>
        </is>
      </c>
      <c r="B68" s="203" t="n"/>
    </row>
    <row r="69" ht="14.25" customFormat="1" customHeight="1" s="203">
      <c r="A69" s="202" t="inlineStr">
        <is>
          <t xml:space="preserve">                         (подпись, инициалы, фамилия)</t>
        </is>
      </c>
      <c r="B69" s="203" t="n"/>
    </row>
    <row r="70" ht="14.25" customFormat="1" customHeight="1" s="203">
      <c r="A70" s="205" t="n"/>
      <c r="B70" s="203" t="n"/>
    </row>
    <row r="71" ht="14.25" customFormat="1" customHeight="1" s="203">
      <c r="A71" s="205" t="inlineStr">
        <is>
          <t>Проверил ______________________        А.В. Костянецкая</t>
        </is>
      </c>
      <c r="B71" s="203" t="n"/>
    </row>
    <row r="72" ht="14.25" customFormat="1" customHeight="1" s="203">
      <c r="A72" s="202" t="inlineStr">
        <is>
          <t xml:space="preserve">                        (подпись, инициалы, фамилия)</t>
        </is>
      </c>
      <c r="B72" s="203" t="n"/>
    </row>
  </sheetData>
  <mergeCells count="19">
    <mergeCell ref="H9:H10"/>
    <mergeCell ref="B20:H20"/>
    <mergeCell ref="C9:C10"/>
    <mergeCell ref="E9:E10"/>
    <mergeCell ref="A7:H7"/>
    <mergeCell ref="B16:H16"/>
    <mergeCell ref="B9:B10"/>
    <mergeCell ref="D9:D10"/>
    <mergeCell ref="B12:H12"/>
    <mergeCell ref="D6:J6"/>
    <mergeCell ref="B47:J47"/>
    <mergeCell ref="F9:G9"/>
    <mergeCell ref="A4:H4"/>
    <mergeCell ref="A9:A10"/>
    <mergeCell ref="B46:J46"/>
    <mergeCell ref="B53:H53"/>
    <mergeCell ref="I9:J9"/>
    <mergeCell ref="B19:H19"/>
    <mergeCell ref="B52:J52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3"/>
  <sheetViews>
    <sheetView view="pageBreakPreview" workbookViewId="0">
      <selection activeCell="C19" sqref="C19"/>
    </sheetView>
  </sheetViews>
  <sheetFormatPr baseColWidth="8" defaultRowHeight="15"/>
  <cols>
    <col width="5.7109375" customWidth="1" style="208" min="1" max="1"/>
    <col width="14.85546875" customWidth="1" style="208" min="2" max="2"/>
    <col width="39.140625" customWidth="1" style="208" min="3" max="3"/>
    <col width="8.28515625" customWidth="1" style="208" min="4" max="4"/>
    <col width="13.5703125" customWidth="1" style="208" min="5" max="5"/>
    <col width="12.42578125" customWidth="1" style="208" min="6" max="6"/>
    <col width="14.140625" customWidth="1" style="208" min="7" max="7"/>
  </cols>
  <sheetData>
    <row r="1">
      <c r="A1" s="255" t="inlineStr">
        <is>
          <t>Приложение №6</t>
        </is>
      </c>
    </row>
    <row r="2" s="208">
      <c r="A2" s="255" t="n"/>
      <c r="B2" s="255" t="n"/>
      <c r="C2" s="255" t="n"/>
      <c r="D2" s="255" t="n"/>
      <c r="E2" s="255" t="n"/>
      <c r="F2" s="255" t="n"/>
      <c r="G2" s="255" t="n"/>
    </row>
    <row r="3" s="208">
      <c r="A3" s="255" t="n"/>
      <c r="B3" s="255" t="n"/>
      <c r="C3" s="255" t="n"/>
      <c r="D3" s="255" t="n"/>
      <c r="E3" s="255" t="n"/>
      <c r="F3" s="255" t="n"/>
      <c r="G3" s="255" t="n"/>
    </row>
    <row r="4">
      <c r="A4" s="255" t="n"/>
      <c r="B4" s="255" t="n"/>
      <c r="C4" s="255" t="n"/>
      <c r="D4" s="255" t="n"/>
      <c r="E4" s="255" t="n"/>
      <c r="F4" s="255" t="n"/>
      <c r="G4" s="255" t="n"/>
    </row>
    <row r="5">
      <c r="A5" s="232" t="inlineStr">
        <is>
          <t>Расчет стоимости оборудования</t>
        </is>
      </c>
    </row>
    <row r="6" ht="64.5" customHeight="1" s="208">
      <c r="A6" s="257">
        <f>'Прил.1 Сравнит табл'!B7</f>
        <v/>
      </c>
    </row>
    <row r="7">
      <c r="A7" s="205" t="n"/>
      <c r="B7" s="205" t="n"/>
      <c r="C7" s="205" t="n"/>
      <c r="D7" s="205" t="n"/>
      <c r="E7" s="205" t="n"/>
      <c r="F7" s="205" t="n"/>
      <c r="G7" s="205" t="n"/>
    </row>
    <row r="8" ht="30" customHeight="1" s="208">
      <c r="A8" s="256" t="inlineStr">
        <is>
          <t>№ пп.</t>
        </is>
      </c>
      <c r="B8" s="256" t="inlineStr">
        <is>
          <t>Код ресурса</t>
        </is>
      </c>
      <c r="C8" s="256" t="inlineStr">
        <is>
          <t>Наименование</t>
        </is>
      </c>
      <c r="D8" s="256" t="inlineStr">
        <is>
          <t>Ед. изм.</t>
        </is>
      </c>
      <c r="E8" s="235" t="inlineStr">
        <is>
          <t>Кол-во единиц по проектным данным</t>
        </is>
      </c>
      <c r="F8" s="256" t="inlineStr">
        <is>
          <t>Сметная стоимость в ценах на 01.01.2000 (руб.)</t>
        </is>
      </c>
      <c r="G8" s="274" t="n"/>
    </row>
    <row r="9">
      <c r="A9" s="276" t="n"/>
      <c r="B9" s="276" t="n"/>
      <c r="C9" s="276" t="n"/>
      <c r="D9" s="276" t="n"/>
      <c r="E9" s="276" t="n"/>
      <c r="F9" s="235" t="inlineStr">
        <is>
          <t>на ед. изм.</t>
        </is>
      </c>
      <c r="G9" s="235" t="inlineStr">
        <is>
          <t>общая</t>
        </is>
      </c>
    </row>
    <row r="10">
      <c r="A10" s="235" t="n">
        <v>1</v>
      </c>
      <c r="B10" s="235" t="n">
        <v>2</v>
      </c>
      <c r="C10" s="235" t="n">
        <v>3</v>
      </c>
      <c r="D10" s="235" t="n">
        <v>4</v>
      </c>
      <c r="E10" s="235" t="n">
        <v>5</v>
      </c>
      <c r="F10" s="235" t="n">
        <v>6</v>
      </c>
      <c r="G10" s="235" t="n">
        <v>7</v>
      </c>
    </row>
    <row r="11" ht="15" customHeight="1" s="208">
      <c r="A11" s="28" t="n"/>
      <c r="B11" s="240" t="inlineStr">
        <is>
          <t>ИНЖЕНЕРНОЕ ОБОРУДОВАНИЕ</t>
        </is>
      </c>
      <c r="C11" s="273" t="n"/>
      <c r="D11" s="273" t="n"/>
      <c r="E11" s="273" t="n"/>
      <c r="F11" s="273" t="n"/>
      <c r="G11" s="274" t="n"/>
    </row>
    <row r="12" ht="27" customHeight="1" s="208">
      <c r="A12" s="235" t="n"/>
      <c r="B12" s="249" t="n"/>
      <c r="C12" s="240" t="inlineStr">
        <is>
          <t>ИТОГО ИНЖЕНЕРНОЕ ОБОРУДОВАНИЕ</t>
        </is>
      </c>
      <c r="D12" s="249" t="n"/>
      <c r="E12" s="9" t="n"/>
      <c r="F12" s="242" t="n"/>
      <c r="G12" s="242" t="n">
        <v>0</v>
      </c>
    </row>
    <row r="13">
      <c r="A13" s="235" t="n"/>
      <c r="B13" s="240" t="inlineStr">
        <is>
          <t>ТЕХНОЛОГИЧЕСКОЕ ОБОРУДОВАНИЕ</t>
        </is>
      </c>
      <c r="C13" s="273" t="n"/>
      <c r="D13" s="273" t="n"/>
      <c r="E13" s="273" t="n"/>
      <c r="F13" s="273" t="n"/>
      <c r="G13" s="274" t="n"/>
    </row>
    <row r="14">
      <c r="A14" s="235" t="n"/>
      <c r="B14" s="117" t="n"/>
      <c r="C14" s="118" t="n"/>
      <c r="D14" s="117" t="n"/>
      <c r="E14" s="117" t="n"/>
      <c r="F14" s="189" t="n"/>
      <c r="G14" s="189">
        <f>ROUND(E14*F14,2)</f>
        <v/>
      </c>
    </row>
    <row r="15" s="208">
      <c r="A15" s="235" t="n"/>
      <c r="B15" s="117" t="n"/>
      <c r="C15" s="118" t="n"/>
      <c r="D15" s="117" t="n"/>
      <c r="E15" s="117" t="n"/>
      <c r="F15" s="189" t="n"/>
      <c r="G15" s="189">
        <f>ROUND(E15*F15,2)</f>
        <v/>
      </c>
    </row>
    <row r="16" ht="25.5" customHeight="1" s="208">
      <c r="A16" s="235" t="n"/>
      <c r="B16" s="13" t="n"/>
      <c r="C16" s="13" t="inlineStr">
        <is>
          <t>ИТОГО ТЕХНОЛОГИЧЕСКОЕ ОБОРУДОВАНИЕ</t>
        </is>
      </c>
      <c r="D16" s="13" t="n"/>
      <c r="E16" s="14" t="n"/>
      <c r="F16" s="242" t="n"/>
      <c r="G16" s="189">
        <f>SUM(G14:G15)</f>
        <v/>
      </c>
    </row>
    <row r="17" ht="19.5" customHeight="1" s="208">
      <c r="A17" s="235" t="n"/>
      <c r="B17" s="240" t="n"/>
      <c r="C17" s="240" t="inlineStr">
        <is>
          <t>Всего по разделу «Оборудование»</t>
        </is>
      </c>
      <c r="D17" s="240" t="n"/>
      <c r="E17" s="254" t="n"/>
      <c r="F17" s="242" t="n"/>
      <c r="G17" s="189">
        <f>G12+G16</f>
        <v/>
      </c>
    </row>
    <row r="18">
      <c r="A18" s="204" t="n"/>
      <c r="B18" s="200" t="n"/>
      <c r="C18" s="204" t="n"/>
      <c r="D18" s="204" t="n"/>
      <c r="E18" s="204" t="n"/>
      <c r="F18" s="204" t="n"/>
      <c r="G18" s="204" t="n"/>
    </row>
    <row r="19" s="208">
      <c r="A19" s="205" t="inlineStr">
        <is>
          <t>Составил ______________________        Е.А. Князева</t>
        </is>
      </c>
      <c r="B19" s="203" t="n"/>
      <c r="C19" s="203" t="n"/>
      <c r="D19" s="204" t="n"/>
      <c r="E19" s="204" t="n"/>
      <c r="F19" s="204" t="n"/>
      <c r="G19" s="204" t="n"/>
    </row>
    <row r="20" s="208">
      <c r="A20" s="202" t="inlineStr">
        <is>
          <t xml:space="preserve">                         (подпись, инициалы, фамилия)</t>
        </is>
      </c>
      <c r="B20" s="203" t="n"/>
      <c r="C20" s="203" t="n"/>
      <c r="D20" s="204" t="n"/>
      <c r="E20" s="204" t="n"/>
      <c r="F20" s="204" t="n"/>
      <c r="G20" s="204" t="n"/>
    </row>
    <row r="21" s="208">
      <c r="A21" s="205" t="n"/>
      <c r="B21" s="203" t="n"/>
      <c r="C21" s="203" t="n"/>
      <c r="D21" s="204" t="n"/>
      <c r="E21" s="204" t="n"/>
      <c r="F21" s="204" t="n"/>
      <c r="G21" s="204" t="n"/>
    </row>
    <row r="22" s="208">
      <c r="A22" s="205" t="inlineStr">
        <is>
          <t>Проверил ______________________        А.В. Костянецкая</t>
        </is>
      </c>
      <c r="B22" s="203" t="n"/>
      <c r="C22" s="203" t="n"/>
      <c r="D22" s="204" t="n"/>
      <c r="E22" s="204" t="n"/>
      <c r="F22" s="204" t="n"/>
      <c r="G22" s="204" t="n"/>
    </row>
    <row r="23" s="208">
      <c r="A23" s="202" t="inlineStr">
        <is>
          <t xml:space="preserve">                        (подпись, инициалы, фамилия)</t>
        </is>
      </c>
      <c r="B23" s="203" t="n"/>
      <c r="C23" s="203" t="n"/>
      <c r="D23" s="204" t="n"/>
      <c r="E23" s="204" t="n"/>
      <c r="F23" s="204" t="n"/>
      <c r="G23" s="204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D15" sqref="D15"/>
    </sheetView>
  </sheetViews>
  <sheetFormatPr baseColWidth="8" defaultColWidth="8.85546875" defaultRowHeight="15"/>
  <cols>
    <col width="14.42578125" customWidth="1" style="208" min="1" max="1"/>
    <col width="29.7109375" customWidth="1" style="208" min="2" max="2"/>
    <col width="38.140625" customWidth="1" style="208" min="3" max="3"/>
    <col width="34.42578125" customWidth="1" style="208" min="4" max="4"/>
    <col width="8.85546875" customWidth="1" style="208" min="5" max="5"/>
  </cols>
  <sheetData>
    <row r="1">
      <c r="B1" s="205" t="n"/>
      <c r="C1" s="205" t="n"/>
      <c r="D1" s="255" t="inlineStr">
        <is>
          <t>Приложение №7</t>
        </is>
      </c>
    </row>
    <row r="2">
      <c r="A2" s="255" t="n"/>
      <c r="B2" s="255" t="n"/>
      <c r="C2" s="255" t="n"/>
      <c r="D2" s="255" t="n"/>
    </row>
    <row r="3" ht="24.75" customHeight="1" s="208">
      <c r="A3" s="232" t="inlineStr">
        <is>
          <t>Расчет показателя УНЦ</t>
        </is>
      </c>
    </row>
    <row r="4" ht="24.75" customHeight="1" s="208">
      <c r="A4" s="232" t="n"/>
      <c r="B4" s="232" t="n"/>
      <c r="C4" s="232" t="n"/>
      <c r="D4" s="232" t="n"/>
    </row>
    <row r="5" ht="49.5" customHeight="1" s="208">
      <c r="A5" s="248" t="inlineStr">
        <is>
          <t xml:space="preserve">Наименование разрабатываемого показателя УНЦ - </t>
        </is>
      </c>
      <c r="D5" s="248">
        <f>'Прил.5 Расчет СМР и ОБ'!D6:J6</f>
        <v/>
      </c>
    </row>
    <row r="6" ht="19.9" customHeight="1" s="208">
      <c r="A6" s="248" t="inlineStr">
        <is>
          <t>Единица измерения  — 1 ед.</t>
        </is>
      </c>
      <c r="D6" s="248" t="n"/>
    </row>
    <row r="7">
      <c r="A7" s="205" t="n"/>
      <c r="B7" s="205" t="n"/>
      <c r="C7" s="205" t="n"/>
      <c r="D7" s="205" t="n"/>
    </row>
    <row r="8" ht="14.45" customHeight="1" s="208">
      <c r="A8" s="227" t="inlineStr">
        <is>
          <t>Код показателя</t>
        </is>
      </c>
      <c r="B8" s="227" t="inlineStr">
        <is>
          <t>Наименование показателя</t>
        </is>
      </c>
      <c r="C8" s="227" t="inlineStr">
        <is>
          <t>Наименование РМ, входящих в состав показателя</t>
        </is>
      </c>
      <c r="D8" s="227" t="inlineStr">
        <is>
          <t>Норматив цены на 01.01.2023, тыс.руб.</t>
        </is>
      </c>
    </row>
    <row r="9" ht="15" customHeight="1" s="208">
      <c r="A9" s="276" t="n"/>
      <c r="B9" s="276" t="n"/>
      <c r="C9" s="276" t="n"/>
      <c r="D9" s="276" t="n"/>
    </row>
    <row r="10">
      <c r="A10" s="235" t="n">
        <v>1</v>
      </c>
      <c r="B10" s="235" t="n">
        <v>2</v>
      </c>
      <c r="C10" s="235" t="n">
        <v>3</v>
      </c>
      <c r="D10" s="235" t="n">
        <v>4</v>
      </c>
    </row>
    <row r="11" ht="41.45" customHeight="1" s="208">
      <c r="A11" s="235" t="inlineStr">
        <is>
          <t>М6-09-1</t>
        </is>
      </c>
      <c r="B11" s="235" t="inlineStr">
        <is>
          <t>УНЦ на демонтажные работы ПС</t>
        </is>
      </c>
      <c r="C11" s="196" t="inlineStr">
        <is>
          <t>Демонтаж трансформаторов тока 6-15 кВ</t>
        </is>
      </c>
      <c r="D11" s="197">
        <f>'Прил.4 РМ'!C41/1000</f>
        <v/>
      </c>
      <c r="E11" s="198" t="n"/>
    </row>
    <row r="12">
      <c r="A12" s="204" t="n"/>
      <c r="B12" s="200" t="n"/>
      <c r="C12" s="204" t="n"/>
      <c r="D12" s="204" t="n"/>
    </row>
    <row r="13">
      <c r="A13" s="205" t="inlineStr">
        <is>
          <t>Составил ______________________      Е.А. Князева</t>
        </is>
      </c>
      <c r="B13" s="203" t="n"/>
      <c r="C13" s="203" t="n"/>
      <c r="D13" s="204" t="n"/>
    </row>
    <row r="14">
      <c r="A14" s="202" t="inlineStr">
        <is>
          <t xml:space="preserve">                         (подпись, инициалы, фамилия)</t>
        </is>
      </c>
      <c r="B14" s="203" t="n"/>
      <c r="C14" s="203" t="n"/>
      <c r="D14" s="204" t="n"/>
    </row>
    <row r="15">
      <c r="A15" s="205" t="n"/>
      <c r="B15" s="203" t="n"/>
      <c r="C15" s="203" t="n"/>
      <c r="D15" s="204" t="n"/>
    </row>
    <row r="16">
      <c r="A16" s="205" t="inlineStr">
        <is>
          <t>Проверил ______________________        А.В. Костянецкая</t>
        </is>
      </c>
      <c r="B16" s="203" t="n"/>
      <c r="C16" s="203" t="n"/>
      <c r="D16" s="204" t="n"/>
    </row>
    <row r="17">
      <c r="A17" s="202" t="inlineStr">
        <is>
          <t xml:space="preserve">                        (подпись, инициалы, фамилия)</t>
        </is>
      </c>
      <c r="B17" s="203" t="n"/>
      <c r="C17" s="203" t="n"/>
      <c r="D17" s="2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208" min="2" max="2"/>
    <col width="37" customWidth="1" style="208" min="3" max="3"/>
    <col width="32" customWidth="1" style="208" min="4" max="4"/>
  </cols>
  <sheetData>
    <row r="4" ht="15.75" customHeight="1" s="208">
      <c r="B4" s="219" t="inlineStr">
        <is>
          <t>Приложение № 10</t>
        </is>
      </c>
    </row>
    <row r="5" ht="18.75" customHeight="1" s="208">
      <c r="B5" s="22" t="n"/>
    </row>
    <row r="6" ht="15.75" customHeight="1" s="208">
      <c r="B6" s="220" t="inlineStr">
        <is>
          <t>Используемые индексы изменений сметной стоимости и нормы сопутствующих затрат</t>
        </is>
      </c>
    </row>
    <row r="7">
      <c r="B7" s="258" t="n"/>
    </row>
    <row r="8" ht="47.25" customHeight="1" s="208">
      <c r="B8" s="227" t="inlineStr">
        <is>
          <t>Наименование индекса / норм сопутствующих затрат</t>
        </is>
      </c>
      <c r="C8" s="227" t="inlineStr">
        <is>
          <t>Дата применения и обоснование индекса / норм сопутствующих затрат</t>
        </is>
      </c>
      <c r="D8" s="227" t="inlineStr">
        <is>
          <t>Размер индекса / норма сопутствующих затрат</t>
        </is>
      </c>
    </row>
    <row r="9" ht="15.75" customHeight="1" s="208">
      <c r="B9" s="227" t="n">
        <v>1</v>
      </c>
      <c r="C9" s="227" t="n">
        <v>2</v>
      </c>
      <c r="D9" s="227" t="n">
        <v>3</v>
      </c>
    </row>
    <row r="10" ht="31.5" customHeight="1" s="208">
      <c r="B10" s="227" t="inlineStr">
        <is>
          <t xml:space="preserve">Индекс изменения сметной стоимости на 1 квартал 2023 года. ОЗП </t>
        </is>
      </c>
      <c r="C10" s="227" t="inlineStr">
        <is>
          <t>Письмо Минстроя России от 30.03.2023г. №17106-ИФ/09  прил.1</t>
        </is>
      </c>
      <c r="D10" s="227" t="n">
        <v>44.29</v>
      </c>
    </row>
    <row r="11" ht="31.5" customHeight="1" s="208">
      <c r="B11" s="227" t="inlineStr">
        <is>
          <t>Индекс изменения сметной стоимости на 1 квартал 2023 года. ЭМ</t>
        </is>
      </c>
      <c r="C11" s="227" t="inlineStr">
        <is>
          <t>Письмо Минстроя России от 30.03.2023г. №17106-ИФ/09  прил.1</t>
        </is>
      </c>
      <c r="D11" s="227" t="n">
        <v>13.47</v>
      </c>
    </row>
    <row r="12" ht="31.5" customHeight="1" s="208">
      <c r="B12" s="227" t="inlineStr">
        <is>
          <t>Индекс изменения сметной стоимости на 1 квартал 2023 года. МАТ</t>
        </is>
      </c>
      <c r="C12" s="227" t="inlineStr">
        <is>
          <t>Письмо Минстроя России от 30.03.2023г. №17106-ИФ/09  прил.1</t>
        </is>
      </c>
      <c r="D12" s="227" t="n">
        <v>8.039999999999999</v>
      </c>
    </row>
    <row r="13" ht="31.5" customHeight="1" s="208">
      <c r="B13" s="227" t="inlineStr">
        <is>
          <t>Индекс изменения сметной стоимости на 1 квартал 2023 года. ОБ</t>
        </is>
      </c>
      <c r="C13" s="142" t="inlineStr">
        <is>
          <t>Письмо Минстроя России от 23.02.2023г. №9791-ИФ/09 прил.6</t>
        </is>
      </c>
      <c r="D13" s="227" t="n">
        <v>6.26</v>
      </c>
    </row>
    <row r="14" ht="78.75" customHeight="1" s="208">
      <c r="B14" s="227" t="inlineStr">
        <is>
          <t>Временные здания и сооружения</t>
        </is>
      </c>
      <c r="C14" s="227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144" t="n">
        <v>0.025</v>
      </c>
    </row>
    <row r="15" ht="78.75" customHeight="1" s="208">
      <c r="B15" s="227" t="inlineStr">
        <is>
          <t>Дополнительные затраты при производстве строительно-монтажных работ в зимнее время</t>
        </is>
      </c>
      <c r="C15" s="22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44" t="n">
        <v>0.021</v>
      </c>
    </row>
    <row r="16" ht="15.75" customHeight="1" s="208">
      <c r="B16" s="227" t="n"/>
      <c r="C16" s="227" t="n"/>
      <c r="D16" s="144" t="n"/>
    </row>
    <row r="17" ht="31.5" customHeight="1" s="208">
      <c r="B17" s="227" t="inlineStr">
        <is>
          <t>Строительный контроль</t>
        </is>
      </c>
      <c r="C17" s="227" t="inlineStr">
        <is>
          <t>Постановление Правительства РФ от 21.06.10 г. № 468</t>
        </is>
      </c>
      <c r="D17" s="144" t="n">
        <v>0.0214</v>
      </c>
    </row>
    <row r="18" ht="31.5" customHeight="1" s="208">
      <c r="B18" s="227" t="inlineStr">
        <is>
          <t>Авторский надзор - 0,2%</t>
        </is>
      </c>
      <c r="C18" s="227" t="inlineStr">
        <is>
          <t>Приказ от 4.08.2020 № 421/пр п.173</t>
        </is>
      </c>
      <c r="D18" s="144" t="n">
        <v>0.002</v>
      </c>
    </row>
    <row r="19" ht="24" customHeight="1" s="208">
      <c r="B19" s="227" t="inlineStr">
        <is>
          <t>Непредвиденные расходы</t>
        </is>
      </c>
      <c r="C19" s="227" t="inlineStr">
        <is>
          <t>Приказ от 4.08.2020 № 421/пр п.179</t>
        </is>
      </c>
      <c r="D19" s="144" t="n">
        <v>0.03</v>
      </c>
    </row>
    <row r="20" ht="18.75" customHeight="1" s="208">
      <c r="B20" s="23" t="n"/>
    </row>
    <row r="21" ht="18.75" customHeight="1" s="208">
      <c r="B21" s="23" t="n"/>
    </row>
    <row r="22" ht="18.75" customHeight="1" s="208">
      <c r="B22" s="23" t="n"/>
    </row>
    <row r="23" ht="18.75" customHeight="1" s="208">
      <c r="B23" s="23" t="n"/>
    </row>
    <row r="26">
      <c r="B26" s="205" t="inlineStr">
        <is>
          <t>Составил ______________________        Е.А. Князева</t>
        </is>
      </c>
      <c r="C26" s="203" t="n"/>
    </row>
    <row r="27">
      <c r="B27" s="202" t="inlineStr">
        <is>
          <t xml:space="preserve">                         (подпись, инициалы, фамилия)</t>
        </is>
      </c>
      <c r="C27" s="203" t="n"/>
    </row>
    <row r="28">
      <c r="B28" s="205" t="n"/>
      <c r="C28" s="203" t="n"/>
    </row>
    <row r="29">
      <c r="B29" s="205" t="inlineStr">
        <is>
          <t>Проверил ______________________        А.В. Костянецкая</t>
        </is>
      </c>
      <c r="C29" s="203" t="n"/>
    </row>
    <row r="30">
      <c r="B30" s="202" t="inlineStr">
        <is>
          <t xml:space="preserve">                        (подпись, инициалы, фамилия)</t>
        </is>
      </c>
      <c r="C30" s="2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5:F13"/>
    </sheetView>
  </sheetViews>
  <sheetFormatPr baseColWidth="8" defaultColWidth="9.140625" defaultRowHeight="15"/>
  <cols>
    <col width="44.85546875" customWidth="1" style="208" min="2" max="2"/>
    <col width="13" customWidth="1" style="208" min="3" max="3"/>
    <col width="22.85546875" customWidth="1" style="208" min="4" max="4"/>
    <col width="21.5703125" customWidth="1" style="208" min="5" max="5"/>
    <col width="43.85546875" customWidth="1" style="208" min="6" max="6"/>
  </cols>
  <sheetData>
    <row r="1" s="208"/>
    <row r="2" ht="17.25" customHeight="1" s="208">
      <c r="A2" s="220" t="inlineStr">
        <is>
          <t>Расчет размера средств на оплату труда рабочих-строителей в текущем уровне цен (ФОТр.тек.)</t>
        </is>
      </c>
    </row>
    <row r="3" s="208"/>
    <row r="4" ht="18" customHeight="1" s="208">
      <c r="A4" s="209" t="inlineStr">
        <is>
          <t>Составлен в уровне цен на 01.01.2023 г.</t>
        </is>
      </c>
      <c r="B4" s="210" t="n"/>
      <c r="C4" s="210" t="n"/>
      <c r="D4" s="210" t="n"/>
      <c r="E4" s="210" t="n"/>
      <c r="F4" s="210" t="n"/>
      <c r="G4" s="210" t="n"/>
    </row>
    <row r="5" ht="15.75" customHeight="1" s="208">
      <c r="A5" s="259" t="inlineStr">
        <is>
          <t>№ пп.</t>
        </is>
      </c>
      <c r="B5" s="259" t="inlineStr">
        <is>
          <t>Наименование элемента</t>
        </is>
      </c>
      <c r="C5" s="259" t="inlineStr">
        <is>
          <t>Обозначение</t>
        </is>
      </c>
      <c r="D5" s="259" t="inlineStr">
        <is>
          <t>Формула</t>
        </is>
      </c>
      <c r="E5" s="259" t="inlineStr">
        <is>
          <t>Величина элемента</t>
        </is>
      </c>
      <c r="F5" s="259" t="inlineStr">
        <is>
          <t>Наименования обосновывающих документов</t>
        </is>
      </c>
      <c r="G5" s="210" t="n"/>
    </row>
    <row r="6" ht="15.75" customHeight="1" s="208">
      <c r="A6" s="259" t="n">
        <v>1</v>
      </c>
      <c r="B6" s="259" t="n">
        <v>2</v>
      </c>
      <c r="C6" s="259" t="n">
        <v>3</v>
      </c>
      <c r="D6" s="259" t="n">
        <v>4</v>
      </c>
      <c r="E6" s="259" t="n">
        <v>5</v>
      </c>
      <c r="F6" s="259" t="n">
        <v>6</v>
      </c>
      <c r="G6" s="210" t="n"/>
    </row>
    <row r="7" ht="110.25" customHeight="1" s="208">
      <c r="A7" s="260" t="inlineStr">
        <is>
          <t>1.1</t>
        </is>
      </c>
      <c r="B7" s="26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2" t="inlineStr">
        <is>
          <t>С1ср</t>
        </is>
      </c>
      <c r="D7" s="262" t="inlineStr">
        <is>
          <t>-</t>
        </is>
      </c>
      <c r="E7" s="263" t="n">
        <v>47872.94</v>
      </c>
      <c r="F7" s="26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0" t="n"/>
    </row>
    <row r="8" ht="31.5" customHeight="1" s="208">
      <c r="A8" s="260" t="inlineStr">
        <is>
          <t>1.2</t>
        </is>
      </c>
      <c r="B8" s="261" t="inlineStr">
        <is>
          <t>Среднегодовое нормативное число часов работы одного рабочего в месяц, часы (ч.)</t>
        </is>
      </c>
      <c r="C8" s="262" t="inlineStr">
        <is>
          <t>tср</t>
        </is>
      </c>
      <c r="D8" s="262" t="inlineStr">
        <is>
          <t>1973ч/12мес.</t>
        </is>
      </c>
      <c r="E8" s="264">
        <f>1973/12</f>
        <v/>
      </c>
      <c r="F8" s="261" t="inlineStr">
        <is>
          <t>Производственный календарь 2023 год
(40-часов.неделя)</t>
        </is>
      </c>
      <c r="G8" s="212" t="n"/>
    </row>
    <row r="9" ht="15.75" customHeight="1" s="208">
      <c r="A9" s="260" t="inlineStr">
        <is>
          <t>1.3</t>
        </is>
      </c>
      <c r="B9" s="261" t="inlineStr">
        <is>
          <t>Коэффициент увеличения</t>
        </is>
      </c>
      <c r="C9" s="262" t="inlineStr">
        <is>
          <t>Кув</t>
        </is>
      </c>
      <c r="D9" s="262" t="inlineStr">
        <is>
          <t>-</t>
        </is>
      </c>
      <c r="E9" s="264" t="n">
        <v>1</v>
      </c>
      <c r="F9" s="261" t="n"/>
      <c r="G9" s="212" t="n"/>
    </row>
    <row r="10" ht="15.75" customHeight="1" s="208">
      <c r="A10" s="260" t="inlineStr">
        <is>
          <t>1.4</t>
        </is>
      </c>
      <c r="B10" s="261" t="inlineStr">
        <is>
          <t>Средний разряд работ</t>
        </is>
      </c>
      <c r="C10" s="262" t="n"/>
      <c r="D10" s="262" t="n"/>
      <c r="E10" s="287" t="n">
        <v>4</v>
      </c>
      <c r="F10" s="261" t="inlineStr">
        <is>
          <t>РТМ</t>
        </is>
      </c>
      <c r="G10" s="212" t="n"/>
    </row>
    <row r="11" ht="78.75" customHeight="1" s="208">
      <c r="A11" s="260" t="inlineStr">
        <is>
          <t>1.5</t>
        </is>
      </c>
      <c r="B11" s="261" t="inlineStr">
        <is>
          <t>Тарифный коэффициент среднего разряда работ</t>
        </is>
      </c>
      <c r="C11" s="262" t="inlineStr">
        <is>
          <t>КТ</t>
        </is>
      </c>
      <c r="D11" s="262" t="inlineStr">
        <is>
          <t>-</t>
        </is>
      </c>
      <c r="E11" s="288" t="n">
        <v>1.34</v>
      </c>
      <c r="F11" s="26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0" t="n"/>
    </row>
    <row r="12" ht="78.75" customHeight="1" s="208">
      <c r="A12" s="260" t="inlineStr">
        <is>
          <t>1.6</t>
        </is>
      </c>
      <c r="B12" s="267" t="inlineStr">
        <is>
          <t>Коэффициент инфляции, определяемый поквартально</t>
        </is>
      </c>
      <c r="C12" s="262" t="inlineStr">
        <is>
          <t>Кинф</t>
        </is>
      </c>
      <c r="D12" s="262" t="inlineStr">
        <is>
          <t>-</t>
        </is>
      </c>
      <c r="E12" s="289" t="n">
        <v>1.139</v>
      </c>
      <c r="F12" s="26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n"/>
    </row>
    <row r="13" ht="63" customHeight="1" s="208">
      <c r="A13" s="260" t="inlineStr">
        <is>
          <t>1.7</t>
        </is>
      </c>
      <c r="B13" s="270" t="inlineStr">
        <is>
          <t>Размер средств на оплату труда рабочих-строителей в текущем уровне цен (ФОТр.тек.), руб/чел.-ч</t>
        </is>
      </c>
      <c r="C13" s="262" t="inlineStr">
        <is>
          <t>ФОТр.тек.</t>
        </is>
      </c>
      <c r="D13" s="262" t="inlineStr">
        <is>
          <t>(С1ср/tср*КТ*Т*Кув)*Кинф</t>
        </is>
      </c>
      <c r="E13" s="271">
        <f>((E7*E9/E8)*E11)*E12</f>
        <v/>
      </c>
      <c r="F13" s="2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2025-01-24T12:11:57Z</dcterms:modified>
  <cp:lastModifiedBy>Nikolay Ivanov</cp:lastModifiedBy>
  <cp:lastPrinted>2023-11-29T08:56:11Z</cp:lastPrinted>
</cp:coreProperties>
</file>