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Area" localSheetId="2">'Прил.3'!$A$1:$H$129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0"/>
    <numFmt numFmtId="166" formatCode="#,##0.0000"/>
    <numFmt numFmtId="167" formatCode="0.0"/>
    <numFmt numFmtId="168" formatCode="#,##0.00\ _₽"/>
    <numFmt numFmtId="169" formatCode="#,##0.0"/>
    <numFmt numFmtId="170" formatCode="#,##0.000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2"/>
    </font>
    <font>
      <name val="Times New Roman"/>
      <color rgb="FF000000"/>
      <sz val="11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23" fillId="0" borderId="1" applyAlignment="1" pivotButton="0" quotePrefix="0" xfId="0">
      <alignment vertical="top" wrapText="1"/>
    </xf>
    <xf numFmtId="165" fontId="24" fillId="0" borderId="1" applyAlignment="1" pivotButton="0" quotePrefix="0" xfId="0">
      <alignment horizontal="center" vertical="center" wrapText="1"/>
    </xf>
    <xf numFmtId="2" fontId="24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/>
    </xf>
    <xf numFmtId="167" fontId="0" fillId="0" borderId="0" pivotButton="0" quotePrefix="0" xfId="0"/>
    <xf numFmtId="49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8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center" wrapText="1"/>
    </xf>
    <xf numFmtId="168" fontId="24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23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5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6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6" fillId="0" borderId="1" applyAlignment="1" pivotButton="0" quotePrefix="0" xfId="0">
      <alignment vertical="center" wrapText="1"/>
    </xf>
    <xf numFmtId="4" fontId="2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35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165" fontId="24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/>
    </xf>
    <xf numFmtId="167" fontId="0" fillId="0" borderId="0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14" pivotButton="0" quotePrefix="0" xfId="0"/>
    <xf numFmtId="168" fontId="2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68" fontId="24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C26" sqref="C26"/>
    </sheetView>
  </sheetViews>
  <sheetFormatPr baseColWidth="8" defaultRowHeight="15"/>
  <cols>
    <col width="36.85546875" customWidth="1" style="222" min="3" max="3"/>
    <col width="43.85546875" customWidth="1" style="222" min="4" max="4"/>
  </cols>
  <sheetData>
    <row r="3" ht="15.75" customHeight="1" s="222">
      <c r="B3" s="262" t="inlineStr">
        <is>
          <t>Приложение № 1</t>
        </is>
      </c>
    </row>
    <row r="4" ht="18.75" customHeight="1" s="222">
      <c r="B4" s="263" t="inlineStr">
        <is>
          <t>Сравнительная таблица отбора объекта-представителя</t>
        </is>
      </c>
    </row>
    <row r="5" ht="84" customHeight="1" s="222">
      <c r="B5" s="2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2">
      <c r="B6" s="113" t="n"/>
      <c r="C6" s="113" t="n"/>
      <c r="D6" s="113" t="n"/>
    </row>
    <row r="7" ht="42" customHeight="1" s="222">
      <c r="B7" s="261" t="inlineStr">
        <is>
          <t>Наименование разрабатываемого показателя УНЦ — Демонтаж трансформаторов тока 110 кВ</t>
        </is>
      </c>
    </row>
    <row r="8" ht="31.5" customHeight="1" s="222">
      <c r="B8" s="261" t="inlineStr">
        <is>
          <t>Сопоставимый уровень цен: 4 квартал 2016</t>
        </is>
      </c>
    </row>
    <row r="9" ht="15.75" customHeight="1" s="222">
      <c r="B9" s="261" t="inlineStr">
        <is>
          <t>Единица измерения  — 1 ед</t>
        </is>
      </c>
    </row>
    <row r="10" ht="18.75" customHeight="1" s="222">
      <c r="B10" s="114" t="n"/>
    </row>
    <row r="11" ht="15.75" customHeight="1" s="222">
      <c r="B11" s="268" t="inlineStr">
        <is>
          <t>№ п/п</t>
        </is>
      </c>
      <c r="C11" s="268" t="inlineStr">
        <is>
          <t>Параметр</t>
        </is>
      </c>
      <c r="D11" s="268" t="inlineStr">
        <is>
          <t xml:space="preserve">Объект-представитель </t>
        </is>
      </c>
    </row>
    <row r="12" ht="41.25" customHeight="1" s="222">
      <c r="B12" s="268" t="n">
        <v>1</v>
      </c>
      <c r="C12" s="236" t="inlineStr">
        <is>
          <t>Наименование объекта-представителя</t>
        </is>
      </c>
      <c r="D12" s="268" t="inlineStr">
        <is>
          <t>Строительство ПС 220/20/10 кВ "Кожевническая"</t>
        </is>
      </c>
    </row>
    <row r="13" ht="31.5" customHeight="1" s="222">
      <c r="B13" s="268" t="n">
        <v>2</v>
      </c>
      <c r="C13" s="236" t="inlineStr">
        <is>
          <t>Наименование субъекта Российской Федерации</t>
        </is>
      </c>
      <c r="D13" s="268" t="inlineStr">
        <is>
          <t>Москва</t>
        </is>
      </c>
    </row>
    <row r="14" ht="15.75" customHeight="1" s="222">
      <c r="B14" s="268" t="n">
        <v>3</v>
      </c>
      <c r="C14" s="236" t="inlineStr">
        <is>
          <t>Климатический район и подрайон</t>
        </is>
      </c>
      <c r="D14" s="268" t="inlineStr">
        <is>
          <t>IIВ</t>
        </is>
      </c>
    </row>
    <row r="15" ht="15.75" customHeight="1" s="222">
      <c r="B15" s="268" t="n">
        <v>4</v>
      </c>
      <c r="C15" s="236" t="inlineStr">
        <is>
          <t>Мощность объекта</t>
        </is>
      </c>
      <c r="D15" s="143" t="n">
        <v>7</v>
      </c>
    </row>
    <row r="16" ht="107.25" customHeight="1" s="222">
      <c r="B16" s="268" t="n">
        <v>5</v>
      </c>
      <c r="C16" s="1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>ТГФМ-110 УХЛ1</t>
        </is>
      </c>
    </row>
    <row r="17" ht="95.25" customHeight="1" s="222">
      <c r="B17" s="268" t="n">
        <v>6</v>
      </c>
      <c r="C17" s="11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1">
        <f>D18+D19</f>
        <v/>
      </c>
    </row>
    <row r="18" ht="15.75" customHeight="1" s="222">
      <c r="B18" s="118" t="inlineStr">
        <is>
          <t>6.1</t>
        </is>
      </c>
      <c r="C18" s="236" t="inlineStr">
        <is>
          <t>строительно-монтажные работы</t>
        </is>
      </c>
      <c r="D18" s="251">
        <f>'Прил.2 Расч стоим'!F14</f>
        <v/>
      </c>
    </row>
    <row r="19" ht="15.75" customHeight="1" s="222">
      <c r="B19" s="118" t="inlineStr">
        <is>
          <t>6.2</t>
        </is>
      </c>
      <c r="C19" s="236" t="inlineStr">
        <is>
          <t>оборудование и инвентарь</t>
        </is>
      </c>
      <c r="D19" s="251" t="n">
        <v>0</v>
      </c>
    </row>
    <row r="20" ht="15.75" customHeight="1" s="222">
      <c r="B20" s="118" t="inlineStr">
        <is>
          <t>6.3</t>
        </is>
      </c>
      <c r="C20" s="236" t="inlineStr">
        <is>
          <t>пусконаладочные работы</t>
        </is>
      </c>
      <c r="D20" s="251" t="n"/>
    </row>
    <row r="21" ht="19.5" customHeight="1" s="222">
      <c r="B21" s="118" t="inlineStr">
        <is>
          <t>6.4</t>
        </is>
      </c>
      <c r="C21" s="236" t="inlineStr">
        <is>
          <t>прочие и лимитированные затраты</t>
        </is>
      </c>
      <c r="D21" s="251" t="n"/>
    </row>
    <row r="22" ht="15.75" customHeight="1" s="222">
      <c r="B22" s="268" t="n">
        <v>7</v>
      </c>
      <c r="C22" s="236" t="inlineStr">
        <is>
          <t>Сопоставимый уровень цен</t>
        </is>
      </c>
      <c r="D22" s="252" t="inlineStr">
        <is>
          <t>4 квартал 2016</t>
        </is>
      </c>
    </row>
    <row r="23" ht="125.25" customHeight="1" s="222">
      <c r="B23" s="268" t="n">
        <v>8</v>
      </c>
      <c r="C23" s="1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1">
        <f>D17</f>
        <v/>
      </c>
    </row>
    <row r="24" ht="61.5" customHeight="1" s="222">
      <c r="B24" s="268" t="n">
        <v>9</v>
      </c>
      <c r="C24" s="117" t="inlineStr">
        <is>
          <t>Приведенная сметная стоимость на единицу мощности, тыс. руб. (строка 8/строку 4)</t>
        </is>
      </c>
      <c r="D24" s="251">
        <f>D17/D15</f>
        <v/>
      </c>
    </row>
    <row r="25" ht="37.5" customHeight="1" s="222">
      <c r="B25" s="119" t="n"/>
      <c r="C25" s="120" t="n"/>
      <c r="D25" s="120" t="n"/>
    </row>
    <row r="26">
      <c r="B26" s="221" t="inlineStr">
        <is>
          <t>Составил ______________________        А.Р. Маркова</t>
        </is>
      </c>
      <c r="C26" s="219" t="n"/>
    </row>
    <row r="27">
      <c r="B27" s="218" t="inlineStr">
        <is>
          <t xml:space="preserve">                         (подпись, инициалы, фамилия)</t>
        </is>
      </c>
      <c r="C27" s="219" t="n"/>
    </row>
    <row r="28">
      <c r="B28" s="221" t="n"/>
      <c r="C28" s="219" t="n"/>
    </row>
    <row r="29">
      <c r="B29" s="221" t="inlineStr">
        <is>
          <t>Проверил ______________________        А.В. Костянецкая</t>
        </is>
      </c>
      <c r="C29" s="219" t="n"/>
    </row>
    <row r="30">
      <c r="B30" s="218" t="inlineStr">
        <is>
          <t xml:space="preserve">                        (подпись, инициалы, фамилия)</t>
        </is>
      </c>
      <c r="C30" s="219" t="n"/>
    </row>
    <row r="31" ht="15.75" customHeight="1" s="222">
      <c r="B31" s="120" t="n"/>
      <c r="C31" s="120" t="n"/>
      <c r="D31" s="12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60" zoomScaleNormal="70" workbookViewId="0">
      <selection activeCell="C18" sqref="C18"/>
    </sheetView>
  </sheetViews>
  <sheetFormatPr baseColWidth="8" defaultRowHeight="15"/>
  <cols>
    <col width="5.5703125" customWidth="1" style="222" min="1" max="1"/>
    <col width="35.28515625" customWidth="1" style="222" min="3" max="3"/>
    <col width="13.85546875" customWidth="1" style="222" min="4" max="4"/>
    <col width="17.42578125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62" t="inlineStr">
        <is>
          <t>Приложение № 2</t>
        </is>
      </c>
    </row>
    <row r="4" ht="15.75" customHeight="1" s="222">
      <c r="B4" s="26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21" t="n"/>
      <c r="C5" s="121" t="n"/>
      <c r="D5" s="121" t="n"/>
      <c r="E5" s="121" t="n"/>
      <c r="F5" s="121" t="n"/>
      <c r="G5" s="121" t="n"/>
      <c r="H5" s="121" t="n"/>
      <c r="I5" s="121" t="n"/>
      <c r="J5" s="121" t="n"/>
      <c r="K5" s="121" t="n"/>
    </row>
    <row r="6" ht="15.75" customHeight="1" s="222">
      <c r="B6" s="261" t="inlineStr">
        <is>
          <t>Наименование разрабатываемого показателя УНЦ - Демонтаж трансформаторов тока 110 кВ</t>
        </is>
      </c>
    </row>
    <row r="7" ht="15.75" customHeight="1" s="222">
      <c r="B7" s="261" t="inlineStr">
        <is>
          <t>Единица измерения  — 1 ед</t>
        </is>
      </c>
    </row>
    <row r="8" ht="18.75" customHeight="1" s="222">
      <c r="B8" s="114" t="n"/>
    </row>
    <row r="9" ht="15.75" customHeight="1" s="222">
      <c r="B9" s="268" t="inlineStr">
        <is>
          <t>№ п/п</t>
        </is>
      </c>
      <c r="C9" s="2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8" t="inlineStr">
        <is>
          <t>Объект-представитель 1</t>
        </is>
      </c>
      <c r="E9" s="345" t="n"/>
      <c r="F9" s="345" t="n"/>
      <c r="G9" s="345" t="n"/>
      <c r="H9" s="345" t="n"/>
      <c r="I9" s="345" t="n"/>
      <c r="J9" s="346" t="n"/>
    </row>
    <row r="10" ht="15.75" customHeight="1" s="222">
      <c r="B10" s="347" t="n"/>
      <c r="C10" s="347" t="n"/>
      <c r="D10" s="268" t="inlineStr">
        <is>
          <t>Номер сметы</t>
        </is>
      </c>
      <c r="E10" s="268" t="inlineStr">
        <is>
          <t>Наименование сметы</t>
        </is>
      </c>
      <c r="F10" s="268" t="inlineStr">
        <is>
          <t>Сметная стоимость в уровне цен 4 кв. 2016г., тыс. руб.</t>
        </is>
      </c>
      <c r="G10" s="345" t="n"/>
      <c r="H10" s="345" t="n"/>
      <c r="I10" s="345" t="n"/>
      <c r="J10" s="346" t="n"/>
    </row>
    <row r="11" ht="31.5" customHeight="1" s="222">
      <c r="B11" s="348" t="n"/>
      <c r="C11" s="348" t="n"/>
      <c r="D11" s="348" t="n"/>
      <c r="E11" s="348" t="n"/>
      <c r="F11" s="268" t="inlineStr">
        <is>
          <t>Строительные работы</t>
        </is>
      </c>
      <c r="G11" s="268" t="inlineStr">
        <is>
          <t>Монтажные работы</t>
        </is>
      </c>
      <c r="H11" s="268" t="inlineStr">
        <is>
          <t>Оборудование</t>
        </is>
      </c>
      <c r="I11" s="268" t="inlineStr">
        <is>
          <t>Прочее</t>
        </is>
      </c>
      <c r="J11" s="268" t="inlineStr">
        <is>
          <t>Всего</t>
        </is>
      </c>
    </row>
    <row r="12" ht="15.75" customHeight="1" s="222">
      <c r="B12" s="268" t="n"/>
      <c r="C12" s="251" t="inlineStr">
        <is>
          <t>Демонтаж трансформаторов тока 110 кВ</t>
        </is>
      </c>
      <c r="D12" s="268" t="n"/>
      <c r="E12" s="268" t="n"/>
      <c r="F12" s="268" t="n">
        <v>1202.4986864304</v>
      </c>
      <c r="G12" s="346" t="n"/>
      <c r="H12" s="268" t="n">
        <v>0</v>
      </c>
      <c r="I12" s="268" t="n"/>
      <c r="J12" s="268" t="n">
        <v>1202.4986864304</v>
      </c>
    </row>
    <row r="13" ht="15.75" customHeight="1" s="222">
      <c r="B13" s="271" t="inlineStr">
        <is>
          <t>Всего по объекту:</t>
        </is>
      </c>
      <c r="C13" s="345" t="n"/>
      <c r="D13" s="345" t="n"/>
      <c r="E13" s="346" t="n"/>
      <c r="F13" s="122" t="n"/>
      <c r="G13" s="122" t="n"/>
      <c r="H13" s="122" t="n"/>
      <c r="I13" s="122" t="n"/>
      <c r="J13" s="122" t="n"/>
    </row>
    <row r="14" ht="15.75" customHeight="1" s="222">
      <c r="B14" s="271" t="inlineStr">
        <is>
          <t>Всего по объекту в сопоставимом уровне цен 4кв. 2016г:</t>
        </is>
      </c>
      <c r="C14" s="345" t="n"/>
      <c r="D14" s="345" t="n"/>
      <c r="E14" s="346" t="n"/>
      <c r="F14" s="349">
        <f>F12</f>
        <v/>
      </c>
      <c r="G14" s="346" t="n"/>
      <c r="H14" s="122">
        <f>H12</f>
        <v/>
      </c>
      <c r="I14" s="122" t="n"/>
      <c r="J14" s="122">
        <f>J12</f>
        <v/>
      </c>
    </row>
    <row r="15" ht="15.75" customHeight="1" s="222">
      <c r="B15" s="253" t="n"/>
      <c r="C15" s="253" t="n"/>
      <c r="D15" s="253" t="n"/>
      <c r="E15" s="253" t="n"/>
      <c r="F15" s="253" t="n"/>
      <c r="G15" s="253" t="n"/>
      <c r="H15" s="253" t="n"/>
      <c r="I15" s="253" t="n"/>
      <c r="J15" s="253" t="n"/>
    </row>
    <row r="16" ht="28.5" customHeight="1" s="222">
      <c r="B16" s="253" t="n"/>
      <c r="C16" s="253" t="n"/>
      <c r="D16" s="253" t="n"/>
      <c r="E16" s="253" t="n"/>
      <c r="F16" s="253" t="n"/>
      <c r="G16" s="253" t="n"/>
      <c r="H16" s="253" t="n"/>
      <c r="I16" s="253" t="n"/>
      <c r="J16" s="253" t="n"/>
    </row>
    <row r="17" ht="18.75" customHeight="1" s="222">
      <c r="B17" s="114" t="n"/>
    </row>
    <row r="20">
      <c r="C20" s="221" t="inlineStr">
        <is>
          <t>Составил ______________________    А.Р. Маркова</t>
        </is>
      </c>
      <c r="D20" s="219" t="n"/>
    </row>
    <row r="21">
      <c r="C21" s="218" t="inlineStr">
        <is>
          <t xml:space="preserve">                         (подпись, инициалы, фамилия)</t>
        </is>
      </c>
      <c r="D21" s="219" t="n"/>
    </row>
    <row r="22">
      <c r="C22" s="221" t="n"/>
      <c r="D22" s="219" t="n"/>
    </row>
    <row r="23">
      <c r="C23" s="221" t="inlineStr">
        <is>
          <t>Проверил ______________________        А.В. Костянецкая</t>
        </is>
      </c>
      <c r="D23" s="219" t="n"/>
    </row>
    <row r="24">
      <c r="C24" s="218" t="inlineStr">
        <is>
          <t xml:space="preserve">                        (подпись, инициалы, фамилия)</t>
        </is>
      </c>
      <c r="D24" s="219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29"/>
  <sheetViews>
    <sheetView view="pageBreakPreview" topLeftCell="A82" zoomScale="70" workbookViewId="0">
      <selection activeCell="C124" sqref="C124"/>
    </sheetView>
  </sheetViews>
  <sheetFormatPr baseColWidth="8" defaultRowHeight="15"/>
  <cols>
    <col width="8.5703125" customWidth="1" style="222" min="1" max="1"/>
    <col width="12.85546875" customWidth="1" style="222" min="2" max="2"/>
    <col width="20.7109375" customWidth="1" style="222" min="3" max="3"/>
    <col width="59" customWidth="1" style="222" min="4" max="4"/>
    <col width="12.28515625" customWidth="1" style="222" min="5" max="5"/>
    <col width="19.85546875" customWidth="1" style="222" min="6" max="6"/>
    <col width="17.85546875" customWidth="1" style="222" min="7" max="7"/>
    <col width="19.42578125" customWidth="1" style="180" min="8" max="8"/>
    <col width="10.140625" customWidth="1" style="222" min="9" max="9"/>
    <col width="11.85546875" customWidth="1" style="222" min="10" max="10"/>
  </cols>
  <sheetData>
    <row r="2" ht="15.75" customHeight="1" s="222">
      <c r="A2" s="262" t="inlineStr">
        <is>
          <t xml:space="preserve">Приложение № 3 </t>
        </is>
      </c>
      <c r="I2" s="119" t="n"/>
    </row>
    <row r="3" ht="18.75" customHeight="1" s="222">
      <c r="A3" s="263" t="inlineStr">
        <is>
          <t>Объектная ресурсная ведомость</t>
        </is>
      </c>
    </row>
    <row r="4" ht="18.75" customHeight="1" s="222">
      <c r="A4" s="263" t="n"/>
      <c r="B4" s="263" t="n"/>
      <c r="C4" s="263" t="n"/>
      <c r="D4" s="263" t="n"/>
      <c r="I4" s="263" t="n"/>
    </row>
    <row r="5" ht="15.75" customHeight="1" s="222">
      <c r="C5" s="131" t="n"/>
      <c r="D5" s="131" t="n"/>
      <c r="E5" s="131" t="n"/>
      <c r="F5" s="131" t="n"/>
      <c r="G5" s="131" t="n"/>
      <c r="H5" s="132" t="n"/>
    </row>
    <row r="6" ht="15" customHeight="1" s="222">
      <c r="A6" s="279" t="inlineStr">
        <is>
          <t>Наименование разрабатываемого показателя УНЦ - Демонтаж трансформаторов тока 110 кВ</t>
        </is>
      </c>
    </row>
    <row r="7" ht="14.25" customHeight="1" s="222"/>
    <row r="8" ht="15.75" customHeight="1" s="222">
      <c r="C8" s="133" t="n"/>
      <c r="D8" s="134" t="n"/>
      <c r="E8" s="135" t="n"/>
      <c r="F8" s="136" t="n"/>
      <c r="G8" s="137" t="n"/>
      <c r="H8" s="138" t="n"/>
    </row>
    <row r="9" ht="38.25" customHeight="1" s="222">
      <c r="A9" s="268" t="inlineStr">
        <is>
          <t>п/п</t>
        </is>
      </c>
      <c r="B9" s="268" t="inlineStr">
        <is>
          <t>№ЛСР</t>
        </is>
      </c>
      <c r="C9" s="268" t="inlineStr">
        <is>
          <t>Код ресурса</t>
        </is>
      </c>
      <c r="D9" s="268" t="inlineStr">
        <is>
          <t>Наименование ресурса</t>
        </is>
      </c>
      <c r="E9" s="268" t="inlineStr">
        <is>
          <t>Ед. изм.</t>
        </is>
      </c>
      <c r="F9" s="268" t="inlineStr">
        <is>
          <t>Кол-во единиц по данным объекта-представителя</t>
        </is>
      </c>
      <c r="G9" s="268" t="inlineStr">
        <is>
          <t>Сметная стоимость в ценах на 01.01.2000 (руб.)</t>
        </is>
      </c>
      <c r="H9" s="346" t="n"/>
    </row>
    <row r="10" ht="40.5" customHeight="1" s="222">
      <c r="A10" s="348" t="n"/>
      <c r="B10" s="348" t="n"/>
      <c r="C10" s="348" t="n"/>
      <c r="D10" s="348" t="n"/>
      <c r="E10" s="348" t="n"/>
      <c r="F10" s="348" t="n"/>
      <c r="G10" s="268" t="inlineStr">
        <is>
          <t>на ед.изм.</t>
        </is>
      </c>
      <c r="H10" s="268" t="inlineStr">
        <is>
          <t>общая</t>
        </is>
      </c>
    </row>
    <row r="11" ht="15.75" customHeight="1" s="222">
      <c r="A11" s="268" t="n">
        <v>1</v>
      </c>
      <c r="B11" s="172" t="n"/>
      <c r="C11" s="268" t="n">
        <v>2</v>
      </c>
      <c r="D11" s="268" t="inlineStr">
        <is>
          <t>З</t>
        </is>
      </c>
      <c r="E11" s="268" t="n">
        <v>4</v>
      </c>
      <c r="F11" s="268" t="n">
        <v>5</v>
      </c>
      <c r="G11" s="172" t="n">
        <v>6</v>
      </c>
      <c r="H11" s="172" t="n">
        <v>7</v>
      </c>
    </row>
    <row r="12" ht="15" customHeight="1" s="222">
      <c r="A12" s="276" t="inlineStr">
        <is>
          <t>Затраты труда рабочих</t>
        </is>
      </c>
      <c r="B12" s="345" t="n"/>
      <c r="C12" s="345" t="n"/>
      <c r="D12" s="346" t="n"/>
      <c r="E12" s="173" t="n"/>
      <c r="F12" s="350" t="n">
        <v>5399.805</v>
      </c>
      <c r="G12" s="173" t="n"/>
      <c r="H12" s="175">
        <f>SUM(H13:H26)</f>
        <v/>
      </c>
    </row>
    <row r="13">
      <c r="A13" s="165" t="inlineStr">
        <is>
          <t>1</t>
        </is>
      </c>
      <c r="B13" s="165" t="n"/>
      <c r="C13" s="165" t="inlineStr">
        <is>
          <t>10-30-1</t>
        </is>
      </c>
      <c r="D13" s="282" t="inlineStr">
        <is>
          <t>Инженер I категории</t>
        </is>
      </c>
      <c r="E13" s="283" t="inlineStr">
        <is>
          <t>чел.час</t>
        </is>
      </c>
      <c r="F13" s="351" t="n">
        <v>1205.5</v>
      </c>
      <c r="G13" s="297" t="n">
        <v>15.49</v>
      </c>
      <c r="H13" s="199">
        <f>ROUND(F13*G13,2)</f>
        <v/>
      </c>
      <c r="J13" s="352" t="n"/>
      <c r="K13" s="178" t="n"/>
      <c r="L13" s="178" t="n"/>
    </row>
    <row r="14">
      <c r="A14" s="165" t="inlineStr">
        <is>
          <t>2</t>
        </is>
      </c>
      <c r="B14" s="165" t="n"/>
      <c r="C14" s="165" t="inlineStr">
        <is>
          <t>10-30-2</t>
        </is>
      </c>
      <c r="D14" s="282" t="inlineStr">
        <is>
          <t>Инженер II категории</t>
        </is>
      </c>
      <c r="E14" s="283" t="inlineStr">
        <is>
          <t>чел.час</t>
        </is>
      </c>
      <c r="F14" s="351" t="n">
        <v>1205.5</v>
      </c>
      <c r="G14" s="297" t="n">
        <v>14.09</v>
      </c>
      <c r="H14" s="199">
        <f>ROUND(F14*G14,2)</f>
        <v/>
      </c>
      <c r="J14" s="352" t="n"/>
      <c r="K14" s="178" t="n"/>
      <c r="L14" s="178" t="n"/>
    </row>
    <row r="15">
      <c r="A15" s="165" t="inlineStr">
        <is>
          <t>3</t>
        </is>
      </c>
      <c r="B15" s="165" t="n"/>
      <c r="C15" s="165" t="inlineStr">
        <is>
          <t>1-4-0</t>
        </is>
      </c>
      <c r="D15" s="282" t="inlineStr">
        <is>
          <t>Затраты труда рабочих (средний разряд работы 4,0)</t>
        </is>
      </c>
      <c r="E15" s="283" t="inlineStr">
        <is>
          <t>чел.час</t>
        </is>
      </c>
      <c r="F15" s="179" t="n">
        <v>1900.3843</v>
      </c>
      <c r="G15" s="297" t="n">
        <v>9.619999999999999</v>
      </c>
      <c r="H15" s="199">
        <f>ROUND(F15*G15,2)</f>
        <v/>
      </c>
      <c r="J15" s="352" t="n"/>
      <c r="K15" s="178" t="n"/>
      <c r="L15" s="180" t="n"/>
    </row>
    <row r="16">
      <c r="A16" s="165" t="inlineStr">
        <is>
          <t>4</t>
        </is>
      </c>
      <c r="B16" s="165" t="n"/>
      <c r="C16" s="165" t="inlineStr">
        <is>
          <t>1-3-5</t>
        </is>
      </c>
      <c r="D16" s="282" t="inlineStr">
        <is>
          <t>Затраты труда рабочих (средний разряд работы 3,5)</t>
        </is>
      </c>
      <c r="E16" s="283" t="inlineStr">
        <is>
          <t>чел.час</t>
        </is>
      </c>
      <c r="F16" s="179" t="n">
        <v>256.9185</v>
      </c>
      <c r="G16" s="297" t="n">
        <v>9.07</v>
      </c>
      <c r="H16" s="199">
        <f>ROUND(F16*G16,2)</f>
        <v/>
      </c>
      <c r="J16" s="352" t="n"/>
      <c r="K16" s="178" t="n"/>
      <c r="L16" s="178" t="n"/>
    </row>
    <row r="17">
      <c r="A17" s="165" t="inlineStr">
        <is>
          <t>5</t>
        </is>
      </c>
      <c r="B17" s="165" t="n"/>
      <c r="C17" s="165" t="inlineStr">
        <is>
          <t>1-2-0</t>
        </is>
      </c>
      <c r="D17" s="282" t="inlineStr">
        <is>
          <t>Затраты труда рабочих (средний разряд работы 2,0)</t>
        </is>
      </c>
      <c r="E17" s="283" t="inlineStr">
        <is>
          <t>чел.час</t>
        </is>
      </c>
      <c r="F17" s="179" t="n">
        <v>279.5342</v>
      </c>
      <c r="G17" s="297" t="n">
        <v>7.8</v>
      </c>
      <c r="H17" s="199">
        <f>ROUND(F17*G17,2)</f>
        <v/>
      </c>
      <c r="J17" s="352" t="n"/>
      <c r="K17" s="178" t="n"/>
      <c r="L17" s="178" t="n"/>
    </row>
    <row r="18">
      <c r="A18" s="165" t="inlineStr">
        <is>
          <t>6</t>
        </is>
      </c>
      <c r="B18" s="165" t="n"/>
      <c r="C18" s="165" t="inlineStr">
        <is>
          <t>1-3-8</t>
        </is>
      </c>
      <c r="D18" s="282" t="inlineStr">
        <is>
          <t>Затраты труда рабочих (средний разряд работы 3,8)</t>
        </is>
      </c>
      <c r="E18" s="283" t="inlineStr">
        <is>
          <t>чел.час</t>
        </is>
      </c>
      <c r="F18" s="179" t="n">
        <v>189.2308</v>
      </c>
      <c r="G18" s="297" t="n">
        <v>9.4</v>
      </c>
      <c r="H18" s="199">
        <f>ROUND(F18*G18,2)</f>
        <v/>
      </c>
      <c r="J18" s="352" t="n"/>
      <c r="K18" s="178" t="n"/>
      <c r="L18" s="178" t="n"/>
    </row>
    <row r="19">
      <c r="A19" s="165" t="inlineStr">
        <is>
          <t>7</t>
        </is>
      </c>
      <c r="B19" s="165" t="n"/>
      <c r="C19" s="165" t="inlineStr">
        <is>
          <t>1-1-5</t>
        </is>
      </c>
      <c r="D19" s="282" t="inlineStr">
        <is>
          <t>Затраты труда рабочих (средний разряд работы 1,5)</t>
        </is>
      </c>
      <c r="E19" s="283" t="inlineStr">
        <is>
          <t>чел.час</t>
        </is>
      </c>
      <c r="F19" s="179" t="n">
        <v>121.5331</v>
      </c>
      <c r="G19" s="297" t="n">
        <v>7.5</v>
      </c>
      <c r="H19" s="199">
        <f>ROUND(F19*G19,2)</f>
        <v/>
      </c>
      <c r="J19" s="352" t="n"/>
      <c r="K19" s="178" t="n"/>
      <c r="L19" s="178" t="n"/>
    </row>
    <row r="20">
      <c r="A20" s="165" t="inlineStr">
        <is>
          <t>8</t>
        </is>
      </c>
      <c r="B20" s="165" t="n"/>
      <c r="C20" s="165" t="inlineStr">
        <is>
          <t>1-3-9</t>
        </is>
      </c>
      <c r="D20" s="282" t="inlineStr">
        <is>
          <t>Затраты труда рабочих (средний разряд работы 3,9)</t>
        </is>
      </c>
      <c r="E20" s="283" t="inlineStr">
        <is>
          <t>чел.час</t>
        </is>
      </c>
      <c r="F20" s="179" t="n">
        <v>82.5159</v>
      </c>
      <c r="G20" s="297" t="n">
        <v>9.51</v>
      </c>
      <c r="H20" s="199">
        <f>ROUND(F20*G20,2)</f>
        <v/>
      </c>
      <c r="J20" s="352" t="n"/>
      <c r="K20" s="178" t="n"/>
      <c r="L20" s="178" t="n"/>
    </row>
    <row r="21">
      <c r="A21" s="165" t="inlineStr">
        <is>
          <t>9</t>
        </is>
      </c>
      <c r="B21" s="165" t="n"/>
      <c r="C21" s="165" t="inlineStr">
        <is>
          <t>1-4-2</t>
        </is>
      </c>
      <c r="D21" s="282" t="inlineStr">
        <is>
          <t>Затраты труда рабочих (средний разряд работы 4,2)</t>
        </is>
      </c>
      <c r="E21" s="283" t="inlineStr">
        <is>
          <t>чел.час</t>
        </is>
      </c>
      <c r="F21" s="179" t="n">
        <v>61.374</v>
      </c>
      <c r="G21" s="297" t="n">
        <v>9.92</v>
      </c>
      <c r="H21" s="199">
        <f>ROUND(F21*G21,2)</f>
        <v/>
      </c>
      <c r="J21" s="352" t="n"/>
      <c r="K21" s="178" t="n"/>
      <c r="L21" s="178" t="n"/>
    </row>
    <row r="22">
      <c r="A22" s="165" t="inlineStr">
        <is>
          <t>10</t>
        </is>
      </c>
      <c r="B22" s="165" t="n"/>
      <c r="C22" s="165" t="inlineStr">
        <is>
          <t>1-1-0</t>
        </is>
      </c>
      <c r="D22" s="282" t="inlineStr">
        <is>
          <t>Затраты труда рабочих (средний разряд работы 1,0)</t>
        </is>
      </c>
      <c r="E22" s="283" t="inlineStr">
        <is>
          <t>чел.час</t>
        </is>
      </c>
      <c r="F22" s="179" t="n">
        <v>42.0447</v>
      </c>
      <c r="G22" s="297" t="n">
        <v>7.19</v>
      </c>
      <c r="H22" s="199">
        <f>ROUND(F22*G22,2)</f>
        <v/>
      </c>
      <c r="J22" s="352" t="n"/>
      <c r="K22" s="178" t="n"/>
      <c r="L22" s="178" t="n"/>
    </row>
    <row r="23">
      <c r="A23" s="165" t="inlineStr">
        <is>
          <t>11</t>
        </is>
      </c>
      <c r="B23" s="165" t="n"/>
      <c r="C23" s="165" t="inlineStr">
        <is>
          <t>1-3-0</t>
        </is>
      </c>
      <c r="D23" s="282" t="inlineStr">
        <is>
          <t>Затраты труда рабочих (средний разряд работы 3,0)</t>
        </is>
      </c>
      <c r="E23" s="283" t="inlineStr">
        <is>
          <t>чел.час</t>
        </is>
      </c>
      <c r="F23" s="179" t="n">
        <v>33.5102</v>
      </c>
      <c r="G23" s="297" t="n">
        <v>8.529999999999999</v>
      </c>
      <c r="H23" s="199">
        <f>ROUND(F23*G23,2)</f>
        <v/>
      </c>
      <c r="J23" s="352" t="n"/>
      <c r="K23" s="178" t="n"/>
      <c r="L23" s="178" t="n"/>
    </row>
    <row r="24">
      <c r="A24" s="165" t="inlineStr">
        <is>
          <t>12</t>
        </is>
      </c>
      <c r="B24" s="165" t="n"/>
      <c r="C24" s="165" t="inlineStr">
        <is>
          <t>1-3-2</t>
        </is>
      </c>
      <c r="D24" s="282" t="inlineStr">
        <is>
          <t>Затраты труда рабочих (средний разряд работы 3,2)</t>
        </is>
      </c>
      <c r="E24" s="283" t="inlineStr">
        <is>
          <t>чел.час</t>
        </is>
      </c>
      <c r="F24" s="179" t="n">
        <v>13.9817</v>
      </c>
      <c r="G24" s="297" t="n">
        <v>8.74</v>
      </c>
      <c r="H24" s="199">
        <f>ROUND(F24*G24,2)</f>
        <v/>
      </c>
      <c r="J24" s="352" t="n"/>
      <c r="K24" s="178" t="n"/>
      <c r="L24" s="178" t="n"/>
    </row>
    <row r="25">
      <c r="A25" s="165" t="inlineStr">
        <is>
          <t>13</t>
        </is>
      </c>
      <c r="B25" s="165" t="n"/>
      <c r="C25" s="165" t="inlineStr">
        <is>
          <t>1-3-4</t>
        </is>
      </c>
      <c r="D25" s="282" t="inlineStr">
        <is>
          <t>Затраты труда рабочих (средний разряд работы 3,4)</t>
        </is>
      </c>
      <c r="E25" s="283" t="inlineStr">
        <is>
          <t>чел.час</t>
        </is>
      </c>
      <c r="F25" s="179" t="n">
        <v>4.2921</v>
      </c>
      <c r="G25" s="297" t="n">
        <v>8.970000000000001</v>
      </c>
      <c r="H25" s="199">
        <f>ROUND(F25*G25,2)</f>
        <v/>
      </c>
      <c r="J25" s="352" t="n"/>
      <c r="K25" s="178" t="n"/>
      <c r="L25" s="178" t="n"/>
    </row>
    <row r="26">
      <c r="A26" s="165" t="inlineStr">
        <is>
          <t>14</t>
        </is>
      </c>
      <c r="B26" s="165" t="n"/>
      <c r="C26" s="165" t="inlineStr">
        <is>
          <t>1-4-6</t>
        </is>
      </c>
      <c r="D26" s="282" t="inlineStr">
        <is>
          <t>Затраты труда рабочих (средний разряд работы 4,6)</t>
        </is>
      </c>
      <c r="E26" s="283" t="inlineStr">
        <is>
          <t>чел.час</t>
        </is>
      </c>
      <c r="F26" s="179" t="n">
        <v>3.4855</v>
      </c>
      <c r="G26" s="297" t="n">
        <v>10.5</v>
      </c>
      <c r="H26" s="199">
        <f>ROUND(F26*G26,2)</f>
        <v/>
      </c>
      <c r="J26" s="352" t="n"/>
      <c r="K26" s="178" t="n"/>
      <c r="L26" s="178" t="n"/>
    </row>
    <row r="27">
      <c r="A27" s="353" t="inlineStr">
        <is>
          <t>Затраты труда машинистов</t>
        </is>
      </c>
      <c r="B27" s="354" t="n"/>
      <c r="C27" s="354" t="n"/>
      <c r="D27" s="355" t="n"/>
      <c r="E27" s="298" t="n"/>
      <c r="F27" s="168" t="n"/>
      <c r="G27" s="182" t="n"/>
      <c r="H27" s="356">
        <f>H28</f>
        <v/>
      </c>
      <c r="L27" s="178" t="n"/>
    </row>
    <row r="28">
      <c r="A28" s="184" t="inlineStr">
        <is>
          <t>15</t>
        </is>
      </c>
      <c r="B28" s="184" t="n"/>
      <c r="C28" s="168" t="n">
        <v>2</v>
      </c>
      <c r="D28" s="185" t="inlineStr">
        <is>
          <t>Затраты труда машинистов(справочно)</t>
        </is>
      </c>
      <c r="E28" s="298" t="inlineStr">
        <is>
          <t>чел.-ч</t>
        </is>
      </c>
      <c r="F28" s="357" t="n">
        <v>675.1584</v>
      </c>
      <c r="G28" s="297" t="n"/>
      <c r="H28" s="199" t="n">
        <v>7965.903996</v>
      </c>
      <c r="J28" s="352" t="n"/>
    </row>
    <row r="29" ht="15" customHeight="1" s="222">
      <c r="A29" s="276" t="inlineStr">
        <is>
          <t>Машины и механизмы</t>
        </is>
      </c>
      <c r="B29" s="345" t="n"/>
      <c r="C29" s="345" t="n"/>
      <c r="D29" s="346" t="n"/>
      <c r="E29" s="173" t="n"/>
      <c r="F29" s="173" t="n"/>
      <c r="G29" s="173" t="n"/>
      <c r="H29" s="358">
        <f>SUM(H30:H56)</f>
        <v/>
      </c>
      <c r="K29" s="180" t="n"/>
    </row>
    <row r="30" ht="25.5" customHeight="1" s="222">
      <c r="A30" s="165" t="inlineStr">
        <is>
          <t>16</t>
        </is>
      </c>
      <c r="B30" s="165" t="n"/>
      <c r="C30" s="168" t="inlineStr">
        <is>
          <t>91.11.01-012</t>
        </is>
      </c>
      <c r="D30" s="185" t="inlineStr">
        <is>
          <t>Машины монтажные для выполнения работ при прокладке и монтаже кабеля на базе автомобиля</t>
        </is>
      </c>
      <c r="E30" s="298" t="inlineStr">
        <is>
          <t>маш.час</t>
        </is>
      </c>
      <c r="F30" s="168" t="n">
        <v>336</v>
      </c>
      <c r="G30" s="182" t="n">
        <v>110.86</v>
      </c>
      <c r="H30" s="199">
        <f>ROUND(F30*G30,2)</f>
        <v/>
      </c>
      <c r="I30" s="188" t="n"/>
    </row>
    <row r="31">
      <c r="A31" s="165" t="inlineStr">
        <is>
          <t>17</t>
        </is>
      </c>
      <c r="B31" s="165" t="n"/>
      <c r="C31" s="168" t="inlineStr">
        <is>
          <t>91.10.01-002</t>
        </is>
      </c>
      <c r="D31" s="185" t="inlineStr">
        <is>
          <t>Агрегаты наполнительно-опрессовочные: до 300 м3/ч</t>
        </is>
      </c>
      <c r="E31" s="298" t="inlineStr">
        <is>
          <t>маш.час</t>
        </is>
      </c>
      <c r="F31" s="168" t="n">
        <v>80.43000000000001</v>
      </c>
      <c r="G31" s="182" t="n">
        <v>287.99</v>
      </c>
      <c r="H31" s="199">
        <f>ROUND(F31*G31,2)</f>
        <v/>
      </c>
      <c r="I31" s="188" t="n"/>
    </row>
    <row r="32">
      <c r="A32" s="165" t="inlineStr">
        <is>
          <t>18</t>
        </is>
      </c>
      <c r="B32" s="165" t="n"/>
      <c r="C32" s="168" t="inlineStr">
        <is>
          <t>91.06.03-058</t>
        </is>
      </c>
      <c r="D32" s="185" t="inlineStr">
        <is>
          <t>Лебедки электрические тяговым усилием: 156,96 кН (16 т)</t>
        </is>
      </c>
      <c r="E32" s="298" t="inlineStr">
        <is>
          <t>маш.час</t>
        </is>
      </c>
      <c r="F32" s="168" t="n">
        <v>80.43000000000001</v>
      </c>
      <c r="G32" s="182" t="n">
        <v>131.44</v>
      </c>
      <c r="H32" s="199">
        <f>ROUND(F32*G32,2)</f>
        <v/>
      </c>
      <c r="I32" s="188" t="n"/>
    </row>
    <row r="33">
      <c r="A33" s="165" t="inlineStr">
        <is>
          <t>19</t>
        </is>
      </c>
      <c r="B33" s="165" t="n"/>
      <c r="C33" s="168" t="inlineStr">
        <is>
          <t>91.05.05-014</t>
        </is>
      </c>
      <c r="D33" s="185" t="inlineStr">
        <is>
          <t>Краны на автомобильном ходу, грузоподъемность 10 т</t>
        </is>
      </c>
      <c r="E33" s="298" t="inlineStr">
        <is>
          <t>маш.час</t>
        </is>
      </c>
      <c r="F33" s="298" t="n">
        <v>70.91</v>
      </c>
      <c r="G33" s="182" t="n">
        <v>111.99</v>
      </c>
      <c r="H33" s="199">
        <f>ROUND(F33*G33,2)</f>
        <v/>
      </c>
      <c r="I33" s="188" t="n"/>
    </row>
    <row r="34" ht="25.5" customHeight="1" s="222">
      <c r="A34" s="165" t="inlineStr">
        <is>
          <t>20</t>
        </is>
      </c>
      <c r="B34" s="165" t="n"/>
      <c r="C34" s="168" t="inlineStr">
        <is>
          <t>91.18.01-012</t>
        </is>
      </c>
      <c r="D34" s="185" t="inlineStr">
        <is>
          <t>Компрессоры передвижные с электродвигателем давлением 600 кПа (6 ат), производительность: до 3,5 м3/мин</t>
        </is>
      </c>
      <c r="E34" s="298" t="inlineStr">
        <is>
          <t>маш.час</t>
        </is>
      </c>
      <c r="F34" s="298" t="n">
        <v>94.02</v>
      </c>
      <c r="G34" s="182" t="n">
        <v>32.5</v>
      </c>
      <c r="H34" s="199">
        <f>ROUND(F34*G34,2)</f>
        <v/>
      </c>
      <c r="I34" s="188" t="n"/>
    </row>
    <row r="35">
      <c r="A35" s="165" t="inlineStr">
        <is>
          <t>21</t>
        </is>
      </c>
      <c r="B35" s="165" t="n"/>
      <c r="C35" s="168" t="inlineStr">
        <is>
          <t>91.14.02-001</t>
        </is>
      </c>
      <c r="D35" s="185" t="inlineStr">
        <is>
          <t>Автомобили бортовые, грузоподъемность: до 5 т</t>
        </is>
      </c>
      <c r="E35" s="298" t="inlineStr">
        <is>
          <t>маш.час</t>
        </is>
      </c>
      <c r="F35" s="298" t="n">
        <v>37.42</v>
      </c>
      <c r="G35" s="182" t="n">
        <v>65.70999999999999</v>
      </c>
      <c r="H35" s="199">
        <f>ROUND(F35*G35,2)</f>
        <v/>
      </c>
      <c r="I35" s="188" t="n"/>
    </row>
    <row r="36">
      <c r="A36" s="165" t="inlineStr">
        <is>
          <t>22</t>
        </is>
      </c>
      <c r="B36" s="165" t="n"/>
      <c r="C36" s="168" t="inlineStr">
        <is>
          <t>91.05.08-007</t>
        </is>
      </c>
      <c r="D36" s="185" t="inlineStr">
        <is>
          <t>Краны на пневмоколесном ходу, грузоподъемность 25 т</t>
        </is>
      </c>
      <c r="E36" s="298" t="inlineStr">
        <is>
          <t>маш.час</t>
        </is>
      </c>
      <c r="F36" s="298" t="n">
        <v>16.98</v>
      </c>
      <c r="G36" s="182" t="n">
        <v>102.51</v>
      </c>
      <c r="H36" s="199">
        <f>ROUND(F36*G36,2)</f>
        <v/>
      </c>
      <c r="I36" s="188" t="n"/>
    </row>
    <row r="37">
      <c r="A37" s="165" t="inlineStr">
        <is>
          <t>23</t>
        </is>
      </c>
      <c r="B37" s="165" t="n"/>
      <c r="C37" s="168" t="inlineStr">
        <is>
          <t>91.17.04-233</t>
        </is>
      </c>
      <c r="D37" s="185" t="inlineStr">
        <is>
          <t>Установки для сварки: ручной дуговой (постоянного тока)</t>
        </is>
      </c>
      <c r="E37" s="298" t="inlineStr">
        <is>
          <t>маш.час</t>
        </is>
      </c>
      <c r="F37" s="298" t="n">
        <v>157.38</v>
      </c>
      <c r="G37" s="182" t="n">
        <v>8.1</v>
      </c>
      <c r="H37" s="199">
        <f>ROUND(F37*G37,2)</f>
        <v/>
      </c>
      <c r="I37" s="188" t="n"/>
    </row>
    <row r="38" ht="38.25" customHeight="1" s="222">
      <c r="A38" s="165" t="inlineStr">
        <is>
          <t>24</t>
        </is>
      </c>
      <c r="B38" s="165" t="n"/>
      <c r="C38" s="168" t="inlineStr">
        <is>
          <t>ФССЦпг-03-21-01-020</t>
        </is>
      </c>
      <c r="D38" s="185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E38" s="298" t="inlineStr">
        <is>
          <t>1 т груза</t>
        </is>
      </c>
      <c r="F38" s="298" t="n">
        <v>64.764</v>
      </c>
      <c r="G38" s="182" t="n">
        <v>15.35</v>
      </c>
      <c r="H38" s="199">
        <f>ROUND(F38*G38,2)</f>
        <v/>
      </c>
      <c r="I38" s="188" t="n"/>
    </row>
    <row r="39">
      <c r="A39" s="165" t="inlineStr">
        <is>
          <t>25</t>
        </is>
      </c>
      <c r="B39" s="165" t="n"/>
      <c r="C39" s="168" t="inlineStr">
        <is>
          <t>91.06.06-042</t>
        </is>
      </c>
      <c r="D39" s="185" t="inlineStr">
        <is>
          <t>Подъемники гидравлические высотой подъема: 10 м</t>
        </is>
      </c>
      <c r="E39" s="298" t="inlineStr">
        <is>
          <t>маш.час</t>
        </is>
      </c>
      <c r="F39" s="298" t="n">
        <v>27.21</v>
      </c>
      <c r="G39" s="182" t="n">
        <v>29.6</v>
      </c>
      <c r="H39" s="199">
        <f>ROUND(F39*G39,2)</f>
        <v/>
      </c>
      <c r="I39" s="188" t="n"/>
    </row>
    <row r="40">
      <c r="A40" s="165" t="inlineStr">
        <is>
          <t>26</t>
        </is>
      </c>
      <c r="B40" s="165" t="n"/>
      <c r="C40" s="168" t="inlineStr">
        <is>
          <t>91.08.04-021</t>
        </is>
      </c>
      <c r="D40" s="185" t="inlineStr">
        <is>
          <t>Котлы битумные: передвижные 400 л</t>
        </is>
      </c>
      <c r="E40" s="298" t="inlineStr">
        <is>
          <t>маш.час</t>
        </is>
      </c>
      <c r="F40" s="298" t="n">
        <v>18.47</v>
      </c>
      <c r="G40" s="182" t="n">
        <v>30</v>
      </c>
      <c r="H40" s="199">
        <f>ROUND(F40*G40,2)</f>
        <v/>
      </c>
      <c r="I40" s="188" t="n"/>
    </row>
    <row r="41" ht="38.25" customHeight="1" s="222">
      <c r="A41" s="165" t="inlineStr">
        <is>
          <t>27</t>
        </is>
      </c>
      <c r="B41" s="165" t="n"/>
      <c r="C41" s="168" t="inlineStr">
        <is>
          <t>91.18.01-007</t>
        </is>
      </c>
      <c r="D41" s="18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1" s="298" t="inlineStr">
        <is>
          <t>маш.час</t>
        </is>
      </c>
      <c r="F41" s="298" t="n">
        <v>5.6</v>
      </c>
      <c r="G41" s="182" t="n">
        <v>90</v>
      </c>
      <c r="H41" s="199">
        <f>ROUND(F41*G41,2)</f>
        <v/>
      </c>
      <c r="I41" s="188" t="n"/>
    </row>
    <row r="42">
      <c r="A42" s="165" t="inlineStr">
        <is>
          <t>28</t>
        </is>
      </c>
      <c r="B42" s="165" t="n"/>
      <c r="C42" s="168" t="inlineStr">
        <is>
          <t>91.14.02-002</t>
        </is>
      </c>
      <c r="D42" s="185" t="inlineStr">
        <is>
          <t>Автомобили бортовые, грузоподъемность: до 8 т</t>
        </is>
      </c>
      <c r="E42" s="298" t="inlineStr">
        <is>
          <t>маш.час</t>
        </is>
      </c>
      <c r="F42" s="298" t="n">
        <v>4.24</v>
      </c>
      <c r="G42" s="182" t="n">
        <v>85.84</v>
      </c>
      <c r="H42" s="199">
        <f>ROUND(F42*G42,2)</f>
        <v/>
      </c>
      <c r="I42" s="188" t="n"/>
    </row>
    <row r="43" ht="25.5" customHeight="1" s="222">
      <c r="A43" s="165" t="inlineStr">
        <is>
          <t>29</t>
        </is>
      </c>
      <c r="B43" s="165" t="n"/>
      <c r="C43" s="168" t="inlineStr">
        <is>
          <t>91.21.10-003</t>
        </is>
      </c>
      <c r="D43" s="185" t="inlineStr">
        <is>
          <t>Молотки при работе от передвижных компрессорных станций: отбойные пневматические</t>
        </is>
      </c>
      <c r="E43" s="298" t="inlineStr">
        <is>
          <t>маш.час</t>
        </is>
      </c>
      <c r="F43" s="298" t="n">
        <v>188.02</v>
      </c>
      <c r="G43" s="182" t="n">
        <v>1.53</v>
      </c>
      <c r="H43" s="199">
        <f>ROUND(F43*G43,2)</f>
        <v/>
      </c>
      <c r="I43" s="188" t="n"/>
    </row>
    <row r="44">
      <c r="A44" s="165" t="inlineStr">
        <is>
          <t>30</t>
        </is>
      </c>
      <c r="B44" s="165" t="n"/>
      <c r="C44" s="168" t="inlineStr">
        <is>
          <t>91.06.01-003</t>
        </is>
      </c>
      <c r="D44" s="185" t="inlineStr">
        <is>
          <t>Домкраты гидравлические, грузоподъемность 63-100 т</t>
        </is>
      </c>
      <c r="E44" s="298" t="inlineStr">
        <is>
          <t>маш.час</t>
        </is>
      </c>
      <c r="F44" s="298" t="n">
        <v>160.86</v>
      </c>
      <c r="G44" s="182" t="n">
        <v>0.9</v>
      </c>
      <c r="H44" s="199">
        <f>ROUND(F44*G44,2)</f>
        <v/>
      </c>
      <c r="I44" s="188" t="n"/>
    </row>
    <row r="45">
      <c r="A45" s="165" t="inlineStr">
        <is>
          <t>31</t>
        </is>
      </c>
      <c r="B45" s="165" t="n"/>
      <c r="C45" s="168" t="inlineStr">
        <is>
          <t>91.21.12-002</t>
        </is>
      </c>
      <c r="D45" s="185" t="inlineStr">
        <is>
          <t>Ножницы листовые кривошипные гильотинные</t>
        </is>
      </c>
      <c r="E45" s="298" t="inlineStr">
        <is>
          <t>маш.час</t>
        </is>
      </c>
      <c r="F45" s="298" t="n">
        <v>0.8100000000000001</v>
      </c>
      <c r="G45" s="182" t="n">
        <v>70</v>
      </c>
      <c r="H45" s="199">
        <f>ROUND(F45*G45,2)</f>
        <v/>
      </c>
      <c r="I45" s="188" t="n"/>
    </row>
    <row r="46">
      <c r="A46" s="165" t="inlineStr">
        <is>
          <t>32</t>
        </is>
      </c>
      <c r="B46" s="165" t="n"/>
      <c r="C46" s="168" t="inlineStr">
        <is>
          <t>91.01.01-035</t>
        </is>
      </c>
      <c r="D46" s="185" t="inlineStr">
        <is>
          <t>Бульдозеры, мощность 79 кВт (108 л.с.)</t>
        </is>
      </c>
      <c r="E46" s="298" t="inlineStr">
        <is>
          <t>маш.час</t>
        </is>
      </c>
      <c r="F46" s="298" t="n">
        <v>0.66</v>
      </c>
      <c r="G46" s="182" t="n">
        <v>79.06999999999999</v>
      </c>
      <c r="H46" s="199">
        <f>ROUND(F46*G46,2)</f>
        <v/>
      </c>
      <c r="I46" s="188" t="n"/>
    </row>
    <row r="47">
      <c r="A47" s="165" t="inlineStr">
        <is>
          <t>33</t>
        </is>
      </c>
      <c r="B47" s="165" t="n"/>
      <c r="C47" s="168" t="inlineStr">
        <is>
          <t>91.17.04-042</t>
        </is>
      </c>
      <c r="D47" s="185" t="inlineStr">
        <is>
          <t>Аппарат для газовой сварки и резки</t>
        </is>
      </c>
      <c r="E47" s="298" t="inlineStr">
        <is>
          <t>маш.час</t>
        </is>
      </c>
      <c r="F47" s="298" t="n">
        <v>40.74</v>
      </c>
      <c r="G47" s="182" t="n">
        <v>1.2</v>
      </c>
      <c r="H47" s="199">
        <f>ROUND(F47*G47,2)</f>
        <v/>
      </c>
      <c r="I47" s="188" t="n"/>
    </row>
    <row r="48">
      <c r="A48" s="165" t="inlineStr">
        <is>
          <t>34</t>
        </is>
      </c>
      <c r="B48" s="165" t="n"/>
      <c r="C48" s="168" t="inlineStr">
        <is>
          <t>91.21.16-014</t>
        </is>
      </c>
      <c r="D48" s="185" t="inlineStr">
        <is>
          <t>Пресс: листогибочный кривошипный 1000 кН (100 тс)</t>
        </is>
      </c>
      <c r="E48" s="298" t="inlineStr">
        <is>
          <t>маш.час</t>
        </is>
      </c>
      <c r="F48" s="298" t="n">
        <v>0.8100000000000001</v>
      </c>
      <c r="G48" s="182" t="n">
        <v>56.24</v>
      </c>
      <c r="H48" s="199">
        <f>ROUND(F48*G48,2)</f>
        <v/>
      </c>
      <c r="I48" s="188" t="n"/>
    </row>
    <row r="49" ht="25.5" customHeight="1" s="222">
      <c r="A49" s="165" t="inlineStr">
        <is>
          <t>35</t>
        </is>
      </c>
      <c r="B49" s="165" t="n"/>
      <c r="C49" s="168" t="inlineStr">
        <is>
          <t>91.17.04-036</t>
        </is>
      </c>
      <c r="D49" s="185" t="inlineStr">
        <is>
          <t>Агрегаты сварочные передвижные номинальным сварочным током 250-400 А: с дизельным двигателем</t>
        </is>
      </c>
      <c r="E49" s="298" t="inlineStr">
        <is>
          <t>маш.час</t>
        </is>
      </c>
      <c r="F49" s="298" t="n">
        <v>2.95</v>
      </c>
      <c r="G49" s="182" t="n">
        <v>14</v>
      </c>
      <c r="H49" s="199">
        <f>ROUND(F49*G49,2)</f>
        <v/>
      </c>
      <c r="I49" s="188" t="n"/>
    </row>
    <row r="50">
      <c r="A50" s="165" t="inlineStr">
        <is>
          <t>36</t>
        </is>
      </c>
      <c r="B50" s="165" t="n"/>
      <c r="C50" s="168" t="inlineStr">
        <is>
          <t>91.05.01-017</t>
        </is>
      </c>
      <c r="D50" s="185" t="inlineStr">
        <is>
          <t>Краны башенные, грузоподъемность 8 т</t>
        </is>
      </c>
      <c r="E50" s="298" t="inlineStr">
        <is>
          <t>маш.час</t>
        </is>
      </c>
      <c r="F50" s="298" t="n">
        <v>0.43</v>
      </c>
      <c r="G50" s="182" t="n">
        <v>86.40000000000001</v>
      </c>
      <c r="H50" s="199">
        <f>ROUND(F50*G50,2)</f>
        <v/>
      </c>
      <c r="I50" s="188" t="n"/>
    </row>
    <row r="51">
      <c r="A51" s="165" t="inlineStr">
        <is>
          <t>37</t>
        </is>
      </c>
      <c r="B51" s="165" t="n"/>
      <c r="C51" s="168" t="inlineStr">
        <is>
          <t>91.21.16-013</t>
        </is>
      </c>
      <c r="D51" s="185" t="inlineStr">
        <is>
          <t>Пресс: кривошипный простого действия 25 кН (2,5 тс)</t>
        </is>
      </c>
      <c r="E51" s="298" t="inlineStr">
        <is>
          <t>маш.час</t>
        </is>
      </c>
      <c r="F51" s="298" t="n">
        <v>0.8100000000000001</v>
      </c>
      <c r="G51" s="182" t="n">
        <v>16.92</v>
      </c>
      <c r="H51" s="199">
        <f>ROUND(F51*G51,2)</f>
        <v/>
      </c>
      <c r="I51" s="188" t="n"/>
    </row>
    <row r="52" ht="25.5" customHeight="1" s="222">
      <c r="A52" s="165" t="inlineStr">
        <is>
          <t>38</t>
        </is>
      </c>
      <c r="B52" s="165" t="n"/>
      <c r="C52" s="168" t="inlineStr">
        <is>
          <t>91.21.01-012</t>
        </is>
      </c>
      <c r="D52" s="185" t="inlineStr">
        <is>
          <t>Агрегаты окрасочные высокого давления для окраски поверхностей конструкций, мощность 1 кВт</t>
        </is>
      </c>
      <c r="E52" s="298" t="inlineStr">
        <is>
          <t>маш.час</t>
        </is>
      </c>
      <c r="F52" s="298" t="n">
        <v>1.6</v>
      </c>
      <c r="G52" s="182" t="n">
        <v>6.82</v>
      </c>
      <c r="H52" s="199">
        <f>ROUND(F52*G52,2)</f>
        <v/>
      </c>
      <c r="I52" s="188" t="n"/>
    </row>
    <row r="53" ht="25.5" customHeight="1" s="222">
      <c r="A53" s="165" t="inlineStr">
        <is>
          <t>39</t>
        </is>
      </c>
      <c r="B53" s="165" t="n"/>
      <c r="C53" s="168" t="inlineStr">
        <is>
          <t>91.08.09-023</t>
        </is>
      </c>
      <c r="D53" s="185" t="inlineStr">
        <is>
          <t>Трамбовки пневматические при работе от: передвижных компрессорных станций</t>
        </is>
      </c>
      <c r="E53" s="298" t="inlineStr">
        <is>
          <t>маш.час</t>
        </is>
      </c>
      <c r="F53" s="298" t="n">
        <v>17.87</v>
      </c>
      <c r="G53" s="182" t="n">
        <v>0.55</v>
      </c>
      <c r="H53" s="199">
        <f>ROUND(F53*G53,2)</f>
        <v/>
      </c>
      <c r="I53" s="188" t="n"/>
    </row>
    <row r="54" ht="38.25" customHeight="1" s="222">
      <c r="A54" s="165" t="inlineStr">
        <is>
          <t>40</t>
        </is>
      </c>
      <c r="B54" s="165" t="n"/>
      <c r="C54" s="168" t="inlineStr">
        <is>
          <t>ФССЦпг-03-21-01-031</t>
        </is>
      </c>
      <c r="D54" s="185" t="inlineStr">
        <is>
          <t>Перевозка грузов автомобилями-самосвалами грузоподъемностью 10 т работающих вне карьера на расстояние: I класс груза до 31 км</t>
        </is>
      </c>
      <c r="E54" s="298" t="inlineStr">
        <is>
          <t>1 т груза</t>
        </is>
      </c>
      <c r="F54" s="298" t="n">
        <v>0.294</v>
      </c>
      <c r="G54" s="182" t="n">
        <v>19.68</v>
      </c>
      <c r="H54" s="199">
        <f>ROUND(F54*G54,2)</f>
        <v/>
      </c>
      <c r="I54" s="188" t="n"/>
    </row>
    <row r="55">
      <c r="A55" s="165" t="inlineStr">
        <is>
          <t>41</t>
        </is>
      </c>
      <c r="B55" s="165" t="n"/>
      <c r="C55" s="168" t="inlineStr">
        <is>
          <t>91.21.19-031</t>
        </is>
      </c>
      <c r="D55" s="185" t="inlineStr">
        <is>
          <t>Станок: сверлильный</t>
        </is>
      </c>
      <c r="E55" s="298" t="inlineStr">
        <is>
          <t>маш.час</t>
        </is>
      </c>
      <c r="F55" s="298" t="n">
        <v>0.8100000000000001</v>
      </c>
      <c r="G55" s="182" t="n">
        <v>2.36</v>
      </c>
      <c r="H55" s="199">
        <f>ROUND(F55*G55,2)</f>
        <v/>
      </c>
      <c r="I55" s="188" t="n"/>
    </row>
    <row r="56">
      <c r="A56" s="165" t="inlineStr">
        <is>
          <t>42</t>
        </is>
      </c>
      <c r="B56" s="165" t="n"/>
      <c r="C56" s="168" t="inlineStr">
        <is>
          <t>91.07.04-002</t>
        </is>
      </c>
      <c r="D56" s="185" t="inlineStr">
        <is>
          <t>Вибратор поверхностный</t>
        </is>
      </c>
      <c r="E56" s="298" t="inlineStr">
        <is>
          <t>маш.час</t>
        </is>
      </c>
      <c r="F56" s="298" t="n">
        <v>1.38</v>
      </c>
      <c r="G56" s="182" t="n">
        <v>0.5</v>
      </c>
      <c r="H56" s="199">
        <f>ROUND(F56*G56,2)</f>
        <v/>
      </c>
      <c r="I56" s="188" t="n"/>
    </row>
    <row r="57" ht="15" customHeight="1" s="222">
      <c r="A57" s="277" t="inlineStr">
        <is>
          <t>Оборудование</t>
        </is>
      </c>
      <c r="B57" s="345" t="n"/>
      <c r="C57" s="345" t="n"/>
      <c r="D57" s="346" t="n"/>
      <c r="E57" s="189" t="n"/>
      <c r="F57" s="190" t="n"/>
      <c r="G57" s="182" t="n"/>
      <c r="H57" s="358">
        <f>SUM(H58:H61)</f>
        <v/>
      </c>
      <c r="I57" s="188" t="n"/>
    </row>
    <row r="58" ht="27.75" customHeight="1" s="222">
      <c r="A58" s="165" t="inlineStr">
        <is>
          <t>43</t>
        </is>
      </c>
      <c r="B58" s="165" t="n"/>
      <c r="C58" s="168" t="inlineStr">
        <is>
          <t>Прайс из СД ОП</t>
        </is>
      </c>
      <c r="D58" s="185" t="inlineStr">
        <is>
          <t>Трансформатор тока ТГФМ-110 УХЛ1</t>
        </is>
      </c>
      <c r="E58" s="298" t="inlineStr">
        <is>
          <t>шт.</t>
        </is>
      </c>
      <c r="F58" s="168" t="inlineStr">
        <is>
          <t>21</t>
        </is>
      </c>
      <c r="G58" s="182" t="n">
        <v>117574.26</v>
      </c>
      <c r="H58" s="199">
        <f>ROUND(F58*G58,2)</f>
        <v/>
      </c>
      <c r="I58" s="188" t="n"/>
    </row>
    <row r="59" ht="27.75" customHeight="1" s="222">
      <c r="A59" s="165" t="inlineStr">
        <is>
          <t>44</t>
        </is>
      </c>
      <c r="B59" s="165" t="n"/>
      <c r="C59" s="168" t="inlineStr">
        <is>
          <t>Прайс из СД ОП</t>
        </is>
      </c>
      <c r="D59" s="185" t="inlineStr">
        <is>
          <t>Шкаф промежуточных зажимов ШЗВ-60 УХЛ1</t>
        </is>
      </c>
      <c r="E59" s="298" t="inlineStr">
        <is>
          <t>шт.</t>
        </is>
      </c>
      <c r="F59" s="168" t="inlineStr">
        <is>
          <t>7</t>
        </is>
      </c>
      <c r="G59" s="182" t="n">
        <v>6790.9</v>
      </c>
      <c r="H59" s="199">
        <f>ROUND(F59*G59,2)</f>
        <v/>
      </c>
      <c r="I59" s="188" t="n"/>
    </row>
    <row r="60" ht="33.75" customHeight="1" s="222">
      <c r="A60" s="165" t="inlineStr">
        <is>
          <t>45</t>
        </is>
      </c>
      <c r="B60" s="165" t="n"/>
      <c r="C60" s="168" t="inlineStr">
        <is>
          <t>Прайс из СД ОП</t>
        </is>
      </c>
      <c r="D60" s="185" t="inlineStr">
        <is>
          <t>Коробка зажимов для цепей контроля давления элегаза с (WAGO) К3-11</t>
        </is>
      </c>
      <c r="E60" s="298" t="inlineStr">
        <is>
          <t>шт.</t>
        </is>
      </c>
      <c r="F60" s="168" t="inlineStr">
        <is>
          <t>7</t>
        </is>
      </c>
      <c r="G60" s="182" t="n">
        <v>1759.31</v>
      </c>
      <c r="H60" s="199">
        <f>ROUND(F60*G60,2)</f>
        <v/>
      </c>
      <c r="I60" s="188" t="n"/>
    </row>
    <row r="61" ht="24.75" customHeight="1" s="222">
      <c r="A61" s="165" t="inlineStr">
        <is>
          <t>46</t>
        </is>
      </c>
      <c r="B61" s="165" t="n"/>
      <c r="C61" s="168" t="inlineStr">
        <is>
          <t>Прайс из СД ОП</t>
        </is>
      </c>
      <c r="D61" s="185" t="inlineStr">
        <is>
          <t>Коробка зажимов для цепей тока с (КИ-10) К3-11-АСКУЭ</t>
        </is>
      </c>
      <c r="E61" s="298" t="inlineStr">
        <is>
          <t>шт.</t>
        </is>
      </c>
      <c r="F61" s="168" t="inlineStr">
        <is>
          <t>7</t>
        </is>
      </c>
      <c r="G61" s="182" t="n">
        <v>921.63</v>
      </c>
      <c r="H61" s="199">
        <f>ROUND(F61*G61,2)</f>
        <v/>
      </c>
      <c r="I61" s="188" t="n"/>
    </row>
    <row r="62" ht="15" customHeight="1" s="222">
      <c r="A62" s="276" t="inlineStr">
        <is>
          <t>Материалы</t>
        </is>
      </c>
      <c r="B62" s="345" t="n"/>
      <c r="C62" s="345" t="n"/>
      <c r="D62" s="346" t="n"/>
      <c r="E62" s="191" t="n"/>
      <c r="F62" s="191" t="n"/>
      <c r="G62" s="173" t="n"/>
      <c r="H62" s="358">
        <f>SUM(H63:H122)</f>
        <v/>
      </c>
    </row>
    <row r="63" ht="33.75" customHeight="1" s="222">
      <c r="A63" s="165" t="inlineStr">
        <is>
          <t>48</t>
        </is>
      </c>
      <c r="B63" s="165" t="n"/>
      <c r="C63" s="165" t="inlineStr">
        <is>
          <t>07.2.07.04-0003</t>
        </is>
      </c>
      <c r="D63" s="282" t="inlineStr">
        <is>
          <t>Конструкции стальные индивидуальные решетчатые сварные, масса 0,1-0,5 т</t>
        </is>
      </c>
      <c r="E63" s="283" t="inlineStr">
        <is>
          <t>т</t>
        </is>
      </c>
      <c r="F63" s="359" t="n">
        <v>3.0185</v>
      </c>
      <c r="G63" s="285" t="n">
        <v>10874.02</v>
      </c>
      <c r="H63" s="199">
        <f>ROUND(F63*G63,2)</f>
        <v/>
      </c>
      <c r="I63" s="188" t="n"/>
    </row>
    <row r="64">
      <c r="A64" s="165" t="inlineStr">
        <is>
          <t>49</t>
        </is>
      </c>
      <c r="B64" s="165" t="n"/>
      <c r="C64" s="168" t="inlineStr">
        <is>
          <t>05.1.05.16-0221</t>
        </is>
      </c>
      <c r="D64" s="185" t="inlineStr">
        <is>
          <t>Фундаменты сборные железобетонные ВЛ и ОРУ</t>
        </is>
      </c>
      <c r="E64" s="298" t="inlineStr">
        <is>
          <t>м3</t>
        </is>
      </c>
      <c r="F64" s="168" t="n">
        <v>14.18</v>
      </c>
      <c r="G64" s="182" t="n">
        <v>1597.37</v>
      </c>
      <c r="H64" s="199">
        <f>ROUND(F64*G64,2)</f>
        <v/>
      </c>
      <c r="I64" s="188" t="n"/>
    </row>
    <row r="65" ht="25.5" customHeight="1" s="222">
      <c r="A65" s="165" t="inlineStr">
        <is>
          <t>50</t>
        </is>
      </c>
      <c r="B65" s="165" t="n"/>
      <c r="C65" s="168" t="inlineStr">
        <is>
          <t>21.1.06.10-0411</t>
        </is>
      </c>
      <c r="D65" s="185" t="inlineStr">
        <is>
          <t>Кабель силовой с медными жилами ВВГнг(A)-LS 5х16мк(N, РЕ)-1000</t>
        </is>
      </c>
      <c r="E65" s="298" t="inlineStr">
        <is>
          <t>1000 м</t>
        </is>
      </c>
      <c r="F65" s="168" t="n">
        <v>0.189</v>
      </c>
      <c r="G65" s="182" t="n">
        <v>98440.41</v>
      </c>
      <c r="H65" s="199">
        <f>ROUND(F65*G65,2)</f>
        <v/>
      </c>
      <c r="I65" s="188" t="n"/>
    </row>
    <row r="66">
      <c r="A66" s="165" t="inlineStr">
        <is>
          <t>51</t>
        </is>
      </c>
      <c r="B66" s="165" t="n"/>
      <c r="C66" s="168" t="inlineStr">
        <is>
          <t>21.1.08.03-0574</t>
        </is>
      </c>
      <c r="D66" s="185" t="inlineStr">
        <is>
          <t>Кабель контрольный КВВГЭнг(А)-LS 4x2,5</t>
        </is>
      </c>
      <c r="E66" s="298" t="inlineStr">
        <is>
          <t>1000 м</t>
        </is>
      </c>
      <c r="F66" s="168" t="n">
        <v>0.336</v>
      </c>
      <c r="G66" s="182" t="n">
        <v>38348.22</v>
      </c>
      <c r="H66" s="199">
        <f>ROUND(F66*G66,2)</f>
        <v/>
      </c>
      <c r="I66" s="188" t="n"/>
    </row>
    <row r="67" ht="36" customHeight="1" s="222">
      <c r="A67" s="165" t="inlineStr">
        <is>
          <t>52</t>
        </is>
      </c>
      <c r="B67" s="165" t="n"/>
      <c r="C67" s="168" t="inlineStr">
        <is>
          <t>20.1.01.03-0005</t>
        </is>
      </c>
      <c r="D67" s="185" t="inlineStr">
        <is>
          <t>Зажим винтовой ЗВИ-150 16-35 мм2 12 пар</t>
        </is>
      </c>
      <c r="E67" s="298" t="inlineStr">
        <is>
          <t>шт.</t>
        </is>
      </c>
      <c r="F67" s="168" t="n">
        <v>176</v>
      </c>
      <c r="G67" s="182" t="n">
        <v>64.69</v>
      </c>
      <c r="H67" s="199">
        <f>ROUND(F67*G67,2)</f>
        <v/>
      </c>
      <c r="I67" s="188" t="n"/>
    </row>
    <row r="68" ht="25.5" customHeight="1" s="222">
      <c r="A68" s="165" t="inlineStr">
        <is>
          <t>53</t>
        </is>
      </c>
      <c r="B68" s="165" t="n"/>
      <c r="C68" s="168" t="inlineStr">
        <is>
          <t>01.2.03.03-0122</t>
        </is>
      </c>
      <c r="D68" s="185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8" s="298" t="inlineStr">
        <is>
          <t>кг</t>
        </is>
      </c>
      <c r="F68" s="168" t="n">
        <v>575.28</v>
      </c>
      <c r="G68" s="182" t="n">
        <v>13.91</v>
      </c>
      <c r="H68" s="199">
        <f>ROUND(F68*G68,2)</f>
        <v/>
      </c>
      <c r="I68" s="188" t="n"/>
    </row>
    <row r="69" ht="36" customHeight="1" s="222">
      <c r="A69" s="165" t="inlineStr">
        <is>
          <t>54</t>
        </is>
      </c>
      <c r="B69" s="165" t="n"/>
      <c r="C69" s="168" t="inlineStr">
        <is>
          <t>05.1.01.10-0131</t>
        </is>
      </c>
      <c r="D69" s="185" t="inlineStr">
        <is>
          <t>Лотки каналов и тоннелей железобетонные для прокладки коммуникаций</t>
        </is>
      </c>
      <c r="E69" s="298" t="inlineStr">
        <is>
          <t>м3</t>
        </is>
      </c>
      <c r="F69" s="168" t="n">
        <v>1.96</v>
      </c>
      <c r="G69" s="182" t="n">
        <v>1837.28</v>
      </c>
      <c r="H69" s="199">
        <f>ROUND(F69*G69,2)</f>
        <v/>
      </c>
      <c r="I69" s="188" t="n"/>
    </row>
    <row r="70" ht="25.5" customHeight="1" s="222">
      <c r="A70" s="165" t="inlineStr">
        <is>
          <t>55</t>
        </is>
      </c>
      <c r="B70" s="165" t="n"/>
      <c r="C70" s="168" t="inlineStr">
        <is>
          <t>21.2.01.02-0093</t>
        </is>
      </c>
      <c r="D70" s="18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240/32 мм2</t>
        </is>
      </c>
      <c r="E70" s="298" t="inlineStr">
        <is>
          <t>т</t>
        </is>
      </c>
      <c r="F70" s="168" t="n">
        <v>0.095162</v>
      </c>
      <c r="G70" s="182" t="n">
        <v>32752.18</v>
      </c>
      <c r="H70" s="199">
        <f>ROUND(F70*G70,2)</f>
        <v/>
      </c>
      <c r="I70" s="188" t="n"/>
    </row>
    <row r="71">
      <c r="A71" s="165" t="inlineStr">
        <is>
          <t>56</t>
        </is>
      </c>
      <c r="B71" s="165" t="n"/>
      <c r="C71" s="168" t="inlineStr">
        <is>
          <t>20.1.01.02-0064</t>
        </is>
      </c>
      <c r="D71" s="185" t="inlineStr">
        <is>
          <t>Зажим аппаратный прессуемый: А4А-240-2</t>
        </is>
      </c>
      <c r="E71" s="298" t="inlineStr">
        <is>
          <t>100 шт.</t>
        </is>
      </c>
      <c r="F71" s="168" t="n">
        <v>0.66</v>
      </c>
      <c r="G71" s="182" t="n">
        <v>3314</v>
      </c>
      <c r="H71" s="199">
        <f>ROUND(F71*G71,2)</f>
        <v/>
      </c>
      <c r="I71" s="188" t="n"/>
    </row>
    <row r="72">
      <c r="A72" s="165" t="inlineStr">
        <is>
          <t>57</t>
        </is>
      </c>
      <c r="B72" s="165" t="n"/>
      <c r="C72" s="168" t="inlineStr">
        <is>
          <t>20.1.01.11-0006</t>
        </is>
      </c>
      <c r="D72" s="185" t="inlineStr">
        <is>
          <t>Зажим: плашечный соединительный ПА 3-2</t>
        </is>
      </c>
      <c r="E72" s="298" t="inlineStr">
        <is>
          <t>шт</t>
        </is>
      </c>
      <c r="F72" s="168" t="n">
        <v>176</v>
      </c>
      <c r="G72" s="182" t="n">
        <v>12.24</v>
      </c>
      <c r="H72" s="199">
        <f>ROUND(F72*G72,2)</f>
        <v/>
      </c>
      <c r="I72" s="188" t="n"/>
    </row>
    <row r="73">
      <c r="A73" s="165" t="inlineStr">
        <is>
          <t>58</t>
        </is>
      </c>
      <c r="B73" s="165" t="n"/>
      <c r="C73" s="168" t="inlineStr">
        <is>
          <t>01.7.15.03-0042</t>
        </is>
      </c>
      <c r="D73" s="185" t="inlineStr">
        <is>
          <t>Болты с гайками и шайбами строительные</t>
        </is>
      </c>
      <c r="E73" s="298" t="inlineStr">
        <is>
          <t>кг</t>
        </is>
      </c>
      <c r="F73" s="168" t="n">
        <v>206.369</v>
      </c>
      <c r="G73" s="182" t="n">
        <v>9.039999999999999</v>
      </c>
      <c r="H73" s="199">
        <f>ROUND(F73*G73,2)</f>
        <v/>
      </c>
      <c r="I73" s="188" t="n"/>
    </row>
    <row r="74" ht="25.5" customHeight="1" s="222">
      <c r="A74" s="165" t="inlineStr">
        <is>
          <t>59</t>
        </is>
      </c>
      <c r="B74" s="165" t="n"/>
      <c r="C74" s="168" t="inlineStr">
        <is>
          <t>02.2.04.03-0012</t>
        </is>
      </c>
      <c r="D74" s="185" t="inlineStr">
        <is>
          <t>Смесь песчано-гравийная природная обогащенная с содержанием гравия: 25-35 %</t>
        </is>
      </c>
      <c r="E74" s="298" t="inlineStr">
        <is>
          <t>м3</t>
        </is>
      </c>
      <c r="F74" s="168" t="n">
        <v>20.7</v>
      </c>
      <c r="G74" s="182" t="n">
        <v>69.55</v>
      </c>
      <c r="H74" s="199">
        <f>ROUND(F74*G74,2)</f>
        <v/>
      </c>
      <c r="I74" s="188" t="n"/>
    </row>
    <row r="75" ht="25.5" customHeight="1" s="222">
      <c r="A75" s="165" t="inlineStr">
        <is>
          <t>60</t>
        </is>
      </c>
      <c r="B75" s="165" t="n"/>
      <c r="C75" s="168" t="inlineStr">
        <is>
          <t>02.2.05.04-0056</t>
        </is>
      </c>
      <c r="D75" s="185" t="inlineStr">
        <is>
          <t>Щебень из гравия для строительных работ марка 1000, фракция 40-70 мм</t>
        </is>
      </c>
      <c r="E75" s="298" t="inlineStr">
        <is>
          <t>м3</t>
        </is>
      </c>
      <c r="F75" s="168" t="n">
        <v>10.74</v>
      </c>
      <c r="G75" s="182" t="n">
        <v>134.02</v>
      </c>
      <c r="H75" s="199">
        <f>ROUND(F75*G75,2)</f>
        <v/>
      </c>
      <c r="I75" s="188" t="n"/>
    </row>
    <row r="76" ht="36" customHeight="1" s="222">
      <c r="A76" s="165" t="inlineStr">
        <is>
          <t>61</t>
        </is>
      </c>
      <c r="B76" s="165" t="n"/>
      <c r="C76" s="168" t="inlineStr">
        <is>
          <t>01.7.17.11-0001</t>
        </is>
      </c>
      <c r="D76" s="185" t="inlineStr">
        <is>
          <t>Бумага шлифовальная</t>
        </is>
      </c>
      <c r="E76" s="298" t="inlineStr">
        <is>
          <t>кг</t>
        </is>
      </c>
      <c r="F76" s="168" t="n">
        <v>28</v>
      </c>
      <c r="G76" s="182" t="n">
        <v>50</v>
      </c>
      <c r="H76" s="199">
        <f>ROUND(F76*G76,2)</f>
        <v/>
      </c>
      <c r="I76" s="188" t="n"/>
    </row>
    <row r="77" ht="25.5" customHeight="1" s="222">
      <c r="A77" s="165" t="inlineStr">
        <is>
          <t>62</t>
        </is>
      </c>
      <c r="B77" s="165" t="n"/>
      <c r="C77" s="168" t="inlineStr">
        <is>
          <t>04.1.02.05-0041</t>
        </is>
      </c>
      <c r="D77" s="185" t="inlineStr">
        <is>
          <t>Бетон тяжелый, крупность заполнителя: 20 мм, класс В10 (М150)</t>
        </is>
      </c>
      <c r="E77" s="298" t="inlineStr">
        <is>
          <t>м3</t>
        </is>
      </c>
      <c r="F77" s="168" t="n">
        <v>2.448</v>
      </c>
      <c r="G77" s="182" t="n">
        <v>542.24</v>
      </c>
      <c r="H77" s="199">
        <f>ROUND(F77*G77,2)</f>
        <v/>
      </c>
      <c r="I77" s="188" t="n"/>
    </row>
    <row r="78">
      <c r="A78" s="165" t="inlineStr">
        <is>
          <t>63</t>
        </is>
      </c>
      <c r="B78" s="165" t="n"/>
      <c r="C78" s="168" t="inlineStr">
        <is>
          <t>20.2.08.05-0017</t>
        </is>
      </c>
      <c r="D78" s="185" t="inlineStr">
        <is>
          <t>Профиль монтажный</t>
        </is>
      </c>
      <c r="E78" s="298" t="inlineStr">
        <is>
          <t>шт</t>
        </is>
      </c>
      <c r="F78" s="168" t="n">
        <v>18</v>
      </c>
      <c r="G78" s="182" t="n">
        <v>66.81999999999999</v>
      </c>
      <c r="H78" s="199">
        <f>ROUND(F78*G78,2)</f>
        <v/>
      </c>
      <c r="I78" s="188" t="n"/>
    </row>
    <row r="79" ht="25.5" customHeight="1" s="222">
      <c r="A79" s="165" t="inlineStr">
        <is>
          <t>64</t>
        </is>
      </c>
      <c r="B79" s="165" t="n"/>
      <c r="C79" s="168" t="inlineStr">
        <is>
          <t>999-9950</t>
        </is>
      </c>
      <c r="D79" s="185" t="inlineStr">
        <is>
          <t>Вспомогательные ненормируемые ресурсы (2% от Оплаты труда рабочих)</t>
        </is>
      </c>
      <c r="E79" s="298" t="inlineStr">
        <is>
          <t>руб</t>
        </is>
      </c>
      <c r="F79" s="168" t="n">
        <v>985.3856</v>
      </c>
      <c r="G79" s="182" t="n">
        <v>1</v>
      </c>
      <c r="H79" s="199">
        <f>ROUND(F79*G79,2)</f>
        <v/>
      </c>
      <c r="I79" s="188" t="n"/>
    </row>
    <row r="80">
      <c r="A80" s="165" t="inlineStr">
        <is>
          <t>65</t>
        </is>
      </c>
      <c r="B80" s="165" t="n"/>
      <c r="C80" s="168" t="inlineStr">
        <is>
          <t>02.2.05.04-1777</t>
        </is>
      </c>
      <c r="D80" s="185" t="inlineStr">
        <is>
          <t>Щебень М 800, фракция 20-40 мм, группа 2</t>
        </is>
      </c>
      <c r="E80" s="298" t="inlineStr">
        <is>
          <t>м3</t>
        </is>
      </c>
      <c r="F80" s="168" t="n">
        <v>7</v>
      </c>
      <c r="G80" s="182" t="n">
        <v>108.4</v>
      </c>
      <c r="H80" s="199">
        <f>ROUND(F80*G80,2)</f>
        <v/>
      </c>
      <c r="I80" s="188" t="n"/>
    </row>
    <row r="81">
      <c r="A81" s="165" t="inlineStr">
        <is>
          <t>66</t>
        </is>
      </c>
      <c r="B81" s="165" t="n"/>
      <c r="C81" s="168" t="inlineStr">
        <is>
          <t>01.7.15.07-0014</t>
        </is>
      </c>
      <c r="D81" s="185" t="inlineStr">
        <is>
          <t>Дюбели распорные полипропиленовые</t>
        </is>
      </c>
      <c r="E81" s="298" t="inlineStr">
        <is>
          <t>100 шт</t>
        </is>
      </c>
      <c r="F81" s="168" t="n">
        <v>7.79</v>
      </c>
      <c r="G81" s="182" t="n">
        <v>86</v>
      </c>
      <c r="H81" s="199">
        <f>ROUND(F81*G81,2)</f>
        <v/>
      </c>
      <c r="I81" s="188" t="n"/>
    </row>
    <row r="82" ht="25.5" customHeight="1" s="222">
      <c r="A82" s="165" t="inlineStr">
        <is>
          <t>67</t>
        </is>
      </c>
      <c r="B82" s="165" t="n"/>
      <c r="C82" s="168" t="inlineStr">
        <is>
          <t>08.3.07.01-0076</t>
        </is>
      </c>
      <c r="D82" s="185" t="inlineStr">
        <is>
          <t>Сталь полосовая, марка стали: Ст3сп шириной 50-200 мм толщиной 4-5 мм</t>
        </is>
      </c>
      <c r="E82" s="298" t="inlineStr">
        <is>
          <t>т</t>
        </is>
      </c>
      <c r="F82" s="168" t="n">
        <v>0.1263</v>
      </c>
      <c r="G82" s="182" t="n">
        <v>5000</v>
      </c>
      <c r="H82" s="199">
        <f>ROUND(F82*G82,2)</f>
        <v/>
      </c>
      <c r="I82" s="188" t="n"/>
    </row>
    <row r="83">
      <c r="A83" s="165" t="inlineStr">
        <is>
          <t>68</t>
        </is>
      </c>
      <c r="B83" s="165" t="n"/>
      <c r="C83" s="168" t="inlineStr">
        <is>
          <t>62.1.04.09-0004</t>
        </is>
      </c>
      <c r="D83" s="185" t="inlineStr">
        <is>
          <t>Реле дифференциальные: Р-33 УХЛ4</t>
        </is>
      </c>
      <c r="E83" s="298" t="inlineStr">
        <is>
          <t>шт</t>
        </is>
      </c>
      <c r="F83" s="168" t="n">
        <v>4</v>
      </c>
      <c r="G83" s="182" t="n">
        <v>147.18</v>
      </c>
      <c r="H83" s="199">
        <f>ROUND(F83*G83,2)</f>
        <v/>
      </c>
      <c r="I83" s="188" t="n"/>
    </row>
    <row r="84">
      <c r="A84" s="165" t="inlineStr">
        <is>
          <t>69</t>
        </is>
      </c>
      <c r="B84" s="165" t="n"/>
      <c r="C84" s="168" t="inlineStr">
        <is>
          <t>01.7.15.07-0031</t>
        </is>
      </c>
      <c r="D84" s="185" t="inlineStr">
        <is>
          <t>Дюбели распорные с гайкой</t>
        </is>
      </c>
      <c r="E84" s="298" t="inlineStr">
        <is>
          <t>100 шт</t>
        </is>
      </c>
      <c r="F84" s="168" t="n">
        <v>4.506</v>
      </c>
      <c r="G84" s="182" t="n">
        <v>110</v>
      </c>
      <c r="H84" s="199">
        <f>ROUND(F84*G84,2)</f>
        <v/>
      </c>
      <c r="I84" s="188" t="n"/>
    </row>
    <row r="85" ht="25.5" customHeight="1" s="222">
      <c r="A85" s="165" t="inlineStr">
        <is>
          <t>70</t>
        </is>
      </c>
      <c r="B85" s="165" t="n"/>
      <c r="C85" s="168" t="inlineStr">
        <is>
          <t>03.2.01.01-0003</t>
        </is>
      </c>
      <c r="D85" s="185" t="inlineStr">
        <is>
          <t>Портландцемент общестроительного назначения бездобавочный, марки: 500</t>
        </is>
      </c>
      <c r="E85" s="298" t="inlineStr">
        <is>
          <t>т</t>
        </is>
      </c>
      <c r="F85" s="168" t="n">
        <v>1.0138</v>
      </c>
      <c r="G85" s="182" t="n">
        <v>480</v>
      </c>
      <c r="H85" s="199">
        <f>ROUND(F85*G85,2)</f>
        <v/>
      </c>
      <c r="I85" s="188" t="n"/>
    </row>
    <row r="86">
      <c r="A86" s="165" t="inlineStr">
        <is>
          <t>71</t>
        </is>
      </c>
      <c r="B86" s="165" t="n"/>
      <c r="C86" s="168" t="inlineStr">
        <is>
          <t>01.7.15.05-0027</t>
        </is>
      </c>
      <c r="D86" s="185" t="inlineStr">
        <is>
          <t>Гайки шестигранные оцинкованные диаметр резьбы: 24 мм</t>
        </is>
      </c>
      <c r="E86" s="298" t="inlineStr">
        <is>
          <t>т</t>
        </is>
      </c>
      <c r="F86" s="168" t="n">
        <v>0.023616</v>
      </c>
      <c r="G86" s="182" t="n">
        <v>19978.06</v>
      </c>
      <c r="H86" s="199">
        <f>ROUND(F86*G86,2)</f>
        <v/>
      </c>
      <c r="I86" s="188" t="n"/>
    </row>
    <row r="87">
      <c r="A87" s="165" t="inlineStr">
        <is>
          <t>72</t>
        </is>
      </c>
      <c r="B87" s="165" t="n"/>
      <c r="C87" s="168" t="inlineStr">
        <is>
          <t>14.4.02.09-0001</t>
        </is>
      </c>
      <c r="D87" s="185" t="inlineStr">
        <is>
          <t>Краска</t>
        </is>
      </c>
      <c r="E87" s="298" t="inlineStr">
        <is>
          <t>кг</t>
        </is>
      </c>
      <c r="F87" s="168" t="n">
        <v>15.058</v>
      </c>
      <c r="G87" s="182" t="n">
        <v>28.6</v>
      </c>
      <c r="H87" s="199">
        <f>ROUND(F87*G87,2)</f>
        <v/>
      </c>
      <c r="I87" s="188" t="n"/>
    </row>
    <row r="88" ht="36" customHeight="1" s="222">
      <c r="A88" s="165" t="inlineStr">
        <is>
          <t>73</t>
        </is>
      </c>
      <c r="B88" s="165" t="n"/>
      <c r="C88" s="168" t="inlineStr">
        <is>
          <t>01.7.15.11-0052</t>
        </is>
      </c>
      <c r="D88" s="185" t="inlineStr">
        <is>
          <t>Шайбы оцинкованные, диаметр: 24 мм</t>
        </is>
      </c>
      <c r="E88" s="298" t="inlineStr">
        <is>
          <t>кг</t>
        </is>
      </c>
      <c r="F88" s="168" t="n">
        <v>13.344</v>
      </c>
      <c r="G88" s="182" t="n">
        <v>28.45</v>
      </c>
      <c r="H88" s="199">
        <f>ROUND(F88*G88,2)</f>
        <v/>
      </c>
      <c r="I88" s="188" t="n"/>
    </row>
    <row r="89" ht="25.5" customHeight="1" s="222">
      <c r="A89" s="165" t="inlineStr">
        <is>
          <t>74</t>
        </is>
      </c>
      <c r="B89" s="165" t="n"/>
      <c r="C89" s="168" t="inlineStr">
        <is>
          <t>01.7.11.07-0034</t>
        </is>
      </c>
      <c r="D89" s="185" t="inlineStr">
        <is>
          <t>Электроды диаметром: 4 мм Э42А</t>
        </is>
      </c>
      <c r="E89" s="298" t="inlineStr">
        <is>
          <t>кг</t>
        </is>
      </c>
      <c r="F89" s="168" t="n">
        <v>32.9134</v>
      </c>
      <c r="G89" s="182" t="n">
        <v>10.57</v>
      </c>
      <c r="H89" s="199">
        <f>ROUND(F89*G89,2)</f>
        <v/>
      </c>
      <c r="I89" s="188" t="n"/>
    </row>
    <row r="90">
      <c r="A90" s="165" t="inlineStr">
        <is>
          <t>75</t>
        </is>
      </c>
      <c r="B90" s="165" t="n"/>
      <c r="C90" s="168" t="inlineStr">
        <is>
          <t>08.3.08.02-0091</t>
        </is>
      </c>
      <c r="D90" s="185" t="inlineStr">
        <is>
          <t>Сталь угловая, марки Ст3, перфорированная УП 35х35 мм</t>
        </is>
      </c>
      <c r="E90" s="298" t="inlineStr">
        <is>
          <t>м</t>
        </is>
      </c>
      <c r="F90" s="168" t="n">
        <v>17.1</v>
      </c>
      <c r="G90" s="182" t="n">
        <v>15.13</v>
      </c>
      <c r="H90" s="199">
        <f>ROUND(F90*G90,2)</f>
        <v/>
      </c>
      <c r="I90" s="188" t="n"/>
    </row>
    <row r="91">
      <c r="A91" s="165" t="inlineStr">
        <is>
          <t>76</t>
        </is>
      </c>
      <c r="B91" s="165" t="n"/>
      <c r="C91" s="168" t="inlineStr">
        <is>
          <t>01.3.02.08-0001</t>
        </is>
      </c>
      <c r="D91" s="185" t="inlineStr">
        <is>
          <t>Кислород технический: газообразный</t>
        </is>
      </c>
      <c r="E91" s="298" t="inlineStr">
        <is>
          <t>м3</t>
        </is>
      </c>
      <c r="F91" s="168" t="n">
        <v>33.3971</v>
      </c>
      <c r="G91" s="182" t="n">
        <v>6.22</v>
      </c>
      <c r="H91" s="199">
        <f>ROUND(F91*G91,2)</f>
        <v/>
      </c>
      <c r="I91" s="188" t="n"/>
    </row>
    <row r="92">
      <c r="A92" s="165" t="inlineStr">
        <is>
          <t>77</t>
        </is>
      </c>
      <c r="B92" s="165" t="n"/>
      <c r="C92" s="168" t="inlineStr">
        <is>
          <t>01.3.02.03-0001</t>
        </is>
      </c>
      <c r="D92" s="185" t="inlineStr">
        <is>
          <t>Ацетилен газообразный технический</t>
        </is>
      </c>
      <c r="E92" s="298" t="inlineStr">
        <is>
          <t>м3</t>
        </is>
      </c>
      <c r="F92" s="168" t="n">
        <v>4.3412</v>
      </c>
      <c r="G92" s="182" t="n">
        <v>38.51</v>
      </c>
      <c r="H92" s="199">
        <f>ROUND(F92*G92,2)</f>
        <v/>
      </c>
      <c r="I92" s="188" t="n"/>
    </row>
    <row r="93">
      <c r="A93" s="165" t="inlineStr">
        <is>
          <t>78</t>
        </is>
      </c>
      <c r="B93" s="165" t="n"/>
      <c r="C93" s="168" t="inlineStr">
        <is>
          <t>25.2.01.01-0001</t>
        </is>
      </c>
      <c r="D93" s="185" t="inlineStr">
        <is>
          <t>Бирки-оконцеватели</t>
        </is>
      </c>
      <c r="E93" s="298" t="inlineStr">
        <is>
          <t>100 шт</t>
        </is>
      </c>
      <c r="F93" s="168" t="n">
        <v>2.52</v>
      </c>
      <c r="G93" s="182" t="n">
        <v>63</v>
      </c>
      <c r="H93" s="199">
        <f>ROUND(F93*G93,2)</f>
        <v/>
      </c>
      <c r="I93" s="188" t="n"/>
    </row>
    <row r="94">
      <c r="A94" s="165" t="inlineStr">
        <is>
          <t>79</t>
        </is>
      </c>
      <c r="B94" s="165" t="n"/>
      <c r="C94" s="168" t="inlineStr">
        <is>
          <t>14.4.02.09-0301</t>
        </is>
      </c>
      <c r="D94" s="185" t="inlineStr">
        <is>
          <t>Краска "Цинол"</t>
        </is>
      </c>
      <c r="E94" s="298" t="inlineStr">
        <is>
          <t>кг</t>
        </is>
      </c>
      <c r="F94" s="168" t="n">
        <v>0.644</v>
      </c>
      <c r="G94" s="182" t="n">
        <v>238.48</v>
      </c>
      <c r="H94" s="199">
        <f>ROUND(F94*G94,2)</f>
        <v/>
      </c>
      <c r="I94" s="188" t="n"/>
    </row>
    <row r="95">
      <c r="A95" s="165" t="inlineStr">
        <is>
          <t>80</t>
        </is>
      </c>
      <c r="B95" s="165" t="n"/>
      <c r="C95" s="168" t="inlineStr">
        <is>
          <t>04.3.01.09-0014</t>
        </is>
      </c>
      <c r="D95" s="185" t="inlineStr">
        <is>
          <t>Раствор готовый кладочный цементный марки: 100</t>
        </is>
      </c>
      <c r="E95" s="298" t="inlineStr">
        <is>
          <t>м3</t>
        </is>
      </c>
      <c r="F95" s="168" t="n">
        <v>0.25857</v>
      </c>
      <c r="G95" s="182" t="n">
        <v>519.8</v>
      </c>
      <c r="H95" s="199">
        <f>ROUND(F95*G95,2)</f>
        <v/>
      </c>
      <c r="I95" s="188" t="n"/>
    </row>
    <row r="96">
      <c r="A96" s="165" t="inlineStr">
        <is>
          <t>81</t>
        </is>
      </c>
      <c r="B96" s="165" t="n"/>
      <c r="C96" s="168" t="inlineStr">
        <is>
          <t>20.1.02.14-0001</t>
        </is>
      </c>
      <c r="D96" s="185" t="inlineStr">
        <is>
          <t>Серьга</t>
        </is>
      </c>
      <c r="E96" s="298" t="inlineStr">
        <is>
          <t>шт</t>
        </is>
      </c>
      <c r="F96" s="168" t="n">
        <v>10.8</v>
      </c>
      <c r="G96" s="182" t="n">
        <v>10.54</v>
      </c>
      <c r="H96" s="199">
        <f>ROUND(F96*G96,2)</f>
        <v/>
      </c>
      <c r="I96" s="188" t="n"/>
    </row>
    <row r="97">
      <c r="A97" s="165" t="inlineStr">
        <is>
          <t>82</t>
        </is>
      </c>
      <c r="B97" s="165" t="n"/>
      <c r="C97" s="168" t="inlineStr">
        <is>
          <t>01.3.01.06-0050</t>
        </is>
      </c>
      <c r="D97" s="185" t="inlineStr">
        <is>
          <t>Смазка универсальная тугоплавкая УТ (консталин жировой)</t>
        </is>
      </c>
      <c r="E97" s="298" t="inlineStr">
        <is>
          <t>т</t>
        </is>
      </c>
      <c r="F97" s="168" t="n">
        <v>0.0062</v>
      </c>
      <c r="G97" s="182" t="n">
        <v>17500</v>
      </c>
      <c r="H97" s="199">
        <f>ROUND(F97*G97,2)</f>
        <v/>
      </c>
      <c r="I97" s="188" t="n"/>
    </row>
    <row r="98">
      <c r="A98" s="165" t="inlineStr">
        <is>
          <t>83</t>
        </is>
      </c>
      <c r="B98" s="165" t="n"/>
      <c r="C98" s="168" t="inlineStr">
        <is>
          <t>08.3.05.02-0052</t>
        </is>
      </c>
      <c r="D98" s="185" t="inlineStr">
        <is>
          <t>Сталь листовая горячекатаная марки Ст3 толщиной: 2-6 мм</t>
        </is>
      </c>
      <c r="E98" s="298" t="inlineStr">
        <is>
          <t>т</t>
        </is>
      </c>
      <c r="F98" s="168" t="n">
        <v>0.018</v>
      </c>
      <c r="G98" s="182" t="n">
        <v>5941.89</v>
      </c>
      <c r="H98" s="199">
        <f>ROUND(F98*G98,2)</f>
        <v/>
      </c>
      <c r="I98" s="188" t="n"/>
    </row>
    <row r="99">
      <c r="A99" s="165" t="inlineStr">
        <is>
          <t>84</t>
        </is>
      </c>
      <c r="B99" s="165" t="n"/>
      <c r="C99" s="168" t="inlineStr">
        <is>
          <t>01.7.20.08-0031</t>
        </is>
      </c>
      <c r="D99" s="185" t="inlineStr">
        <is>
          <t>Бязь суровая арт. 6804</t>
        </is>
      </c>
      <c r="E99" s="298" t="inlineStr">
        <is>
          <t>10 м2</t>
        </is>
      </c>
      <c r="F99" s="168" t="n">
        <v>1.092</v>
      </c>
      <c r="G99" s="182" t="n">
        <v>79.09999999999999</v>
      </c>
      <c r="H99" s="199">
        <f>ROUND(F99*G99,2)</f>
        <v/>
      </c>
      <c r="I99" s="188" t="n"/>
    </row>
    <row r="100">
      <c r="A100" s="165" t="inlineStr">
        <is>
          <t>85</t>
        </is>
      </c>
      <c r="B100" s="165" t="n"/>
      <c r="C100" s="168" t="inlineStr">
        <is>
          <t>20.3.02.12-0002</t>
        </is>
      </c>
      <c r="D100" s="185" t="inlineStr">
        <is>
          <t>Лампа энергосберегающая: Camelion LH-11W</t>
        </is>
      </c>
      <c r="E100" s="298" t="inlineStr">
        <is>
          <t>шт</t>
        </is>
      </c>
      <c r="F100" s="168" t="n">
        <v>4</v>
      </c>
      <c r="G100" s="182" t="n">
        <v>18.46</v>
      </c>
      <c r="H100" s="199">
        <f>ROUND(F100*G100,2)</f>
        <v/>
      </c>
      <c r="I100" s="188" t="n"/>
    </row>
    <row r="101">
      <c r="A101" s="165" t="inlineStr">
        <is>
          <t>86</t>
        </is>
      </c>
      <c r="B101" s="165" t="n"/>
      <c r="C101" s="168" t="inlineStr">
        <is>
          <t>02.3.01.02-0020</t>
        </is>
      </c>
      <c r="D101" s="185" t="inlineStr">
        <is>
          <t>Песок природный для строительных: растворов средний</t>
        </is>
      </c>
      <c r="E101" s="298" t="inlineStr">
        <is>
          <t>м3</t>
        </is>
      </c>
      <c r="F101" s="168" t="n">
        <v>0.8448</v>
      </c>
      <c r="G101" s="182" t="n">
        <v>59.99</v>
      </c>
      <c r="H101" s="199">
        <f>ROUND(F101*G101,2)</f>
        <v/>
      </c>
      <c r="I101" s="188" t="n"/>
    </row>
    <row r="102">
      <c r="A102" s="165" t="inlineStr">
        <is>
          <t>87</t>
        </is>
      </c>
      <c r="B102" s="165" t="n"/>
      <c r="C102" s="168" t="inlineStr">
        <is>
          <t>20.1.02.23-0082</t>
        </is>
      </c>
      <c r="D102" s="185" t="inlineStr">
        <is>
          <t>Перемычки гибкие, тип ПГС-50</t>
        </is>
      </c>
      <c r="E102" s="298" t="inlineStr">
        <is>
          <t>10 шт.</t>
        </is>
      </c>
      <c r="F102" s="168" t="n">
        <v>1.1</v>
      </c>
      <c r="G102" s="182" t="n">
        <v>39</v>
      </c>
      <c r="H102" s="199">
        <f>ROUND(F102*G102,2)</f>
        <v/>
      </c>
      <c r="I102" s="188" t="n"/>
    </row>
    <row r="103">
      <c r="A103" s="165" t="inlineStr">
        <is>
          <t>88</t>
        </is>
      </c>
      <c r="B103" s="165" t="n"/>
      <c r="C103" s="168" t="inlineStr">
        <is>
          <t>14.5.09.11-0101</t>
        </is>
      </c>
      <c r="D103" s="185" t="inlineStr">
        <is>
          <t>Уайт-спирит</t>
        </is>
      </c>
      <c r="E103" s="298" t="inlineStr">
        <is>
          <t>т</t>
        </is>
      </c>
      <c r="F103" s="168" t="n">
        <v>0.0061</v>
      </c>
      <c r="G103" s="182" t="n">
        <v>6667</v>
      </c>
      <c r="H103" s="199">
        <f>ROUND(F103*G103,2)</f>
        <v/>
      </c>
      <c r="I103" s="188" t="n"/>
    </row>
    <row r="104">
      <c r="A104" s="165" t="inlineStr">
        <is>
          <t>89</t>
        </is>
      </c>
      <c r="B104" s="165" t="n"/>
      <c r="C104" s="168" t="inlineStr">
        <is>
          <t>01.7.11.07-0032</t>
        </is>
      </c>
      <c r="D104" s="185" t="inlineStr">
        <is>
          <t>Электроды диаметром: 4 мм Э42</t>
        </is>
      </c>
      <c r="E104" s="298" t="inlineStr">
        <is>
          <t>т</t>
        </is>
      </c>
      <c r="F104" s="168" t="n">
        <v>0.0035</v>
      </c>
      <c r="G104" s="182" t="n">
        <v>10315.01</v>
      </c>
      <c r="H104" s="199">
        <f>ROUND(F104*G104,2)</f>
        <v/>
      </c>
      <c r="I104" s="188" t="n"/>
    </row>
    <row r="105" ht="25.5" customHeight="1" s="222">
      <c r="A105" s="165" t="inlineStr">
        <is>
          <t>90</t>
        </is>
      </c>
      <c r="B105" s="165" t="n"/>
      <c r="C105" s="168" t="inlineStr">
        <is>
          <t>01.7.06.05-0041</t>
        </is>
      </c>
      <c r="D105" s="185" t="inlineStr">
        <is>
          <t>Лента изоляционная прорезиненная односторонняя ширина 20 мм, толщина 0,25-0,35 мм</t>
        </is>
      </c>
      <c r="E105" s="298" t="inlineStr">
        <is>
          <t>кг</t>
        </is>
      </c>
      <c r="F105" s="168" t="n">
        <v>0.944</v>
      </c>
      <c r="G105" s="182" t="n">
        <v>30.4</v>
      </c>
      <c r="H105" s="199">
        <f>ROUND(F105*G105,2)</f>
        <v/>
      </c>
      <c r="I105" s="188" t="n"/>
    </row>
    <row r="106">
      <c r="A106" s="165" t="inlineStr">
        <is>
          <t>91</t>
        </is>
      </c>
      <c r="B106" s="165" t="n"/>
      <c r="C106" s="168" t="inlineStr">
        <is>
          <t>01.7.07.12-0024</t>
        </is>
      </c>
      <c r="D106" s="185" t="inlineStr">
        <is>
          <t>Пленка полиэтиленовая толщиной: 0,15 мм</t>
        </is>
      </c>
      <c r="E106" s="298" t="inlineStr">
        <is>
          <t>м2</t>
        </is>
      </c>
      <c r="F106" s="168" t="n">
        <v>6</v>
      </c>
      <c r="G106" s="182" t="n">
        <v>3.62</v>
      </c>
      <c r="H106" s="199">
        <f>ROUND(F106*G106,2)</f>
        <v/>
      </c>
      <c r="I106" s="188" t="n"/>
    </row>
    <row r="107">
      <c r="A107" s="165" t="inlineStr">
        <is>
          <t>92</t>
        </is>
      </c>
      <c r="B107" s="165" t="n"/>
      <c r="C107" s="168" t="inlineStr">
        <is>
          <t>01.3.01.02-0002</t>
        </is>
      </c>
      <c r="D107" s="185" t="inlineStr">
        <is>
          <t>Вазелин технический</t>
        </is>
      </c>
      <c r="E107" s="298" t="inlineStr">
        <is>
          <t>кг</t>
        </is>
      </c>
      <c r="F107" s="168" t="n">
        <v>0.472</v>
      </c>
      <c r="G107" s="182" t="n">
        <v>44.97</v>
      </c>
      <c r="H107" s="199">
        <f>ROUND(F107*G107,2)</f>
        <v/>
      </c>
      <c r="I107" s="188" t="n"/>
    </row>
    <row r="108">
      <c r="A108" s="165" t="inlineStr">
        <is>
          <t>93</t>
        </is>
      </c>
      <c r="B108" s="165" t="n"/>
      <c r="C108" s="168" t="inlineStr">
        <is>
          <t>14.4.03.17-0011</t>
        </is>
      </c>
      <c r="D108" s="185" t="inlineStr">
        <is>
          <t>Лак электроизоляционный 318</t>
        </is>
      </c>
      <c r="E108" s="298" t="inlineStr">
        <is>
          <t>кг</t>
        </is>
      </c>
      <c r="F108" s="168" t="n">
        <v>0.472</v>
      </c>
      <c r="G108" s="182" t="n">
        <v>35.63</v>
      </c>
      <c r="H108" s="199">
        <f>ROUND(F108*G108,2)</f>
        <v/>
      </c>
      <c r="I108" s="188" t="n"/>
    </row>
    <row r="109">
      <c r="A109" s="165" t="inlineStr">
        <is>
          <t>94</t>
        </is>
      </c>
      <c r="B109" s="165" t="n"/>
      <c r="C109" s="168" t="inlineStr">
        <is>
          <t>01.7.15.14-0043</t>
        </is>
      </c>
      <c r="D109" s="185" t="inlineStr">
        <is>
          <t>Шуруп самонарезающий: (LN) 3,5/11 мм</t>
        </is>
      </c>
      <c r="E109" s="298" t="inlineStr">
        <is>
          <t>100 шт</t>
        </is>
      </c>
      <c r="F109" s="168" t="n">
        <v>7.528</v>
      </c>
      <c r="G109" s="182" t="n">
        <v>2</v>
      </c>
      <c r="H109" s="199">
        <f>ROUND(F109*G109,2)</f>
        <v/>
      </c>
      <c r="I109" s="188" t="n"/>
    </row>
    <row r="110">
      <c r="A110" s="165" t="inlineStr">
        <is>
          <t>95</t>
        </is>
      </c>
      <c r="B110" s="165" t="n"/>
      <c r="C110" s="168" t="inlineStr">
        <is>
          <t>14.4.04.09-0017</t>
        </is>
      </c>
      <c r="D110" s="185" t="inlineStr">
        <is>
          <t>Эмаль ХВ-124 защитная, зеленая</t>
        </is>
      </c>
      <c r="E110" s="298" t="inlineStr">
        <is>
          <t>т</t>
        </is>
      </c>
      <c r="F110" s="168" t="n">
        <v>0.0005</v>
      </c>
      <c r="G110" s="182" t="n">
        <v>28300.4</v>
      </c>
      <c r="H110" s="199">
        <f>ROUND(F110*G110,2)</f>
        <v/>
      </c>
      <c r="I110" s="188" t="n"/>
    </row>
    <row r="111">
      <c r="A111" s="165" t="inlineStr">
        <is>
          <t>96</t>
        </is>
      </c>
      <c r="B111" s="165" t="n"/>
      <c r="C111" s="168" t="inlineStr">
        <is>
          <t>20.2.09.13-0011</t>
        </is>
      </c>
      <c r="D111" s="185" t="inlineStr">
        <is>
          <t>Муфта</t>
        </is>
      </c>
      <c r="E111" s="298" t="inlineStr">
        <is>
          <t>шт</t>
        </is>
      </c>
      <c r="F111" s="168" t="n">
        <v>2.16</v>
      </c>
      <c r="G111" s="182" t="n">
        <v>5</v>
      </c>
      <c r="H111" s="199">
        <f>ROUND(F111*G111,2)</f>
        <v/>
      </c>
      <c r="I111" s="188" t="n"/>
    </row>
    <row r="112">
      <c r="A112" s="165" t="inlineStr">
        <is>
          <t>97</t>
        </is>
      </c>
      <c r="B112" s="165" t="n"/>
      <c r="C112" s="168" t="inlineStr">
        <is>
          <t>01.7.15.07-0007</t>
        </is>
      </c>
      <c r="D112" s="185" t="inlineStr">
        <is>
          <t>Дюбели пластмассовые диаметр 14 мм</t>
        </is>
      </c>
      <c r="E112" s="298" t="inlineStr">
        <is>
          <t>100 шт</t>
        </is>
      </c>
      <c r="F112" s="168" t="n">
        <v>0.36</v>
      </c>
      <c r="G112" s="182" t="n">
        <v>26.6</v>
      </c>
      <c r="H112" s="199">
        <f>ROUND(F112*G112,2)</f>
        <v/>
      </c>
      <c r="I112" s="188" t="n"/>
    </row>
    <row r="113" ht="25.5" customHeight="1" s="222">
      <c r="A113" s="165" t="inlineStr">
        <is>
          <t>98</t>
        </is>
      </c>
      <c r="B113" s="165" t="n"/>
      <c r="C113" s="168" t="inlineStr">
        <is>
          <t>11.1.03.06-0087</t>
        </is>
      </c>
      <c r="D113" s="185" t="inlineStr">
        <is>
          <t>Доски обрезные хвойных пород длиной: 4-6,5 м, шириной 75-150 мм, толщиной 25 мм, III сорта</t>
        </is>
      </c>
      <c r="E113" s="298" t="inlineStr">
        <is>
          <t>м3</t>
        </is>
      </c>
      <c r="F113" s="168" t="n">
        <v>0.0081</v>
      </c>
      <c r="G113" s="182" t="n">
        <v>1100</v>
      </c>
      <c r="H113" s="199">
        <f>ROUND(F113*G113,2)</f>
        <v/>
      </c>
      <c r="I113" s="188" t="n"/>
    </row>
    <row r="114">
      <c r="A114" s="165" t="inlineStr">
        <is>
          <t>99</t>
        </is>
      </c>
      <c r="B114" s="165" t="n"/>
      <c r="C114" s="168" t="inlineStr">
        <is>
          <t>14.4.01.01-0003</t>
        </is>
      </c>
      <c r="D114" s="185" t="inlineStr">
        <is>
          <t>Грунтовка: ГФ-021 красно-коричневая</t>
        </is>
      </c>
      <c r="E114" s="298" t="inlineStr">
        <is>
          <t>т</t>
        </is>
      </c>
      <c r="F114" s="168" t="n">
        <v>0.0005</v>
      </c>
      <c r="G114" s="182" t="n">
        <v>15620</v>
      </c>
      <c r="H114" s="199">
        <f>ROUND(F114*G114,2)</f>
        <v/>
      </c>
      <c r="I114" s="188" t="n"/>
    </row>
    <row r="115">
      <c r="A115" s="165" t="inlineStr">
        <is>
          <t>100</t>
        </is>
      </c>
      <c r="B115" s="165" t="n"/>
      <c r="C115" s="168" t="inlineStr">
        <is>
          <t>08.3.07.01-0043</t>
        </is>
      </c>
      <c r="D115" s="185" t="inlineStr">
        <is>
          <t>Сталь полосовая: 40х5 мм, марка Ст3сп</t>
        </is>
      </c>
      <c r="E115" s="298" t="inlineStr">
        <is>
          <t>т</t>
        </is>
      </c>
      <c r="F115" s="168" t="n">
        <v>0.001154</v>
      </c>
      <c r="G115" s="182" t="n">
        <v>6159.22</v>
      </c>
      <c r="H115" s="199">
        <f>ROUND(F115*G115,2)</f>
        <v/>
      </c>
      <c r="I115" s="188" t="n"/>
    </row>
    <row r="116">
      <c r="A116" s="165" t="inlineStr">
        <is>
          <t>101</t>
        </is>
      </c>
      <c r="B116" s="165" t="n"/>
      <c r="C116" s="168" t="inlineStr">
        <is>
          <t>01.7.20.04-0005</t>
        </is>
      </c>
      <c r="D116" s="185" t="inlineStr">
        <is>
          <t>Нитки швейные</t>
        </is>
      </c>
      <c r="E116" s="298" t="inlineStr">
        <is>
          <t>кг</t>
        </is>
      </c>
      <c r="F116" s="168" t="n">
        <v>0.046</v>
      </c>
      <c r="G116" s="182" t="n">
        <v>133.05</v>
      </c>
      <c r="H116" s="199">
        <f>ROUND(F116*G116,2)</f>
        <v/>
      </c>
      <c r="I116" s="188" t="n"/>
    </row>
    <row r="117">
      <c r="A117" s="165" t="inlineStr">
        <is>
          <t>102</t>
        </is>
      </c>
      <c r="B117" s="165" t="n"/>
      <c r="C117" s="168" t="inlineStr">
        <is>
          <t>01.7.15.03-0031</t>
        </is>
      </c>
      <c r="D117" s="185" t="inlineStr">
        <is>
          <t>Болты с гайками и шайбами оцинкованные, диаметр: 6 мм</t>
        </is>
      </c>
      <c r="E117" s="298" t="inlineStr">
        <is>
          <t>кг</t>
        </is>
      </c>
      <c r="F117" s="168" t="n">
        <v>0.18</v>
      </c>
      <c r="G117" s="182" t="n">
        <v>28.22</v>
      </c>
      <c r="H117" s="199">
        <f>ROUND(F117*G117,2)</f>
        <v/>
      </c>
      <c r="I117" s="188" t="n"/>
    </row>
    <row r="118">
      <c r="A118" s="165" t="inlineStr">
        <is>
          <t>103</t>
        </is>
      </c>
      <c r="B118" s="165" t="n"/>
      <c r="C118" s="168" t="inlineStr">
        <is>
          <t>14.5.09.07-0029</t>
        </is>
      </c>
      <c r="D118" s="185" t="inlineStr">
        <is>
          <t>Растворитель марки: Р-4</t>
        </is>
      </c>
      <c r="E118" s="298" t="inlineStr">
        <is>
          <t>т</t>
        </is>
      </c>
      <c r="F118" s="168" t="n">
        <v>0.0004</v>
      </c>
      <c r="G118" s="182" t="n">
        <v>9420</v>
      </c>
      <c r="H118" s="199">
        <f>ROUND(F118*G118,2)</f>
        <v/>
      </c>
      <c r="I118" s="188" t="n"/>
    </row>
    <row r="119" ht="25.5" customHeight="1" s="222">
      <c r="A119" s="165" t="inlineStr">
        <is>
          <t>104</t>
        </is>
      </c>
      <c r="B119" s="165" t="n"/>
      <c r="C119" s="168" t="inlineStr">
        <is>
          <t>11.1.03.06-0095</t>
        </is>
      </c>
      <c r="D119" s="185" t="inlineStr">
        <is>
          <t>Доски обрезные хвойных пород длиной: 4-6,5 м, шириной 75-150 мм, толщиной 44 мм и более, III сорта</t>
        </is>
      </c>
      <c r="E119" s="298" t="inlineStr">
        <is>
          <t>м3</t>
        </is>
      </c>
      <c r="F119" s="168" t="n">
        <v>0.0035</v>
      </c>
      <c r="G119" s="182" t="n">
        <v>1056</v>
      </c>
      <c r="H119" s="199">
        <f>ROUND(F119*G119,2)</f>
        <v/>
      </c>
      <c r="I119" s="188" t="n"/>
    </row>
    <row r="120">
      <c r="A120" s="165" t="inlineStr">
        <is>
          <t>105</t>
        </is>
      </c>
      <c r="B120" s="165" t="n"/>
      <c r="C120" s="168" t="inlineStr">
        <is>
          <t>01.7.15.06-0111</t>
        </is>
      </c>
      <c r="D120" s="185" t="inlineStr">
        <is>
          <t>Гвозди строительные</t>
        </is>
      </c>
      <c r="E120" s="298" t="inlineStr">
        <is>
          <t>т</t>
        </is>
      </c>
      <c r="F120" s="168" t="n">
        <v>0.0003</v>
      </c>
      <c r="G120" s="182" t="n">
        <v>11978</v>
      </c>
      <c r="H120" s="199">
        <f>ROUND(F120*G120,2)</f>
        <v/>
      </c>
      <c r="I120" s="188" t="n"/>
    </row>
    <row r="121">
      <c r="A121" s="165" t="inlineStr">
        <is>
          <t>106</t>
        </is>
      </c>
      <c r="B121" s="165" t="n"/>
      <c r="C121" s="168" t="inlineStr">
        <is>
          <t>01.7.02.09-0002</t>
        </is>
      </c>
      <c r="D121" s="185" t="inlineStr">
        <is>
          <t>Шпагат бумажный</t>
        </is>
      </c>
      <c r="E121" s="298" t="inlineStr">
        <is>
          <t>кг</t>
        </is>
      </c>
      <c r="F121" s="168" t="n">
        <v>0.095</v>
      </c>
      <c r="G121" s="182" t="n">
        <v>11.5</v>
      </c>
      <c r="H121" s="199">
        <f>ROUND(F121*G121,2)</f>
        <v/>
      </c>
      <c r="I121" s="188" t="n"/>
    </row>
    <row r="122">
      <c r="A122" s="165" t="inlineStr">
        <is>
          <t>107</t>
        </is>
      </c>
      <c r="B122" s="165" t="n"/>
      <c r="C122" s="168" t="inlineStr">
        <is>
          <t>01.7.03.01-0001</t>
        </is>
      </c>
      <c r="D122" s="185" t="inlineStr">
        <is>
          <t>Вода</t>
        </is>
      </c>
      <c r="E122" s="298" t="inlineStr">
        <is>
          <t>м3</t>
        </is>
      </c>
      <c r="F122" s="168" t="n">
        <v>0.0048</v>
      </c>
      <c r="G122" s="182" t="n">
        <v>2.44</v>
      </c>
      <c r="H122" s="199">
        <f>ROUND(F122*G122,2)</f>
        <v/>
      </c>
      <c r="I122" s="188" t="n"/>
    </row>
    <row r="123">
      <c r="C123" s="136" t="n"/>
      <c r="D123" s="134" t="n"/>
      <c r="E123" s="135" t="n"/>
      <c r="F123" s="135" t="n"/>
      <c r="G123" s="137" t="n"/>
      <c r="H123" s="141" t="n"/>
    </row>
    <row r="125" ht="14.25" customFormat="1" customHeight="1" s="219">
      <c r="A125" s="221" t="inlineStr">
        <is>
          <t>Составил ______________________   А.Р. Маркова</t>
        </is>
      </c>
    </row>
    <row r="126" ht="14.25" customFormat="1" customHeight="1" s="219">
      <c r="A126" s="218" t="inlineStr">
        <is>
          <t xml:space="preserve">                         (подпись, инициалы, фамилия)</t>
        </is>
      </c>
    </row>
    <row r="127" ht="14.25" customFormat="1" customHeight="1" s="219">
      <c r="A127" s="221" t="n"/>
    </row>
    <row r="128" ht="14.25" customFormat="1" customHeight="1" s="219">
      <c r="A128" s="221" t="inlineStr">
        <is>
          <t>Проверил ______________________        А.В. Костянецкая</t>
        </is>
      </c>
    </row>
    <row r="129" ht="14.25" customFormat="1" customHeight="1" s="219">
      <c r="A129" s="21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D9:D10"/>
    <mergeCell ref="A27:D27"/>
    <mergeCell ref="E9:E10"/>
    <mergeCell ref="F9:F10"/>
    <mergeCell ref="A9:A10"/>
    <mergeCell ref="A12:D12"/>
    <mergeCell ref="A2:H2"/>
    <mergeCell ref="A62:D62"/>
    <mergeCell ref="A29:D29"/>
    <mergeCell ref="A6:H7"/>
    <mergeCell ref="A57:D57"/>
    <mergeCell ref="A3:I3"/>
    <mergeCell ref="D4:H4"/>
    <mergeCell ref="G9:H9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49"/>
  <sheetViews>
    <sheetView view="pageBreakPreview" topLeftCell="A34" workbookViewId="0">
      <selection activeCell="B42" sqref="B42"/>
    </sheetView>
  </sheetViews>
  <sheetFormatPr baseColWidth="8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9.140625" customWidth="1" style="222" min="6" max="6"/>
    <col width="12.85546875" customWidth="1" style="222" min="7" max="7"/>
    <col width="9.140625" customWidth="1" style="222" min="8" max="11"/>
    <col width="13.5703125" customWidth="1" style="222" min="12" max="12"/>
    <col width="9.140625" customWidth="1" style="222" min="13" max="13"/>
  </cols>
  <sheetData>
    <row r="1">
      <c r="B1" s="221" t="n"/>
      <c r="C1" s="221" t="n"/>
      <c r="D1" s="221" t="n"/>
      <c r="E1" s="221" t="n"/>
    </row>
    <row r="2">
      <c r="B2" s="221" t="n"/>
      <c r="C2" s="221" t="n"/>
      <c r="D2" s="221" t="n"/>
      <c r="E2" s="293" t="inlineStr">
        <is>
          <t>Приложение № 4</t>
        </is>
      </c>
    </row>
    <row r="3">
      <c r="B3" s="221" t="n"/>
      <c r="C3" s="221" t="n"/>
      <c r="D3" s="221" t="n"/>
      <c r="E3" s="221" t="n"/>
    </row>
    <row r="4">
      <c r="B4" s="254" t="inlineStr">
        <is>
          <t>Ресурсная модель</t>
        </is>
      </c>
    </row>
    <row r="5">
      <c r="B5" s="125" t="n"/>
      <c r="C5" s="221" t="n"/>
      <c r="D5" s="221" t="n"/>
      <c r="E5" s="221" t="n"/>
    </row>
    <row r="6" ht="25.5" customHeight="1" s="222">
      <c r="B6" s="280" t="inlineStr">
        <is>
          <t>Наименование разрабатываемой расценки УНЦ — Демонтаж трансформаторов тока 110 кВ</t>
        </is>
      </c>
    </row>
    <row r="7">
      <c r="B7" s="281" t="inlineStr">
        <is>
          <t>Единица измерения  — 1 ед</t>
        </is>
      </c>
    </row>
    <row r="8">
      <c r="B8" s="125" t="n"/>
      <c r="C8" s="221" t="n"/>
      <c r="D8" s="221" t="n"/>
      <c r="E8" s="221" t="n"/>
    </row>
    <row r="9" ht="51" customHeight="1" s="222">
      <c r="B9" s="283" t="inlineStr">
        <is>
          <t>Наименование</t>
        </is>
      </c>
      <c r="C9" s="283" t="inlineStr">
        <is>
          <t>Сметная стоимость в ценах на 01.01.2023
 (руб.)</t>
        </is>
      </c>
      <c r="D9" s="283" t="inlineStr">
        <is>
          <t>Удельный вес, 
(в СМР)</t>
        </is>
      </c>
      <c r="E9" s="283" t="inlineStr">
        <is>
          <t>Удельный вес, % 
(от всего по РМ)</t>
        </is>
      </c>
    </row>
    <row r="10">
      <c r="B10" s="160" t="inlineStr">
        <is>
          <t>Оплата труда рабочих</t>
        </is>
      </c>
      <c r="C10" s="212">
        <f>'Прил.5 Расчет СМР и ОБ'!J18</f>
        <v/>
      </c>
      <c r="D10" s="26">
        <f>C10/$C$23</f>
        <v/>
      </c>
      <c r="E10" s="26">
        <f>C10/$C$39</f>
        <v/>
      </c>
    </row>
    <row r="11">
      <c r="B11" s="160" t="inlineStr">
        <is>
          <t>Эксплуатация машин основных</t>
        </is>
      </c>
      <c r="C11" s="212">
        <f>'Прил.5 Расчет СМР и ОБ'!J29</f>
        <v/>
      </c>
      <c r="D11" s="26">
        <f>C11/$C$23</f>
        <v/>
      </c>
      <c r="E11" s="26">
        <f>C11/$C$39</f>
        <v/>
      </c>
    </row>
    <row r="12">
      <c r="B12" s="160" t="inlineStr">
        <is>
          <t>Эксплуатация машин прочих</t>
        </is>
      </c>
      <c r="C12" s="212">
        <f>'Прил.5 Расчет СМР и ОБ'!J54</f>
        <v/>
      </c>
      <c r="D12" s="26">
        <f>C12/$C$23</f>
        <v/>
      </c>
      <c r="E12" s="26">
        <f>C12/$C$39</f>
        <v/>
      </c>
    </row>
    <row r="13">
      <c r="B13" s="160" t="inlineStr">
        <is>
          <t>ЭКСПЛУАТАЦИЯ МАШИН, ВСЕГО:</t>
        </is>
      </c>
      <c r="C13" s="212">
        <f>C12+C11</f>
        <v/>
      </c>
      <c r="D13" s="26">
        <f>C13/$C$23</f>
        <v/>
      </c>
      <c r="E13" s="26">
        <f>C13/$C$39</f>
        <v/>
      </c>
    </row>
    <row r="14">
      <c r="B14" s="160" t="inlineStr">
        <is>
          <t>в том числе зарплата машинистов</t>
        </is>
      </c>
      <c r="C14" s="212">
        <f>'Прил.5 Расчет СМР и ОБ'!J21</f>
        <v/>
      </c>
      <c r="D14" s="26">
        <f>C14/$C$23</f>
        <v/>
      </c>
      <c r="E14" s="26">
        <f>C14/$C$39</f>
        <v/>
      </c>
    </row>
    <row r="15">
      <c r="B15" s="160" t="inlineStr">
        <is>
          <t>Материалы основные</t>
        </is>
      </c>
      <c r="C15" s="212">
        <f>'Прил.5 Расчет СМР и ОБ'!J65</f>
        <v/>
      </c>
      <c r="D15" s="26">
        <f>C15/$C$23</f>
        <v/>
      </c>
      <c r="E15" s="26">
        <f>C15/$C$39</f>
        <v/>
      </c>
    </row>
    <row r="16">
      <c r="B16" s="160" t="inlineStr">
        <is>
          <t>Материалы прочие</t>
        </is>
      </c>
      <c r="C16" s="212">
        <f>'Прил.5 Расчет СМР и ОБ'!J66</f>
        <v/>
      </c>
      <c r="D16" s="26">
        <f>C16/$C$23</f>
        <v/>
      </c>
      <c r="E16" s="26">
        <f>C16/$C$39</f>
        <v/>
      </c>
      <c r="G16" s="360" t="n"/>
    </row>
    <row r="17">
      <c r="B17" s="160" t="inlineStr">
        <is>
          <t>МАТЕРИАЛЫ, ВСЕГО:</t>
        </is>
      </c>
      <c r="C17" s="212">
        <f>C16+C15</f>
        <v/>
      </c>
      <c r="D17" s="26">
        <f>C17/$C$23</f>
        <v/>
      </c>
      <c r="E17" s="26">
        <f>C17/$C$39</f>
        <v/>
      </c>
    </row>
    <row r="18">
      <c r="B18" s="160" t="inlineStr">
        <is>
          <t>ИТОГО</t>
        </is>
      </c>
      <c r="C18" s="212">
        <f>C17+C13+C10</f>
        <v/>
      </c>
      <c r="D18" s="26" t="n"/>
      <c r="E18" s="160" t="n"/>
    </row>
    <row r="19">
      <c r="B19" s="160" t="inlineStr">
        <is>
          <t>Сметная прибыль, руб.</t>
        </is>
      </c>
      <c r="C19" s="212">
        <f>ROUND(C20*(C10+C14),2)</f>
        <v/>
      </c>
      <c r="D19" s="26">
        <f>C19/$C$23</f>
        <v/>
      </c>
      <c r="E19" s="26">
        <f>C19/$C$39</f>
        <v/>
      </c>
    </row>
    <row r="20">
      <c r="B20" s="160" t="inlineStr">
        <is>
          <t>Сметная прибыль, %</t>
        </is>
      </c>
      <c r="C20" s="27">
        <f>'Прил.5 Расчет СМР и ОБ'!D72</f>
        <v/>
      </c>
      <c r="D20" s="26" t="n"/>
      <c r="E20" s="160" t="n"/>
    </row>
    <row r="21">
      <c r="B21" s="160" t="inlineStr">
        <is>
          <t>Накладные расходы, руб.</t>
        </is>
      </c>
      <c r="C21" s="212">
        <f>ROUND(C22*(C10+C14),2)</f>
        <v/>
      </c>
      <c r="D21" s="26">
        <f>C21/$C$23</f>
        <v/>
      </c>
      <c r="E21" s="26">
        <f>C21/$C$39</f>
        <v/>
      </c>
    </row>
    <row r="22">
      <c r="B22" s="160" t="inlineStr">
        <is>
          <t>Накладные расходы, %</t>
        </is>
      </c>
      <c r="C22" s="27">
        <f>'Прил.5 Расчет СМР и ОБ'!D70</f>
        <v/>
      </c>
      <c r="D22" s="26" t="n"/>
      <c r="E22" s="160" t="n"/>
    </row>
    <row r="23">
      <c r="B23" s="160" t="inlineStr">
        <is>
          <t>ВСЕГО СМР с НР и СП</t>
        </is>
      </c>
      <c r="C23" s="212">
        <f>C18+C19+C21</f>
        <v/>
      </c>
      <c r="D23" s="26">
        <f>C23/$C$23</f>
        <v/>
      </c>
      <c r="E23" s="26">
        <f>C23/$C$39</f>
        <v/>
      </c>
    </row>
    <row r="24" ht="25.5" customHeight="1" s="222">
      <c r="B24" s="160" t="inlineStr">
        <is>
          <t>ВСЕГО стоимость оборудования, в том числе</t>
        </is>
      </c>
      <c r="C24" s="212">
        <f>'Прил.5 Расчет СМР и ОБ'!J61</f>
        <v/>
      </c>
      <c r="D24" s="26" t="n"/>
      <c r="E24" s="26">
        <f>C24/$C$39</f>
        <v/>
      </c>
    </row>
    <row r="25" ht="25.5" customHeight="1" s="222">
      <c r="B25" s="160" t="inlineStr">
        <is>
          <t>стоимость оборудования технологического</t>
        </is>
      </c>
      <c r="C25" s="212">
        <f>C24</f>
        <v/>
      </c>
      <c r="D25" s="26" t="n"/>
      <c r="E25" s="26">
        <f>C25/$C$39</f>
        <v/>
      </c>
    </row>
    <row r="26">
      <c r="B26" s="160" t="inlineStr">
        <is>
          <t>ИТОГО (СМР + ОБОРУДОВАНИЕ)</t>
        </is>
      </c>
      <c r="C26" s="25">
        <f>C23+C24</f>
        <v/>
      </c>
      <c r="D26" s="26" t="n"/>
      <c r="E26" s="26">
        <f>C26/$C$39</f>
        <v/>
      </c>
    </row>
    <row r="27" ht="33" customHeight="1" s="222">
      <c r="B27" s="160" t="inlineStr">
        <is>
          <t>ПРОЧ. ЗАТР., УЧТЕННЫЕ ПОКАЗАТЕЛЕМ,  в том числе</t>
        </is>
      </c>
      <c r="C27" s="160" t="n"/>
      <c r="D27" s="160" t="n"/>
      <c r="E27" s="160" t="n"/>
    </row>
    <row r="28" ht="25.5" customHeight="1" s="222">
      <c r="B28" s="160" t="inlineStr">
        <is>
          <t>Временные здания и сооружения - 3,9%</t>
        </is>
      </c>
      <c r="C28" s="25">
        <f>ROUND(C23*3.9%,2)</f>
        <v/>
      </c>
      <c r="D28" s="160" t="n"/>
      <c r="E28" s="26">
        <f>C28/$C$39</f>
        <v/>
      </c>
    </row>
    <row r="29" ht="38.25" customHeight="1" s="222">
      <c r="B29" s="160" t="inlineStr">
        <is>
          <t>Дополнительные затраты при производстве строительно-монтажных работ в зимнее время - 2,1%</t>
        </is>
      </c>
      <c r="C29" s="25">
        <f>ROUND((C23+C28)*2.1%,2)</f>
        <v/>
      </c>
      <c r="D29" s="160" t="n"/>
      <c r="E29" s="26">
        <f>C29/$C$39</f>
        <v/>
      </c>
    </row>
    <row r="30" ht="25.5" customHeight="1" s="222">
      <c r="B30" s="160" t="inlineStr">
        <is>
          <t>Пусконаладочные работы (на основании СД ОП)</t>
        </is>
      </c>
      <c r="C30" s="25" t="n">
        <v>0</v>
      </c>
      <c r="D30" s="160" t="n"/>
      <c r="E30" s="26">
        <f>C30/$C$39</f>
        <v/>
      </c>
    </row>
    <row r="31" ht="25.5" customHeight="1" s="222">
      <c r="B31" s="160" t="inlineStr">
        <is>
          <t>Затраты по перевозке работников к месту работы и обратно</t>
        </is>
      </c>
      <c r="C31" s="25">
        <f>ROUND(C26*0%,2)</f>
        <v/>
      </c>
      <c r="D31" s="160" t="n"/>
      <c r="E31" s="26">
        <f>C31/$C$39</f>
        <v/>
      </c>
    </row>
    <row r="32" ht="25.5" customHeight="1" s="222">
      <c r="B32" s="160" t="inlineStr">
        <is>
          <t>Затраты, связанные с осуществлением работ вахтовым методом</t>
        </is>
      </c>
      <c r="C32" s="25">
        <f>ROUND(C26*0%,2)</f>
        <v/>
      </c>
      <c r="D32" s="160" t="n"/>
      <c r="E32" s="26">
        <f>C32/$C$39</f>
        <v/>
      </c>
    </row>
    <row r="33" ht="51" customHeight="1" s="222">
      <c r="B33" s="1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5">
        <f>ROUND(C26*0%,2)</f>
        <v/>
      </c>
      <c r="D33" s="160" t="n"/>
      <c r="E33" s="26">
        <f>C33/$C$39</f>
        <v/>
      </c>
    </row>
    <row r="34" ht="76.5" customHeight="1" s="222">
      <c r="B34" s="1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5">
        <f>ROUND(C26*0%,2)</f>
        <v/>
      </c>
      <c r="D34" s="160" t="n"/>
      <c r="E34" s="203">
        <f>C34/$C$39</f>
        <v/>
      </c>
    </row>
    <row r="35" ht="25.5" customHeight="1" s="222">
      <c r="B35" s="160" t="inlineStr">
        <is>
          <t>Строительный контроль и содержание службы заказчика - 2,14%</t>
        </is>
      </c>
      <c r="C35" s="25">
        <f>ROUND((C26+C31+C32+C33+C34+C28+C30+C29)*2.14%,2)</f>
        <v/>
      </c>
      <c r="D35" s="160" t="n"/>
      <c r="E35" s="203">
        <f>C35/$C$39</f>
        <v/>
      </c>
      <c r="G35" s="205" t="n"/>
      <c r="L35" s="127" t="n"/>
    </row>
    <row r="36">
      <c r="B36" s="160" t="inlineStr">
        <is>
          <t>Авторский надзор - 0,2%</t>
        </is>
      </c>
      <c r="C36" s="25">
        <f>ROUND((C26+C31+C32+C33+C34+C28+C30+C29)*0.2%,2)</f>
        <v/>
      </c>
      <c r="D36" s="160" t="n"/>
      <c r="E36" s="203">
        <f>C36/$C$39</f>
        <v/>
      </c>
      <c r="G36" s="205" t="n"/>
      <c r="L36" s="127" t="n"/>
    </row>
    <row r="37" ht="38.25" customHeight="1" s="222">
      <c r="B37" s="160" t="inlineStr">
        <is>
          <t>ИТОГО (СМР+ОБОРУДОВАНИЕ+ПРОЧ. ЗАТР., УЧТЕННЫЕ ПОКАЗАТЕЛЕМ)</t>
        </is>
      </c>
      <c r="C37" s="212">
        <f>C26+C31+C32+C33+C34+C28+C30+C29+C35+C36</f>
        <v/>
      </c>
      <c r="D37" s="160" t="n"/>
      <c r="E37" s="203">
        <f>C37/$C$39</f>
        <v/>
      </c>
    </row>
    <row r="38" ht="13.5" customHeight="1" s="222">
      <c r="B38" s="160" t="inlineStr">
        <is>
          <t>Непредвиденные расходы</t>
        </is>
      </c>
      <c r="C38" s="212">
        <f>ROUND(C37*3%,2)</f>
        <v/>
      </c>
      <c r="D38" s="160" t="n"/>
      <c r="E38" s="26">
        <f>C38/$C$37</f>
        <v/>
      </c>
    </row>
    <row r="39">
      <c r="B39" s="160" t="inlineStr">
        <is>
          <t>ВСЕГО:</t>
        </is>
      </c>
      <c r="C39" s="212">
        <f>C38+C37</f>
        <v/>
      </c>
      <c r="D39" s="160" t="n"/>
      <c r="E39" s="26">
        <f>C39/$C$39</f>
        <v/>
      </c>
    </row>
    <row r="40">
      <c r="B40" s="160" t="inlineStr">
        <is>
          <t>ИТОГО ПОКАЗАТЕЛЬ НА ЕД. ИЗМ.</t>
        </is>
      </c>
      <c r="C40" s="212">
        <f>C39/'Прил.5 Расчет СМР и ОБ'!E76</f>
        <v/>
      </c>
      <c r="D40" s="160" t="n"/>
      <c r="E40" s="160" t="n"/>
    </row>
    <row r="41">
      <c r="B41" s="214" t="n"/>
      <c r="C41" s="221" t="n"/>
      <c r="D41" s="221" t="n"/>
      <c r="E41" s="221" t="n"/>
    </row>
    <row r="42">
      <c r="B42" s="214" t="inlineStr">
        <is>
          <t>Составил ____________________________ А.Р. Маркова</t>
        </is>
      </c>
      <c r="C42" s="221" t="n"/>
      <c r="D42" s="221" t="n"/>
      <c r="E42" s="221" t="n"/>
    </row>
    <row r="43">
      <c r="B43" s="214" t="inlineStr">
        <is>
          <t xml:space="preserve">(должность, подпись, инициалы, фамилия) </t>
        </is>
      </c>
      <c r="C43" s="221" t="n"/>
      <c r="D43" s="221" t="n"/>
      <c r="E43" s="221" t="n"/>
    </row>
    <row r="44">
      <c r="B44" s="214" t="n"/>
      <c r="C44" s="221" t="n"/>
      <c r="D44" s="221" t="n"/>
      <c r="E44" s="221" t="n"/>
    </row>
    <row r="45">
      <c r="B45" s="214" t="inlineStr">
        <is>
          <t>Проверил ____________________________ А.В. Костянецкая</t>
        </is>
      </c>
      <c r="C45" s="221" t="n"/>
      <c r="D45" s="221" t="n"/>
      <c r="E45" s="221" t="n"/>
    </row>
    <row r="46">
      <c r="B46" s="281" t="inlineStr">
        <is>
          <t>(должность, подпись, инициалы, фамилия)</t>
        </is>
      </c>
      <c r="D46" s="221" t="n"/>
      <c r="E46" s="221" t="n"/>
    </row>
    <row r="48">
      <c r="B48" s="221" t="n"/>
      <c r="C48" s="221" t="n"/>
      <c r="D48" s="221" t="n"/>
      <c r="E48" s="221" t="n"/>
    </row>
    <row r="49">
      <c r="B49" s="221" t="n"/>
      <c r="C49" s="221" t="n"/>
      <c r="D49" s="221" t="n"/>
      <c r="E49" s="221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2"/>
  <sheetViews>
    <sheetView view="pageBreakPreview" topLeftCell="A62" zoomScale="90" workbookViewId="0">
      <selection activeCell="B78" sqref="B78"/>
    </sheetView>
  </sheetViews>
  <sheetFormatPr baseColWidth="8" defaultColWidth="9.140625" defaultRowHeight="15" outlineLevelRow="1"/>
  <cols>
    <col width="9.140625" customWidth="1" style="219" min="1" max="1"/>
    <col width="22.5703125" customWidth="1" style="219" min="2" max="2"/>
    <col width="39.140625" customWidth="1" style="219" min="3" max="3"/>
    <col width="10.7109375" customWidth="1" style="219" min="4" max="4"/>
    <col width="12.7109375" customWidth="1" style="219" min="5" max="5"/>
    <col width="14.5703125" customWidth="1" style="219" min="6" max="6"/>
    <col width="13.42578125" customWidth="1" style="219" min="7" max="7"/>
    <col width="12.7109375" customWidth="1" style="219" min="8" max="8"/>
    <col width="13.85546875" customWidth="1" style="219" min="9" max="9"/>
    <col width="17.5703125" customWidth="1" style="219" min="10" max="10"/>
    <col width="10.85546875" customWidth="1" style="219" min="11" max="11"/>
    <col width="12.42578125" customWidth="1" style="219" min="12" max="12"/>
  </cols>
  <sheetData>
    <row r="1">
      <c r="M1" s="219" t="n"/>
      <c r="N1" s="219" t="n"/>
    </row>
    <row r="2" ht="15.75" customHeight="1" s="222">
      <c r="H2" s="288" t="inlineStr">
        <is>
          <t>Приложение №5</t>
        </is>
      </c>
      <c r="M2" s="219" t="n"/>
      <c r="N2" s="219" t="n"/>
    </row>
    <row r="3">
      <c r="M3" s="219" t="n"/>
      <c r="N3" s="219" t="n"/>
    </row>
    <row r="4" ht="21" customFormat="1" customHeight="1" s="221">
      <c r="A4" s="254" t="inlineStr">
        <is>
          <t>Расчет стоимости СМР и оборудования</t>
        </is>
      </c>
    </row>
    <row r="5" ht="12.75" customFormat="1" customHeight="1" s="221">
      <c r="A5" s="254" t="n"/>
      <c r="B5" s="254" t="n"/>
      <c r="C5" s="300" t="n"/>
      <c r="D5" s="254" t="n"/>
      <c r="E5" s="254" t="n"/>
      <c r="F5" s="254" t="n"/>
      <c r="G5" s="254" t="n"/>
      <c r="H5" s="254" t="n"/>
      <c r="I5" s="254" t="n"/>
      <c r="J5" s="254" t="n"/>
    </row>
    <row r="6" ht="21" customFormat="1" customHeight="1" s="221">
      <c r="A6" s="257" t="inlineStr">
        <is>
          <t>Наименование разрабатываемого показателя УНЦ</t>
        </is>
      </c>
      <c r="D6" s="257" t="inlineStr">
        <is>
          <t>Демонтаж трансформаторов тока 110 кВ</t>
        </is>
      </c>
    </row>
    <row r="7" ht="25.5" customFormat="1" customHeight="1" s="221">
      <c r="A7" s="257" t="inlineStr">
        <is>
          <t>Единица измерения  — 1 ед.</t>
        </is>
      </c>
      <c r="I7" s="280" t="n"/>
      <c r="J7" s="280" t="n"/>
    </row>
    <row r="8" ht="12.75" customFormat="1" customHeight="1" s="221">
      <c r="A8" s="257" t="n"/>
    </row>
    <row r="9" ht="12.75" customFormat="1" customHeight="1" s="221"/>
    <row r="10" ht="30.75" customHeight="1" s="222">
      <c r="A10" s="283" t="inlineStr">
        <is>
          <t>№ пп.</t>
        </is>
      </c>
      <c r="B10" s="283" t="inlineStr">
        <is>
          <t>Код ресурса</t>
        </is>
      </c>
      <c r="C10" s="283" t="inlineStr">
        <is>
          <t>Наименование</t>
        </is>
      </c>
      <c r="D10" s="283" t="inlineStr">
        <is>
          <t>Ед. изм.</t>
        </is>
      </c>
      <c r="E10" s="283" t="inlineStr">
        <is>
          <t>Кол-во единиц по проектным данным</t>
        </is>
      </c>
      <c r="F10" s="283" t="inlineStr">
        <is>
          <t>Сметная стоимость в ценах на 01.01.2000 (руб.)</t>
        </is>
      </c>
      <c r="G10" s="346" t="n"/>
      <c r="H10" s="283" t="inlineStr">
        <is>
          <t>Удельный вес, %</t>
        </is>
      </c>
      <c r="I10" s="283" t="inlineStr">
        <is>
          <t>Сметная стоимость в ценах на 01.01.2023 (руб.)</t>
        </is>
      </c>
      <c r="J10" s="346" t="n"/>
      <c r="M10" s="219" t="n"/>
      <c r="N10" s="219" t="n"/>
    </row>
    <row r="11" ht="29.25" customHeight="1" s="222">
      <c r="A11" s="348" t="n"/>
      <c r="B11" s="348" t="n"/>
      <c r="C11" s="348" t="n"/>
      <c r="D11" s="348" t="n"/>
      <c r="E11" s="348" t="n"/>
      <c r="F11" s="283" t="inlineStr">
        <is>
          <t>на ед. изм.</t>
        </is>
      </c>
      <c r="G11" s="283" t="inlineStr">
        <is>
          <t>общая</t>
        </is>
      </c>
      <c r="H11" s="348" t="n"/>
      <c r="I11" s="283" t="inlineStr">
        <is>
          <t>на ед. изм.</t>
        </is>
      </c>
      <c r="J11" s="283" t="inlineStr">
        <is>
          <t>общая</t>
        </is>
      </c>
      <c r="M11" s="219" t="n"/>
      <c r="N11" s="219" t="n"/>
    </row>
    <row r="12">
      <c r="A12" s="283" t="n">
        <v>1</v>
      </c>
      <c r="B12" s="283" t="n">
        <v>2</v>
      </c>
      <c r="C12" s="283" t="n">
        <v>3</v>
      </c>
      <c r="D12" s="283" t="n">
        <v>4</v>
      </c>
      <c r="E12" s="283" t="n">
        <v>5</v>
      </c>
      <c r="F12" s="283" t="n">
        <v>6</v>
      </c>
      <c r="G12" s="283" t="n">
        <v>7</v>
      </c>
      <c r="H12" s="283" t="n">
        <v>8</v>
      </c>
      <c r="I12" s="291" t="n">
        <v>9</v>
      </c>
      <c r="J12" s="291" t="n">
        <v>10</v>
      </c>
      <c r="M12" s="219" t="n"/>
      <c r="N12" s="219" t="n"/>
    </row>
    <row r="13">
      <c r="A13" s="283" t="n"/>
      <c r="B13" s="287" t="inlineStr">
        <is>
          <t>Затраты труда рабочих-строителей</t>
        </is>
      </c>
      <c r="C13" s="345" t="n"/>
      <c r="D13" s="345" t="n"/>
      <c r="E13" s="345" t="n"/>
      <c r="F13" s="345" t="n"/>
      <c r="G13" s="345" t="n"/>
      <c r="H13" s="346" t="n"/>
      <c r="I13" s="149" t="n"/>
      <c r="J13" s="149" t="n"/>
    </row>
    <row r="14" ht="25.5" customHeight="1" s="222">
      <c r="A14" s="283" t="n">
        <v>1</v>
      </c>
      <c r="B14" s="165" t="inlineStr">
        <is>
          <t>1-3-6</t>
        </is>
      </c>
      <c r="C14" s="282" t="inlineStr">
        <is>
          <t>Затраты труда рабочих-строителей среднего разряда (3,6)</t>
        </is>
      </c>
      <c r="D14" s="283" t="inlineStr">
        <is>
          <t>чел.-ч.</t>
        </is>
      </c>
      <c r="E14" s="357" t="n">
        <v>2988.805</v>
      </c>
      <c r="F14" s="199" t="n">
        <v>9.18</v>
      </c>
      <c r="G14" s="199">
        <f>ROUND(E14*F14,2)</f>
        <v/>
      </c>
      <c r="H14" s="150">
        <f>G14/G17</f>
        <v/>
      </c>
      <c r="I14" s="199">
        <f>ФОТр.тек.!E13</f>
        <v/>
      </c>
      <c r="J14" s="199">
        <f>ROUND(I14*E14,2)</f>
        <v/>
      </c>
    </row>
    <row r="15">
      <c r="A15" s="283" t="n">
        <v>2</v>
      </c>
      <c r="B15" s="165" t="inlineStr">
        <is>
          <t>10-30-1</t>
        </is>
      </c>
      <c r="C15" s="282" t="inlineStr">
        <is>
          <t>Инженер I категории</t>
        </is>
      </c>
      <c r="D15" s="283" t="inlineStr">
        <is>
          <t>чел.-ч.</t>
        </is>
      </c>
      <c r="E15" s="357" t="n">
        <v>1205.5</v>
      </c>
      <c r="F15" s="199" t="n">
        <v>15.49</v>
      </c>
      <c r="G15" s="199">
        <f>ROUND(E15*F15,2)</f>
        <v/>
      </c>
      <c r="H15" s="150">
        <f>G15/G17</f>
        <v/>
      </c>
      <c r="I15" s="199">
        <f>ФОТр.тек.!E21</f>
        <v/>
      </c>
      <c r="J15" s="199">
        <f>ROUND(I15*E15,2)</f>
        <v/>
      </c>
    </row>
    <row r="16">
      <c r="A16" s="283" t="n">
        <v>3</v>
      </c>
      <c r="B16" s="165" t="inlineStr">
        <is>
          <t>10-30-2</t>
        </is>
      </c>
      <c r="C16" s="282" t="inlineStr">
        <is>
          <t>Инженер II категории</t>
        </is>
      </c>
      <c r="D16" s="283" t="inlineStr">
        <is>
          <t>чел.-ч.</t>
        </is>
      </c>
      <c r="E16" s="359" t="n">
        <v>1205.5</v>
      </c>
      <c r="F16" s="199" t="n">
        <v>14.09</v>
      </c>
      <c r="G16" s="199">
        <f>ROUND(E16*F16,2)</f>
        <v/>
      </c>
      <c r="H16" s="150">
        <f>G16/G17</f>
        <v/>
      </c>
      <c r="I16" s="199">
        <f>ФОТр.тек.!E29</f>
        <v/>
      </c>
      <c r="J16" s="199">
        <f>ROUND(I16*E16,2)</f>
        <v/>
      </c>
    </row>
    <row r="17" ht="25.5" customFormat="1" customHeight="1" s="219">
      <c r="A17" s="283" t="n"/>
      <c r="B17" s="283" t="n"/>
      <c r="C17" s="287" t="inlineStr">
        <is>
          <t>Итого по разделу "Затраты труда рабочих-строителей"</t>
        </is>
      </c>
      <c r="D17" s="283" t="inlineStr">
        <is>
          <t>чел.-ч.</t>
        </is>
      </c>
      <c r="E17" s="357">
        <f>SUM(E14:E16)</f>
        <v/>
      </c>
      <c r="F17" s="199" t="n"/>
      <c r="G17" s="199">
        <f>SUM(G14:G16)</f>
        <v/>
      </c>
      <c r="H17" s="286" t="n">
        <v>1</v>
      </c>
      <c r="I17" s="149" t="n"/>
      <c r="J17" s="199">
        <f>SUM(J14:J16)</f>
        <v/>
      </c>
    </row>
    <row r="18" ht="45.6" customFormat="1" customHeight="1" s="219">
      <c r="A18" s="283" t="n"/>
      <c r="B18" s="283" t="n"/>
      <c r="C18" s="287" t="inlineStr">
        <is>
          <t>Итого по разделу "Затраты труда рабочих-строителей" 
(с коэффициентом на демонтаж 0,7)</t>
        </is>
      </c>
      <c r="D18" s="283" t="n"/>
      <c r="E18" s="357" t="n"/>
      <c r="F18" s="199" t="n"/>
      <c r="G18" s="199">
        <f>G17*0.7</f>
        <v/>
      </c>
      <c r="H18" s="286" t="n">
        <v>1</v>
      </c>
      <c r="I18" s="149" t="n"/>
      <c r="J18" s="199">
        <f>J17*0.7</f>
        <v/>
      </c>
    </row>
    <row r="19" ht="14.25" customFormat="1" customHeight="1" s="219">
      <c r="A19" s="283" t="n"/>
      <c r="B19" s="282" t="inlineStr">
        <is>
          <t>Затраты труда машинистов</t>
        </is>
      </c>
      <c r="C19" s="345" t="n"/>
      <c r="D19" s="345" t="n"/>
      <c r="E19" s="345" t="n"/>
      <c r="F19" s="345" t="n"/>
      <c r="G19" s="345" t="n"/>
      <c r="H19" s="346" t="n"/>
      <c r="I19" s="149" t="n"/>
      <c r="J19" s="149" t="n"/>
    </row>
    <row r="20" ht="14.25" customFormat="1" customHeight="1" s="219">
      <c r="A20" s="283" t="n">
        <v>4</v>
      </c>
      <c r="B20" s="283" t="n">
        <v>2</v>
      </c>
      <c r="C20" s="282" t="inlineStr">
        <is>
          <t>Затраты труда машинистов</t>
        </is>
      </c>
      <c r="D20" s="283" t="inlineStr">
        <is>
          <t>чел.-ч.</t>
        </is>
      </c>
      <c r="E20" s="357">
        <f>Прил.3!F28</f>
        <v/>
      </c>
      <c r="F20" s="199">
        <f>G20/E20</f>
        <v/>
      </c>
      <c r="G20" s="199">
        <f>Прил.3!H28</f>
        <v/>
      </c>
      <c r="H20" s="286" t="n">
        <v>1</v>
      </c>
      <c r="I20" s="199">
        <f>ROUND(F20*Прил.10!D11,2)</f>
        <v/>
      </c>
      <c r="J20" s="199">
        <f>ROUND(I20*E20,2)</f>
        <v/>
      </c>
    </row>
    <row r="21" ht="33.6" customFormat="1" customHeight="1" s="219">
      <c r="A21" s="283" t="n"/>
      <c r="B21" s="283" t="n"/>
      <c r="C21" s="282" t="inlineStr">
        <is>
          <t>Затраты труда машинистов 
(с коэффициентом на демонтаж 0,7)</t>
        </is>
      </c>
      <c r="D21" s="283" t="n"/>
      <c r="E21" s="357" t="n"/>
      <c r="F21" s="199" t="n"/>
      <c r="G21" s="199">
        <f>G20*0.7</f>
        <v/>
      </c>
      <c r="H21" s="286" t="n">
        <v>1</v>
      </c>
      <c r="I21" s="199" t="n"/>
      <c r="J21" s="199">
        <f>J20*0.7</f>
        <v/>
      </c>
    </row>
    <row r="22" ht="14.25" customFormat="1" customHeight="1" s="219">
      <c r="A22" s="283" t="n"/>
      <c r="B22" s="287" t="inlineStr">
        <is>
          <t>Машины и механизмы</t>
        </is>
      </c>
      <c r="C22" s="345" t="n"/>
      <c r="D22" s="345" t="n"/>
      <c r="E22" s="345" t="n"/>
      <c r="F22" s="345" t="n"/>
      <c r="G22" s="345" t="n"/>
      <c r="H22" s="346" t="n"/>
      <c r="I22" s="149" t="n"/>
      <c r="J22" s="149" t="n"/>
    </row>
    <row r="23" ht="14.25" customFormat="1" customHeight="1" s="219">
      <c r="A23" s="283" t="n"/>
      <c r="B23" s="282" t="inlineStr">
        <is>
          <t>Основные машины и механизмы</t>
        </is>
      </c>
      <c r="C23" s="345" t="n"/>
      <c r="D23" s="345" t="n"/>
      <c r="E23" s="345" t="n"/>
      <c r="F23" s="345" t="n"/>
      <c r="G23" s="345" t="n"/>
      <c r="H23" s="346" t="n"/>
      <c r="I23" s="149" t="n"/>
      <c r="J23" s="149" t="n"/>
    </row>
    <row r="24" ht="38.25" customFormat="1" customHeight="1" s="219">
      <c r="A24" s="283" t="n">
        <v>5</v>
      </c>
      <c r="B24" s="165" t="inlineStr">
        <is>
          <t>91.11.01-012</t>
        </is>
      </c>
      <c r="C24" s="282" t="inlineStr">
        <is>
          <t>Машины монтажные для выполнения работ при прокладке и монтаже кабеля на базе автомобиля</t>
        </is>
      </c>
      <c r="D24" s="283" t="inlineStr">
        <is>
          <t>маш.час</t>
        </is>
      </c>
      <c r="E24" s="359" t="n">
        <v>336</v>
      </c>
      <c r="F24" s="285" t="n">
        <v>110.86</v>
      </c>
      <c r="G24" s="199">
        <f>ROUND(E24*F24,2)</f>
        <v/>
      </c>
      <c r="H24" s="150">
        <f>G24/$G$55</f>
        <v/>
      </c>
      <c r="I24" s="199">
        <f>ROUND(F24*Прил.10!D12,2)</f>
        <v/>
      </c>
      <c r="J24" s="199">
        <f>ROUND(I24*E24,2)</f>
        <v/>
      </c>
    </row>
    <row r="25" ht="25.5" customFormat="1" customHeight="1" s="219">
      <c r="A25" s="283" t="n">
        <v>6</v>
      </c>
      <c r="B25" s="165" t="inlineStr">
        <is>
          <t>91.10.01-002</t>
        </is>
      </c>
      <c r="C25" s="282" t="inlineStr">
        <is>
          <t>Агрегаты наполнительно-опрессовочные: до 300 м3/ч</t>
        </is>
      </c>
      <c r="D25" s="283" t="inlineStr">
        <is>
          <t>маш.час</t>
        </is>
      </c>
      <c r="E25" s="359" t="n">
        <v>80.43000000000001</v>
      </c>
      <c r="F25" s="285" t="n">
        <v>287.99</v>
      </c>
      <c r="G25" s="199">
        <f>ROUND(E25*F25,2)</f>
        <v/>
      </c>
      <c r="H25" s="150">
        <f>G25/$G$55</f>
        <v/>
      </c>
      <c r="I25" s="199">
        <f>ROUND(F25*Прил.10!$D$12,2)</f>
        <v/>
      </c>
      <c r="J25" s="199">
        <f>ROUND(I25*E25,2)</f>
        <v/>
      </c>
    </row>
    <row r="26" ht="25.5" customFormat="1" customHeight="1" s="219">
      <c r="A26" s="283" t="n">
        <v>7</v>
      </c>
      <c r="B26" s="165" t="inlineStr">
        <is>
          <t>91.06.03-058</t>
        </is>
      </c>
      <c r="C26" s="282" t="inlineStr">
        <is>
          <t>Лебедки электрические тяговым усилием: 156,96 кН (16 т)</t>
        </is>
      </c>
      <c r="D26" s="283" t="inlineStr">
        <is>
          <t>маш.час</t>
        </is>
      </c>
      <c r="E26" s="359" t="n">
        <v>80.43000000000001</v>
      </c>
      <c r="F26" s="285" t="n">
        <v>131.44</v>
      </c>
      <c r="G26" s="199">
        <f>ROUND(E26*F26,2)</f>
        <v/>
      </c>
      <c r="H26" s="150">
        <f>G26/$G$55</f>
        <v/>
      </c>
      <c r="I26" s="199">
        <f>ROUND(F26*Прил.10!$D$12,2)</f>
        <v/>
      </c>
      <c r="J26" s="199">
        <f>ROUND(I26*E26,2)</f>
        <v/>
      </c>
    </row>
    <row r="27" ht="25.5" customFormat="1" customHeight="1" s="219">
      <c r="A27" s="283" t="n">
        <v>8</v>
      </c>
      <c r="B27" s="165" t="inlineStr">
        <is>
          <t>91.05.05-014</t>
        </is>
      </c>
      <c r="C27" s="282" t="inlineStr">
        <is>
          <t>Краны на автомобильном ходу, грузоподъемность 10 т</t>
        </is>
      </c>
      <c r="D27" s="283" t="inlineStr">
        <is>
          <t>маш.час</t>
        </is>
      </c>
      <c r="E27" s="359" t="n">
        <v>70.91</v>
      </c>
      <c r="F27" s="285" t="n">
        <v>111.99</v>
      </c>
      <c r="G27" s="199">
        <f>ROUND(E27*F27,2)</f>
        <v/>
      </c>
      <c r="H27" s="150">
        <f>G27/$G$55</f>
        <v/>
      </c>
      <c r="I27" s="199">
        <f>ROUND(F27*Прил.10!$D$12,2)</f>
        <v/>
      </c>
      <c r="J27" s="199">
        <f>ROUND(I27*E27,2)</f>
        <v/>
      </c>
    </row>
    <row r="28" ht="19.5" customFormat="1" customHeight="1" s="219">
      <c r="A28" s="283" t="n"/>
      <c r="B28" s="283" t="n"/>
      <c r="C28" s="282" t="inlineStr">
        <is>
          <t>Итого основные машины и механизмы</t>
        </is>
      </c>
      <c r="D28" s="283" t="n"/>
      <c r="E28" s="359" t="n"/>
      <c r="F28" s="199" t="n"/>
      <c r="G28" s="199">
        <f>SUM(G24:G27)</f>
        <v/>
      </c>
      <c r="H28" s="286">
        <f>G28/G55</f>
        <v/>
      </c>
      <c r="I28" s="151" t="n"/>
      <c r="J28" s="199">
        <f>SUM(J24:J27)</f>
        <v/>
      </c>
    </row>
    <row r="29" ht="33" customFormat="1" customHeight="1" s="219">
      <c r="A29" s="283" t="n"/>
      <c r="B29" s="283" t="n"/>
      <c r="C29" s="282" t="inlineStr">
        <is>
          <t>Итого основные машины и механизмы 
(с коэффициентом на демонтаж 0,7)</t>
        </is>
      </c>
      <c r="D29" s="283" t="n"/>
      <c r="E29" s="359" t="n"/>
      <c r="F29" s="199" t="n"/>
      <c r="G29" s="199">
        <f>G28*0.7</f>
        <v/>
      </c>
      <c r="H29" s="286">
        <f>G29/G56</f>
        <v/>
      </c>
      <c r="I29" s="151" t="n"/>
      <c r="J29" s="199">
        <f>J28*0.7</f>
        <v/>
      </c>
    </row>
    <row r="30" hidden="1" outlineLevel="1" ht="38.25" customFormat="1" customHeight="1" s="219">
      <c r="A30" s="283" t="n">
        <v>9</v>
      </c>
      <c r="B30" s="165" t="inlineStr">
        <is>
          <t>91.18.01-012</t>
        </is>
      </c>
      <c r="C30" s="282" t="inlineStr">
        <is>
          <t>Компрессоры передвижные с электродвигателем давлением 600 кПа (6 ат), производительность: до 3,5 м3/мин</t>
        </is>
      </c>
      <c r="D30" s="283" t="inlineStr">
        <is>
          <t>маш.час</t>
        </is>
      </c>
      <c r="E30" s="359" t="n">
        <v>94.02</v>
      </c>
      <c r="F30" s="285" t="n">
        <v>32.5</v>
      </c>
      <c r="G30" s="199">
        <f>ROUND(E30*F30,2)</f>
        <v/>
      </c>
      <c r="H30" s="150">
        <f>G30/$G$55</f>
        <v/>
      </c>
      <c r="I30" s="199">
        <f>ROUND(F30*Прил.10!$D$12,2)</f>
        <v/>
      </c>
      <c r="J30" s="199">
        <f>ROUND(I30*E30,2)</f>
        <v/>
      </c>
    </row>
    <row r="31" hidden="1" outlineLevel="1" ht="25.5" customFormat="1" customHeight="1" s="219">
      <c r="A31" s="283" t="n">
        <v>10</v>
      </c>
      <c r="B31" s="165" t="inlineStr">
        <is>
          <t>91.14.02-001</t>
        </is>
      </c>
      <c r="C31" s="282" t="inlineStr">
        <is>
          <t>Автомобили бортовые, грузоподъемность: до 5 т</t>
        </is>
      </c>
      <c r="D31" s="283" t="inlineStr">
        <is>
          <t>маш.час</t>
        </is>
      </c>
      <c r="E31" s="359" t="n">
        <v>37.42</v>
      </c>
      <c r="F31" s="285" t="n">
        <v>65.70999999999999</v>
      </c>
      <c r="G31" s="199">
        <f>ROUND(E31*F31,2)</f>
        <v/>
      </c>
      <c r="H31" s="150">
        <f>G31/$G$55</f>
        <v/>
      </c>
      <c r="I31" s="199">
        <f>ROUND(F31*Прил.10!$D$12,2)</f>
        <v/>
      </c>
      <c r="J31" s="199">
        <f>ROUND(I31*E31,2)</f>
        <v/>
      </c>
    </row>
    <row r="32" hidden="1" outlineLevel="1" ht="28.5" customFormat="1" customHeight="1" s="219">
      <c r="A32" s="283" t="n">
        <v>11</v>
      </c>
      <c r="B32" s="165" t="inlineStr">
        <is>
          <t>91.05.08-007</t>
        </is>
      </c>
      <c r="C32" s="282" t="inlineStr">
        <is>
          <t>Краны на пневмоколесном ходу, грузоподъемность 25 т</t>
        </is>
      </c>
      <c r="D32" s="283" t="inlineStr">
        <is>
          <t>маш.час</t>
        </is>
      </c>
      <c r="E32" s="359" t="n">
        <v>16.98</v>
      </c>
      <c r="F32" s="285" t="n">
        <v>102.51</v>
      </c>
      <c r="G32" s="199">
        <f>ROUND(E32*F32,2)</f>
        <v/>
      </c>
      <c r="H32" s="150">
        <f>G32/$G$55</f>
        <v/>
      </c>
      <c r="I32" s="199">
        <f>ROUND(F32*Прил.10!$D$12,2)</f>
        <v/>
      </c>
      <c r="J32" s="199">
        <f>ROUND(I32*E32,2)</f>
        <v/>
      </c>
    </row>
    <row r="33" hidden="1" outlineLevel="1" ht="25.5" customFormat="1" customHeight="1" s="219">
      <c r="A33" s="283" t="n">
        <v>12</v>
      </c>
      <c r="B33" s="165" t="inlineStr">
        <is>
          <t>91.17.04-233</t>
        </is>
      </c>
      <c r="C33" s="282" t="inlineStr">
        <is>
          <t>Установки для сварки: ручной дуговой (постоянного тока)</t>
        </is>
      </c>
      <c r="D33" s="283" t="inlineStr">
        <is>
          <t>маш.час</t>
        </is>
      </c>
      <c r="E33" s="359" t="n">
        <v>157.38</v>
      </c>
      <c r="F33" s="285" t="n">
        <v>8.1</v>
      </c>
      <c r="G33" s="199">
        <f>ROUND(E33*F33,2)</f>
        <v/>
      </c>
      <c r="H33" s="150">
        <f>G33/$G$55</f>
        <v/>
      </c>
      <c r="I33" s="199">
        <f>ROUND(F33*Прил.10!$D$12,2)</f>
        <v/>
      </c>
      <c r="J33" s="199">
        <f>ROUND(I33*E33,2)</f>
        <v/>
      </c>
    </row>
    <row r="34" hidden="1" outlineLevel="1" ht="51" customFormat="1" customHeight="1" s="219">
      <c r="A34" s="283" t="n">
        <v>13</v>
      </c>
      <c r="B34" s="165" t="inlineStr">
        <is>
          <t>ФССЦпг-03-21-01-020</t>
        </is>
      </c>
      <c r="C34" s="282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D34" s="283" t="inlineStr">
        <is>
          <t>1 т груза</t>
        </is>
      </c>
      <c r="E34" s="359" t="n">
        <v>64.764</v>
      </c>
      <c r="F34" s="285" t="n">
        <v>15.35</v>
      </c>
      <c r="G34" s="199">
        <f>ROUND(E34*F34,2)</f>
        <v/>
      </c>
      <c r="H34" s="150">
        <f>G34/$G$55</f>
        <v/>
      </c>
      <c r="I34" s="199">
        <f>ROUND(F34*Прил.10!$D$12,2)</f>
        <v/>
      </c>
      <c r="J34" s="199">
        <f>ROUND(I34*E34,2)</f>
        <v/>
      </c>
    </row>
    <row r="35" hidden="1" outlineLevel="1" ht="25.5" customFormat="1" customHeight="1" s="219">
      <c r="A35" s="283" t="n">
        <v>14</v>
      </c>
      <c r="B35" s="165" t="inlineStr">
        <is>
          <t>91.06.06-042</t>
        </is>
      </c>
      <c r="C35" s="282" t="inlineStr">
        <is>
          <t>Подъемники гидравлические высотой подъема: 10 м</t>
        </is>
      </c>
      <c r="D35" s="283" t="inlineStr">
        <is>
          <t>маш.час</t>
        </is>
      </c>
      <c r="E35" s="359" t="n">
        <v>27.21</v>
      </c>
      <c r="F35" s="285" t="n">
        <v>29.6</v>
      </c>
      <c r="G35" s="199">
        <f>ROUND(E35*F35,2)</f>
        <v/>
      </c>
      <c r="H35" s="150">
        <f>G35/$G$55</f>
        <v/>
      </c>
      <c r="I35" s="199">
        <f>ROUND(F35*Прил.10!$D$12,2)</f>
        <v/>
      </c>
      <c r="J35" s="199">
        <f>ROUND(I35*E35,2)</f>
        <v/>
      </c>
    </row>
    <row r="36" hidden="1" outlineLevel="1" ht="28.5" customFormat="1" customHeight="1" s="219">
      <c r="A36" s="283" t="n">
        <v>15</v>
      </c>
      <c r="B36" s="165" t="inlineStr">
        <is>
          <t>91.08.04-021</t>
        </is>
      </c>
      <c r="C36" s="282" t="inlineStr">
        <is>
          <t>Котлы битумные: передвижные 400 л</t>
        </is>
      </c>
      <c r="D36" s="283" t="inlineStr">
        <is>
          <t>маш.час</t>
        </is>
      </c>
      <c r="E36" s="359" t="n">
        <v>18.47</v>
      </c>
      <c r="F36" s="285" t="n">
        <v>30</v>
      </c>
      <c r="G36" s="199">
        <f>ROUND(E36*F36,2)</f>
        <v/>
      </c>
      <c r="H36" s="150">
        <f>G36/$G$55</f>
        <v/>
      </c>
      <c r="I36" s="199">
        <f>ROUND(F36*Прил.10!$D$12,2)</f>
        <v/>
      </c>
      <c r="J36" s="199">
        <f>ROUND(I36*E36,2)</f>
        <v/>
      </c>
    </row>
    <row r="37" hidden="1" outlineLevel="1" ht="51" customFormat="1" customHeight="1" s="219">
      <c r="A37" s="283" t="n">
        <v>16</v>
      </c>
      <c r="B37" s="165" t="inlineStr">
        <is>
          <t>91.18.01-007</t>
        </is>
      </c>
      <c r="C37" s="28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7" s="283" t="inlineStr">
        <is>
          <t>маш.час</t>
        </is>
      </c>
      <c r="E37" s="359" t="n">
        <v>5.6</v>
      </c>
      <c r="F37" s="285" t="n">
        <v>90</v>
      </c>
      <c r="G37" s="199">
        <f>ROUND(E37*F37,2)</f>
        <v/>
      </c>
      <c r="H37" s="150">
        <f>G37/$G$55</f>
        <v/>
      </c>
      <c r="I37" s="199">
        <f>ROUND(F37*Прил.10!$D$12,2)</f>
        <v/>
      </c>
      <c r="J37" s="199">
        <f>ROUND(I37*E37,2)</f>
        <v/>
      </c>
    </row>
    <row r="38" hidden="1" outlineLevel="1" ht="25.5" customFormat="1" customHeight="1" s="219">
      <c r="A38" s="283" t="n">
        <v>17</v>
      </c>
      <c r="B38" s="165" t="inlineStr">
        <is>
          <t>91.14.02-002</t>
        </is>
      </c>
      <c r="C38" s="282" t="inlineStr">
        <is>
          <t>Автомобили бортовые, грузоподъемность: до 8 т</t>
        </is>
      </c>
      <c r="D38" s="283" t="inlineStr">
        <is>
          <t>маш.час</t>
        </is>
      </c>
      <c r="E38" s="359" t="n">
        <v>4.24</v>
      </c>
      <c r="F38" s="285" t="n">
        <v>85.84</v>
      </c>
      <c r="G38" s="199">
        <f>ROUND(E38*F38,2)</f>
        <v/>
      </c>
      <c r="H38" s="150">
        <f>G38/$G$55</f>
        <v/>
      </c>
      <c r="I38" s="199">
        <f>ROUND(F38*Прил.10!$D$12,2)</f>
        <v/>
      </c>
      <c r="J38" s="199">
        <f>ROUND(I38*E38,2)</f>
        <v/>
      </c>
    </row>
    <row r="39" hidden="1" outlineLevel="1" ht="38.25" customFormat="1" customHeight="1" s="219">
      <c r="A39" s="283" t="n">
        <v>18</v>
      </c>
      <c r="B39" s="165" t="inlineStr">
        <is>
          <t>91.21.10-003</t>
        </is>
      </c>
      <c r="C39" s="282" t="inlineStr">
        <is>
          <t>Молотки при работе от передвижных компрессорных станций: отбойные пневматические</t>
        </is>
      </c>
      <c r="D39" s="283" t="inlineStr">
        <is>
          <t>маш.час</t>
        </is>
      </c>
      <c r="E39" s="359" t="n">
        <v>188.02</v>
      </c>
      <c r="F39" s="285" t="n">
        <v>1.53</v>
      </c>
      <c r="G39" s="199">
        <f>ROUND(E39*F39,2)</f>
        <v/>
      </c>
      <c r="H39" s="150">
        <f>G39/$G$55</f>
        <v/>
      </c>
      <c r="I39" s="199">
        <f>ROUND(F39*Прил.10!$D$12,2)</f>
        <v/>
      </c>
      <c r="J39" s="199">
        <f>ROUND(I39*E39,2)</f>
        <v/>
      </c>
    </row>
    <row r="40" hidden="1" outlineLevel="1" ht="25.5" customFormat="1" customHeight="1" s="219">
      <c r="A40" s="283" t="n">
        <v>19</v>
      </c>
      <c r="B40" s="165" t="inlineStr">
        <is>
          <t>91.06.01-003</t>
        </is>
      </c>
      <c r="C40" s="282" t="inlineStr">
        <is>
          <t>Домкраты гидравлические, грузоподъемность 63-100 т</t>
        </is>
      </c>
      <c r="D40" s="283" t="inlineStr">
        <is>
          <t>маш.час</t>
        </is>
      </c>
      <c r="E40" s="359" t="n">
        <v>160.86</v>
      </c>
      <c r="F40" s="285" t="n">
        <v>0.9</v>
      </c>
      <c r="G40" s="199">
        <f>ROUND(E40*F40,2)</f>
        <v/>
      </c>
      <c r="H40" s="150">
        <f>G40/$G$55</f>
        <v/>
      </c>
      <c r="I40" s="199">
        <f>ROUND(F40*Прил.10!$D$12,2)</f>
        <v/>
      </c>
      <c r="J40" s="199">
        <f>ROUND(I40*E40,2)</f>
        <v/>
      </c>
    </row>
    <row r="41" hidden="1" outlineLevel="1" ht="25.5" customFormat="1" customHeight="1" s="219">
      <c r="A41" s="283" t="n">
        <v>20</v>
      </c>
      <c r="B41" s="165" t="inlineStr">
        <is>
          <t>91.21.12-002</t>
        </is>
      </c>
      <c r="C41" s="282" t="inlineStr">
        <is>
          <t>Ножницы листовые кривошипные гильотинные</t>
        </is>
      </c>
      <c r="D41" s="283" t="inlineStr">
        <is>
          <t>маш.час</t>
        </is>
      </c>
      <c r="E41" s="359" t="n">
        <v>0.8100000000000001</v>
      </c>
      <c r="F41" s="285" t="n">
        <v>70</v>
      </c>
      <c r="G41" s="199">
        <f>ROUND(E41*F41,2)</f>
        <v/>
      </c>
      <c r="H41" s="150">
        <f>G41/$G$55</f>
        <v/>
      </c>
      <c r="I41" s="199">
        <f>ROUND(F41*Прил.10!$D$12,2)</f>
        <v/>
      </c>
      <c r="J41" s="199">
        <f>ROUND(I41*E41,2)</f>
        <v/>
      </c>
    </row>
    <row r="42" hidden="1" outlineLevel="1" ht="14.25" customFormat="1" customHeight="1" s="219">
      <c r="A42" s="283" t="n">
        <v>21</v>
      </c>
      <c r="B42" s="165" t="inlineStr">
        <is>
          <t>91.01.01-035</t>
        </is>
      </c>
      <c r="C42" s="282" t="inlineStr">
        <is>
          <t>Бульдозеры, мощность 79 кВт (108 л.с.)</t>
        </is>
      </c>
      <c r="D42" s="283" t="inlineStr">
        <is>
          <t>маш.час</t>
        </is>
      </c>
      <c r="E42" s="359" t="n">
        <v>0.66</v>
      </c>
      <c r="F42" s="285" t="n">
        <v>79.06999999999999</v>
      </c>
      <c r="G42" s="199">
        <f>ROUND(E42*F42,2)</f>
        <v/>
      </c>
      <c r="H42" s="150">
        <f>G42/$G$55</f>
        <v/>
      </c>
      <c r="I42" s="199">
        <f>ROUND(F42*Прил.10!$D$12,2)</f>
        <v/>
      </c>
      <c r="J42" s="199">
        <f>ROUND(I42*E42,2)</f>
        <v/>
      </c>
    </row>
    <row r="43" hidden="1" outlineLevel="1" ht="14.25" customFormat="1" customHeight="1" s="219">
      <c r="A43" s="283" t="n">
        <v>22</v>
      </c>
      <c r="B43" s="165" t="inlineStr">
        <is>
          <t>91.17.04-042</t>
        </is>
      </c>
      <c r="C43" s="282" t="inlineStr">
        <is>
          <t>Аппарат для газовой сварки и резки</t>
        </is>
      </c>
      <c r="D43" s="283" t="inlineStr">
        <is>
          <t>маш.час</t>
        </is>
      </c>
      <c r="E43" s="359" t="n">
        <v>40.74</v>
      </c>
      <c r="F43" s="285" t="n">
        <v>1.2</v>
      </c>
      <c r="G43" s="199">
        <f>ROUND(E43*F43,2)</f>
        <v/>
      </c>
      <c r="H43" s="150">
        <f>G43/$G$55</f>
        <v/>
      </c>
      <c r="I43" s="199">
        <f>ROUND(F43*Прил.10!$D$12,2)</f>
        <v/>
      </c>
      <c r="J43" s="199">
        <f>ROUND(I43*E43,2)</f>
        <v/>
      </c>
    </row>
    <row r="44" hidden="1" outlineLevel="1" ht="25.5" customFormat="1" customHeight="1" s="219">
      <c r="A44" s="283" t="n">
        <v>23</v>
      </c>
      <c r="B44" s="165" t="inlineStr">
        <is>
          <t>91.21.16-014</t>
        </is>
      </c>
      <c r="C44" s="282" t="inlineStr">
        <is>
          <t>Пресс: листогибочный кривошипный 1000 кН (100 тс)</t>
        </is>
      </c>
      <c r="D44" s="283" t="inlineStr">
        <is>
          <t>маш.час</t>
        </is>
      </c>
      <c r="E44" s="359" t="n">
        <v>0.8100000000000001</v>
      </c>
      <c r="F44" s="285" t="n">
        <v>56.24</v>
      </c>
      <c r="G44" s="199">
        <f>ROUND(E44*F44,2)</f>
        <v/>
      </c>
      <c r="H44" s="150">
        <f>G44/$G$55</f>
        <v/>
      </c>
      <c r="I44" s="199">
        <f>ROUND(F44*Прил.10!$D$12,2)</f>
        <v/>
      </c>
      <c r="J44" s="199">
        <f>ROUND(I44*E44,2)</f>
        <v/>
      </c>
    </row>
    <row r="45" hidden="1" outlineLevel="1" ht="38.25" customFormat="1" customHeight="1" s="219">
      <c r="A45" s="283" t="n">
        <v>24</v>
      </c>
      <c r="B45" s="165" t="inlineStr">
        <is>
          <t>91.17.04-036</t>
        </is>
      </c>
      <c r="C45" s="282" t="inlineStr">
        <is>
          <t>Агрегаты сварочные передвижные номинальным сварочным током 250-400 А: с дизельным двигателем</t>
        </is>
      </c>
      <c r="D45" s="283" t="inlineStr">
        <is>
          <t>маш.час</t>
        </is>
      </c>
      <c r="E45" s="359" t="n">
        <v>2.95</v>
      </c>
      <c r="F45" s="285" t="n">
        <v>14</v>
      </c>
      <c r="G45" s="199">
        <f>ROUND(E45*F45,2)</f>
        <v/>
      </c>
      <c r="H45" s="150">
        <f>G45/$G$55</f>
        <v/>
      </c>
      <c r="I45" s="199">
        <f>ROUND(F45*Прил.10!$D$12,2)</f>
        <v/>
      </c>
      <c r="J45" s="199">
        <f>ROUND(I45*E45,2)</f>
        <v/>
      </c>
    </row>
    <row r="46" hidden="1" outlineLevel="1" ht="14.25" customFormat="1" customHeight="1" s="219">
      <c r="A46" s="283" t="n">
        <v>25</v>
      </c>
      <c r="B46" s="165" t="inlineStr">
        <is>
          <t>91.05.01-017</t>
        </is>
      </c>
      <c r="C46" s="282" t="inlineStr">
        <is>
          <t>Краны башенные, грузоподъемность 8 т</t>
        </is>
      </c>
      <c r="D46" s="283" t="inlineStr">
        <is>
          <t>маш.час</t>
        </is>
      </c>
      <c r="E46" s="359" t="n">
        <v>0.43</v>
      </c>
      <c r="F46" s="285" t="n">
        <v>86.40000000000001</v>
      </c>
      <c r="G46" s="199">
        <f>ROUND(E46*F46,2)</f>
        <v/>
      </c>
      <c r="H46" s="150">
        <f>G46/$G$55</f>
        <v/>
      </c>
      <c r="I46" s="199">
        <f>ROUND(F46*Прил.10!$D$12,2)</f>
        <v/>
      </c>
      <c r="J46" s="199">
        <f>ROUND(I46*E46,2)</f>
        <v/>
      </c>
    </row>
    <row r="47" hidden="1" outlineLevel="1" ht="25.5" customFormat="1" customHeight="1" s="219">
      <c r="A47" s="283" t="n">
        <v>26</v>
      </c>
      <c r="B47" s="165" t="inlineStr">
        <is>
          <t>91.21.16-013</t>
        </is>
      </c>
      <c r="C47" s="282" t="inlineStr">
        <is>
          <t>Пресс: кривошипный простого действия 25 кН (2,5 тс)</t>
        </is>
      </c>
      <c r="D47" s="283" t="inlineStr">
        <is>
          <t>маш.час</t>
        </is>
      </c>
      <c r="E47" s="359" t="n">
        <v>0.8100000000000001</v>
      </c>
      <c r="F47" s="285" t="n">
        <v>16.92</v>
      </c>
      <c r="G47" s="199">
        <f>ROUND(E47*F47,2)</f>
        <v/>
      </c>
      <c r="H47" s="150">
        <f>G47/$G$55</f>
        <v/>
      </c>
      <c r="I47" s="199">
        <f>ROUND(F47*Прил.10!$D$12,2)</f>
        <v/>
      </c>
      <c r="J47" s="199">
        <f>ROUND(I47*E47,2)</f>
        <v/>
      </c>
    </row>
    <row r="48" hidden="1" outlineLevel="1" ht="38.25" customFormat="1" customHeight="1" s="219">
      <c r="A48" s="283" t="n">
        <v>27</v>
      </c>
      <c r="B48" s="165" t="inlineStr">
        <is>
          <t>91.21.01-012</t>
        </is>
      </c>
      <c r="C48" s="282" t="inlineStr">
        <is>
          <t>Агрегаты окрасочные высокого давления для окраски поверхностей конструкций, мощность 1 кВт</t>
        </is>
      </c>
      <c r="D48" s="283" t="inlineStr">
        <is>
          <t>маш.час</t>
        </is>
      </c>
      <c r="E48" s="359" t="n">
        <v>1.6</v>
      </c>
      <c r="F48" s="285" t="n">
        <v>6.82</v>
      </c>
      <c r="G48" s="199">
        <f>ROUND(E48*F48,2)</f>
        <v/>
      </c>
      <c r="H48" s="150">
        <f>G48/$G$55</f>
        <v/>
      </c>
      <c r="I48" s="199">
        <f>ROUND(F48*Прил.10!$D$12,2)</f>
        <v/>
      </c>
      <c r="J48" s="199">
        <f>ROUND(I48*E48,2)</f>
        <v/>
      </c>
    </row>
    <row r="49" hidden="1" outlineLevel="1" ht="25.5" customFormat="1" customHeight="1" s="219">
      <c r="A49" s="283" t="n">
        <v>28</v>
      </c>
      <c r="B49" s="165" t="inlineStr">
        <is>
          <t>91.08.09-023</t>
        </is>
      </c>
      <c r="C49" s="282" t="inlineStr">
        <is>
          <t>Трамбовки пневматические при работе от: передвижных компрессорных станций</t>
        </is>
      </c>
      <c r="D49" s="283" t="inlineStr">
        <is>
          <t>маш.час</t>
        </is>
      </c>
      <c r="E49" s="359" t="n">
        <v>17.87</v>
      </c>
      <c r="F49" s="285" t="n">
        <v>0.55</v>
      </c>
      <c r="G49" s="199">
        <f>ROUND(E49*F49,2)</f>
        <v/>
      </c>
      <c r="H49" s="150">
        <f>G49/$G$55</f>
        <v/>
      </c>
      <c r="I49" s="199">
        <f>ROUND(F49*Прил.10!$D$12,2)</f>
        <v/>
      </c>
      <c r="J49" s="199">
        <f>ROUND(I49*E49,2)</f>
        <v/>
      </c>
    </row>
    <row r="50" hidden="1" outlineLevel="1" ht="51" customFormat="1" customHeight="1" s="219">
      <c r="A50" s="283" t="n">
        <v>29</v>
      </c>
      <c r="B50" s="165" t="inlineStr">
        <is>
          <t>ФССЦпг-03-21-01-031</t>
        </is>
      </c>
      <c r="C50" s="282" t="inlineStr">
        <is>
          <t>Перевозка грузов автомобилями-самосвалами грузоподъемностью 10 т работающих вне карьера на расстояние: I класс груза до 31 км</t>
        </is>
      </c>
      <c r="D50" s="283" t="inlineStr">
        <is>
          <t>1 т груза</t>
        </is>
      </c>
      <c r="E50" s="359" t="n">
        <v>0.294</v>
      </c>
      <c r="F50" s="285" t="n">
        <v>19.68</v>
      </c>
      <c r="G50" s="199">
        <f>ROUND(E50*F50,2)</f>
        <v/>
      </c>
      <c r="H50" s="150">
        <f>G50/$G$55</f>
        <v/>
      </c>
      <c r="I50" s="199">
        <f>ROUND(F50*Прил.10!$D$12,2)</f>
        <v/>
      </c>
      <c r="J50" s="199">
        <f>ROUND(I50*E50,2)</f>
        <v/>
      </c>
    </row>
    <row r="51" hidden="1" outlineLevel="1" ht="14.25" customFormat="1" customHeight="1" s="219">
      <c r="A51" s="283" t="n">
        <v>30</v>
      </c>
      <c r="B51" s="165" t="inlineStr">
        <is>
          <t>91.21.19-031</t>
        </is>
      </c>
      <c r="C51" s="282" t="inlineStr">
        <is>
          <t>Станок: сверлильный</t>
        </is>
      </c>
      <c r="D51" s="283" t="inlineStr">
        <is>
          <t>маш.час</t>
        </is>
      </c>
      <c r="E51" s="359" t="n">
        <v>0.8100000000000001</v>
      </c>
      <c r="F51" s="285" t="n">
        <v>2.36</v>
      </c>
      <c r="G51" s="199">
        <f>ROUND(E51*F51,2)</f>
        <v/>
      </c>
      <c r="H51" s="150">
        <f>G51/$G$55</f>
        <v/>
      </c>
      <c r="I51" s="199">
        <f>ROUND(F51*Прил.10!$D$12,2)</f>
        <v/>
      </c>
      <c r="J51" s="199">
        <f>ROUND(I51*E51,2)</f>
        <v/>
      </c>
    </row>
    <row r="52" hidden="1" outlineLevel="1" ht="14.25" customFormat="1" customHeight="1" s="219">
      <c r="A52" s="283" t="n">
        <v>31</v>
      </c>
      <c r="B52" s="165" t="inlineStr">
        <is>
          <t>91.07.04-002</t>
        </is>
      </c>
      <c r="C52" s="282" t="inlineStr">
        <is>
          <t>Вибратор поверхностный</t>
        </is>
      </c>
      <c r="D52" s="283" t="inlineStr">
        <is>
          <t>маш.час</t>
        </is>
      </c>
      <c r="E52" s="359" t="n">
        <v>1.38</v>
      </c>
      <c r="F52" s="285" t="n">
        <v>0.5</v>
      </c>
      <c r="G52" s="199">
        <f>ROUND(E52*F52,2)</f>
        <v/>
      </c>
      <c r="H52" s="150">
        <f>G52/$G$55</f>
        <v/>
      </c>
      <c r="I52" s="199">
        <f>ROUND(F52*Прил.10!$D$12,2)</f>
        <v/>
      </c>
      <c r="J52" s="199">
        <f>ROUND(I52*E52,2)</f>
        <v/>
      </c>
    </row>
    <row r="53" collapsed="1" ht="14.25" customFormat="1" customHeight="1" s="219">
      <c r="A53" s="283" t="n"/>
      <c r="B53" s="283" t="n"/>
      <c r="C53" s="282" t="inlineStr">
        <is>
          <t>Итого прочие машины и механизмы</t>
        </is>
      </c>
      <c r="D53" s="283" t="n"/>
      <c r="E53" s="284" t="n"/>
      <c r="F53" s="199" t="n"/>
      <c r="G53" s="151">
        <f>SUM(G30:G52)</f>
        <v/>
      </c>
      <c r="H53" s="150">
        <f>G53/G55</f>
        <v/>
      </c>
      <c r="I53" s="199" t="n"/>
      <c r="J53" s="199">
        <f>SUM(J30:J52)</f>
        <v/>
      </c>
    </row>
    <row r="54" ht="30.6" customFormat="1" customHeight="1" s="219">
      <c r="A54" s="283" t="n"/>
      <c r="B54" s="283" t="n"/>
      <c r="C54" s="282" t="inlineStr">
        <is>
          <t>Итого прочие машины и механизмы 
(с коэффициентом на демонтаж 0,7)</t>
        </is>
      </c>
      <c r="D54" s="283" t="n"/>
      <c r="E54" s="284" t="n"/>
      <c r="F54" s="199" t="n"/>
      <c r="G54" s="151">
        <f>G53*0.7</f>
        <v/>
      </c>
      <c r="H54" s="152">
        <f>G54/G56</f>
        <v/>
      </c>
      <c r="I54" s="153" t="n"/>
      <c r="J54" s="154">
        <f>J53*0.7</f>
        <v/>
      </c>
    </row>
    <row r="55" ht="25.5" customFormat="1" customHeight="1" s="219">
      <c r="A55" s="283" t="n"/>
      <c r="B55" s="283" t="n"/>
      <c r="C55" s="287" t="inlineStr">
        <is>
          <t>Итого по разделу «Машины и механизмы»</t>
        </is>
      </c>
      <c r="D55" s="283" t="n"/>
      <c r="E55" s="284" t="n"/>
      <c r="F55" s="199" t="n"/>
      <c r="G55" s="199">
        <f>G53+G28</f>
        <v/>
      </c>
      <c r="H55" s="152" t="n">
        <v>1</v>
      </c>
      <c r="I55" s="153" t="n"/>
      <c r="J55" s="154">
        <f>J53+J28</f>
        <v/>
      </c>
    </row>
    <row r="56" ht="45.6" customFormat="1" customHeight="1" s="219">
      <c r="A56" s="283" t="n"/>
      <c r="B56" s="283" t="n"/>
      <c r="C56" s="287" t="inlineStr">
        <is>
          <t>Итого по разделу «Машины и механизмы»  
(с коэффициентом на демонтаж 0,7)</t>
        </is>
      </c>
      <c r="D56" s="283" t="n"/>
      <c r="E56" s="284" t="n"/>
      <c r="F56" s="199" t="n"/>
      <c r="G56" s="199">
        <f>G29+G54</f>
        <v/>
      </c>
      <c r="H56" s="152" t="n"/>
      <c r="I56" s="153" t="n"/>
      <c r="J56" s="154">
        <f>J29+J54</f>
        <v/>
      </c>
    </row>
    <row r="57">
      <c r="A57" s="283" t="n"/>
      <c r="B57" s="287" t="inlineStr">
        <is>
          <t xml:space="preserve">Оборудование </t>
        </is>
      </c>
      <c r="C57" s="345" t="n"/>
      <c r="D57" s="345" t="n"/>
      <c r="E57" s="345" t="n"/>
      <c r="F57" s="345" t="n"/>
      <c r="G57" s="345" t="n"/>
      <c r="H57" s="345" t="n"/>
      <c r="I57" s="345" t="n"/>
      <c r="J57" s="346" t="n"/>
    </row>
    <row r="58">
      <c r="A58" s="283" t="n"/>
      <c r="B58" s="282" t="inlineStr">
        <is>
          <t>Основное оборудование</t>
        </is>
      </c>
      <c r="C58" s="345" t="n"/>
      <c r="D58" s="345" t="n"/>
      <c r="E58" s="345" t="n"/>
      <c r="F58" s="345" t="n"/>
      <c r="G58" s="345" t="n"/>
      <c r="H58" s="346" t="n"/>
      <c r="I58" s="149" t="n"/>
      <c r="J58" s="149" t="n"/>
    </row>
    <row r="59">
      <c r="A59" s="283" t="n"/>
      <c r="B59" s="283" t="n"/>
      <c r="C59" s="282" t="inlineStr">
        <is>
          <t>Итого основное оборудование</t>
        </is>
      </c>
      <c r="D59" s="283" t="n"/>
      <c r="E59" s="284" t="n"/>
      <c r="F59" s="285" t="n"/>
      <c r="G59" s="199" t="n">
        <v>0</v>
      </c>
      <c r="H59" s="286" t="n">
        <v>0</v>
      </c>
      <c r="I59" s="151" t="n"/>
      <c r="J59" s="199" t="n">
        <v>0</v>
      </c>
    </row>
    <row r="60">
      <c r="A60" s="283" t="n"/>
      <c r="B60" s="283" t="n"/>
      <c r="C60" s="282" t="inlineStr">
        <is>
          <t>Итого прочее оборудование</t>
        </is>
      </c>
      <c r="D60" s="283" t="n"/>
      <c r="E60" s="284" t="n"/>
      <c r="F60" s="285" t="n"/>
      <c r="G60" s="199" t="n">
        <v>0</v>
      </c>
      <c r="H60" s="286" t="n">
        <v>0</v>
      </c>
      <c r="I60" s="151" t="n"/>
      <c r="J60" s="199" t="n">
        <v>0</v>
      </c>
    </row>
    <row r="61">
      <c r="A61" s="283" t="n"/>
      <c r="B61" s="283" t="n"/>
      <c r="C61" s="287" t="inlineStr">
        <is>
          <t>Итого по разделу «Оборудование»</t>
        </is>
      </c>
      <c r="D61" s="283" t="n"/>
      <c r="E61" s="284" t="n"/>
      <c r="F61" s="285" t="n"/>
      <c r="G61" s="199">
        <f>G60+G59</f>
        <v/>
      </c>
      <c r="H61" s="286" t="n">
        <v>0</v>
      </c>
      <c r="I61" s="151" t="n"/>
      <c r="J61" s="199">
        <f>J60+J59</f>
        <v/>
      </c>
    </row>
    <row r="62" ht="25.5" customHeight="1" s="222">
      <c r="A62" s="283" t="n"/>
      <c r="B62" s="283" t="n"/>
      <c r="C62" s="282" t="inlineStr">
        <is>
          <t>в том числе технологическое оборудование</t>
        </is>
      </c>
      <c r="D62" s="283" t="n"/>
      <c r="E62" s="359" t="n"/>
      <c r="F62" s="285" t="n"/>
      <c r="G62" s="199">
        <f>G61</f>
        <v/>
      </c>
      <c r="H62" s="286" t="n"/>
      <c r="I62" s="151" t="n"/>
      <c r="J62" s="199">
        <f>J61</f>
        <v/>
      </c>
    </row>
    <row r="63" ht="14.25" customFormat="1" customHeight="1" s="219">
      <c r="A63" s="283" t="n"/>
      <c r="B63" s="287" t="inlineStr">
        <is>
          <t xml:space="preserve">Материалы </t>
        </is>
      </c>
      <c r="C63" s="345" t="n"/>
      <c r="D63" s="345" t="n"/>
      <c r="E63" s="345" t="n"/>
      <c r="F63" s="345" t="n"/>
      <c r="G63" s="345" t="n"/>
      <c r="H63" s="345" t="n"/>
      <c r="I63" s="345" t="n"/>
      <c r="J63" s="346" t="n"/>
    </row>
    <row r="64" ht="14.25" customFormat="1" customHeight="1" s="219">
      <c r="A64" s="283" t="n"/>
      <c r="B64" s="282" t="inlineStr">
        <is>
          <t>Основные материалы</t>
        </is>
      </c>
      <c r="C64" s="345" t="n"/>
      <c r="D64" s="345" t="n"/>
      <c r="E64" s="345" t="n"/>
      <c r="F64" s="345" t="n"/>
      <c r="G64" s="345" t="n"/>
      <c r="H64" s="346" t="n"/>
      <c r="I64" s="149" t="n"/>
      <c r="J64" s="149" t="n"/>
    </row>
    <row r="65" ht="24.75" customFormat="1" customHeight="1" s="219">
      <c r="A65" s="283" t="n"/>
      <c r="B65" s="283" t="n"/>
      <c r="C65" s="282" t="inlineStr">
        <is>
          <t>Итого основные материалы</t>
        </is>
      </c>
      <c r="D65" s="283" t="n"/>
      <c r="E65" s="359" t="n"/>
      <c r="F65" s="285" t="n"/>
      <c r="G65" s="199" t="n">
        <v>0</v>
      </c>
      <c r="H65" s="286" t="n">
        <v>0</v>
      </c>
      <c r="I65" s="151" t="n"/>
      <c r="J65" s="199" t="n">
        <v>0</v>
      </c>
    </row>
    <row r="66" ht="14.25" customFormat="1" customHeight="1" s="219">
      <c r="A66" s="283" t="n"/>
      <c r="B66" s="283" t="n"/>
      <c r="C66" s="282" t="inlineStr">
        <is>
          <t>Итого прочие материалы</t>
        </is>
      </c>
      <c r="D66" s="283" t="n"/>
      <c r="E66" s="284" t="n"/>
      <c r="F66" s="285" t="n"/>
      <c r="G66" s="199" t="n">
        <v>0</v>
      </c>
      <c r="H66" s="286" t="n">
        <v>0</v>
      </c>
      <c r="I66" s="199" t="n"/>
      <c r="J66" s="199" t="n">
        <v>0</v>
      </c>
    </row>
    <row r="67" ht="14.25" customFormat="1" customHeight="1" s="219">
      <c r="A67" s="283" t="n"/>
      <c r="B67" s="283" t="n"/>
      <c r="C67" s="287" t="inlineStr">
        <is>
          <t>Итого по разделу «Материалы»</t>
        </is>
      </c>
      <c r="D67" s="283" t="n"/>
      <c r="E67" s="284" t="n"/>
      <c r="F67" s="285" t="n"/>
      <c r="G67" s="199">
        <f>G65+G66</f>
        <v/>
      </c>
      <c r="H67" s="286" t="n">
        <v>0</v>
      </c>
      <c r="I67" s="199" t="n"/>
      <c r="J67" s="199">
        <f>J65+J66</f>
        <v/>
      </c>
    </row>
    <row r="68" ht="14.25" customFormat="1" customHeight="1" s="219">
      <c r="A68" s="283" t="n"/>
      <c r="B68" s="283" t="n"/>
      <c r="C68" s="282" t="inlineStr">
        <is>
          <t>ИТОГО ПО РМ</t>
        </is>
      </c>
      <c r="D68" s="283" t="n"/>
      <c r="E68" s="284" t="n"/>
      <c r="F68" s="285" t="n"/>
      <c r="G68" s="199">
        <f>G17+G55+G67</f>
        <v/>
      </c>
      <c r="H68" s="286" t="n"/>
      <c r="I68" s="199" t="n"/>
      <c r="J68" s="199">
        <f>J17+J55+J67</f>
        <v/>
      </c>
    </row>
    <row r="69" ht="34.15" customFormat="1" customHeight="1" s="219">
      <c r="A69" s="283" t="n"/>
      <c r="B69" s="283" t="n"/>
      <c r="C69" s="282" t="inlineStr">
        <is>
          <t>ИТОГО ПО РМ
(с коэффициентом на демонтаж 0,7)</t>
        </is>
      </c>
      <c r="D69" s="283" t="n"/>
      <c r="E69" s="284" t="n"/>
      <c r="F69" s="285" t="n"/>
      <c r="G69" s="199">
        <f>G18+G56</f>
        <v/>
      </c>
      <c r="H69" s="286" t="n"/>
      <c r="I69" s="199" t="n"/>
      <c r="J69" s="199">
        <f>J18+J56</f>
        <v/>
      </c>
    </row>
    <row r="70" ht="14.25" customFormat="1" customHeight="1" s="219">
      <c r="A70" s="283" t="n"/>
      <c r="B70" s="283" t="n"/>
      <c r="C70" s="282" t="inlineStr">
        <is>
          <t>Накладные расходы</t>
        </is>
      </c>
      <c r="D70" s="155">
        <f>ROUND(G70/(G$20+$G$17),2)</f>
        <v/>
      </c>
      <c r="E70" s="284" t="n"/>
      <c r="F70" s="285" t="n"/>
      <c r="G70" s="199" t="n">
        <v>61710.04</v>
      </c>
      <c r="H70" s="286" t="n"/>
      <c r="I70" s="199" t="n"/>
      <c r="J70" s="199">
        <f>ROUND(D70*(J17+J20),2)</f>
        <v/>
      </c>
    </row>
    <row r="71" ht="39" customFormat="1" customHeight="1" s="219">
      <c r="A71" s="283" t="n"/>
      <c r="B71" s="283" t="n"/>
      <c r="C71" s="282" t="inlineStr">
        <is>
          <t>Накладные расходы 
(с коэффициентом на демонтаж 0,7)</t>
        </is>
      </c>
      <c r="D71" s="201">
        <f>D70</f>
        <v/>
      </c>
      <c r="E71" s="202" t="n"/>
      <c r="F71" s="285" t="n"/>
      <c r="G71" s="199">
        <f>G70*0.7</f>
        <v/>
      </c>
      <c r="H71" s="286" t="n"/>
      <c r="I71" s="199" t="n"/>
      <c r="J71" s="199">
        <f>ROUND(D71*(J18+J21),2)</f>
        <v/>
      </c>
    </row>
    <row r="72" ht="14.25" customFormat="1" customHeight="1" s="219">
      <c r="A72" s="283" t="n"/>
      <c r="B72" s="283" t="n"/>
      <c r="C72" s="282" t="inlineStr">
        <is>
          <t>Сметная прибыль</t>
        </is>
      </c>
      <c r="D72" s="155">
        <f>ROUND(G72/(G$17+G$20),2)</f>
        <v/>
      </c>
      <c r="E72" s="284" t="n"/>
      <c r="F72" s="285" t="n"/>
      <c r="G72" s="199" t="n">
        <v>43672.49</v>
      </c>
      <c r="H72" s="286" t="n"/>
      <c r="I72" s="199" t="n"/>
      <c r="J72" s="199">
        <f>ROUND(D72*(J17+J20),2)</f>
        <v/>
      </c>
    </row>
    <row r="73" ht="29.45" customFormat="1" customHeight="1" s="219">
      <c r="A73" s="283" t="n"/>
      <c r="B73" s="283" t="n"/>
      <c r="C73" s="282" t="inlineStr">
        <is>
          <t>Сметная прибыль 
(с коэффициентом на демонтаж 0,7)</t>
        </is>
      </c>
      <c r="D73" s="201">
        <f>D72</f>
        <v/>
      </c>
      <c r="E73" s="202" t="n"/>
      <c r="F73" s="285" t="n"/>
      <c r="G73" s="199">
        <f>G72*0.7</f>
        <v/>
      </c>
      <c r="H73" s="286" t="n"/>
      <c r="I73" s="199" t="n"/>
      <c r="J73" s="199">
        <f>ROUND(D73*(J18+J21),2)</f>
        <v/>
      </c>
    </row>
    <row r="74" ht="31.9" customFormat="1" customHeight="1" s="219">
      <c r="A74" s="283" t="n"/>
      <c r="B74" s="283" t="n"/>
      <c r="C74" s="282" t="inlineStr">
        <is>
          <t>Итого СМР (с НР и СП) 
(с коэффициентом на демонтаж 0,7)</t>
        </is>
      </c>
      <c r="D74" s="283" t="n"/>
      <c r="E74" s="284" t="n"/>
      <c r="F74" s="285" t="n"/>
      <c r="G74" s="199">
        <f>G69+G71+G73</f>
        <v/>
      </c>
      <c r="H74" s="286" t="n"/>
      <c r="I74" s="199" t="n"/>
      <c r="J74" s="199">
        <f>J69+J71+J73</f>
        <v/>
      </c>
    </row>
    <row r="75" ht="28.15" customFormat="1" customHeight="1" s="219">
      <c r="A75" s="283" t="n"/>
      <c r="B75" s="283" t="n"/>
      <c r="C75" s="282" t="inlineStr">
        <is>
          <t>ВСЕГО СМР + ОБОРУДОВАНИЕ 
(с коэффициентом на демонтаж 0,7)</t>
        </is>
      </c>
      <c r="D75" s="283" t="n"/>
      <c r="E75" s="284" t="n"/>
      <c r="F75" s="285" t="n"/>
      <c r="G75" s="199">
        <f>G74</f>
        <v/>
      </c>
      <c r="H75" s="286" t="n"/>
      <c r="I75" s="199" t="n"/>
      <c r="J75" s="199">
        <f>J74</f>
        <v/>
      </c>
    </row>
    <row r="76" ht="14.25" customFormat="1" customHeight="1" s="219">
      <c r="A76" s="283" t="n"/>
      <c r="B76" s="283" t="n"/>
      <c r="C76" s="282" t="inlineStr">
        <is>
          <t>ИТОГО ПОКАЗАТЕЛЬ НА ЕД. ИЗМ.</t>
        </is>
      </c>
      <c r="D76" s="283" t="inlineStr">
        <is>
          <t>ед.</t>
        </is>
      </c>
      <c r="E76" s="359" t="n">
        <v>7</v>
      </c>
      <c r="F76" s="285" t="n"/>
      <c r="G76" s="199">
        <f>G75/E76</f>
        <v/>
      </c>
      <c r="H76" s="286" t="n"/>
      <c r="I76" s="199" t="n"/>
      <c r="J76" s="199">
        <f>J75/E76</f>
        <v/>
      </c>
    </row>
    <row r="78" ht="14.25" customFormat="1" customHeight="1" s="219">
      <c r="A78" s="221" t="inlineStr">
        <is>
          <t>Составил ______________________    А.Р. Маркова</t>
        </is>
      </c>
    </row>
    <row r="79" ht="14.25" customFormat="1" customHeight="1" s="219">
      <c r="A79" s="218" t="inlineStr">
        <is>
          <t xml:space="preserve">                         (подпись, инициалы, фамилия)</t>
        </is>
      </c>
    </row>
    <row r="80" ht="14.25" customFormat="1" customHeight="1" s="219">
      <c r="A80" s="221" t="n"/>
    </row>
    <row r="81" ht="14.25" customFormat="1" customHeight="1" s="219">
      <c r="A81" s="221" t="inlineStr">
        <is>
          <t>Проверил ______________________        А.В. Костянецкая</t>
        </is>
      </c>
    </row>
    <row r="82" ht="14.25" customFormat="1" customHeight="1" s="219">
      <c r="A82" s="218" t="inlineStr">
        <is>
          <t xml:space="preserve">                        (подпись, инициалы, фамилия)</t>
        </is>
      </c>
    </row>
  </sheetData>
  <mergeCells count="22">
    <mergeCell ref="F10:G10"/>
    <mergeCell ref="B57:J57"/>
    <mergeCell ref="A4:J4"/>
    <mergeCell ref="B64:H64"/>
    <mergeCell ref="H2:J2"/>
    <mergeCell ref="C10:C11"/>
    <mergeCell ref="E10:E11"/>
    <mergeCell ref="A7:H7"/>
    <mergeCell ref="B10:B11"/>
    <mergeCell ref="B22:H22"/>
    <mergeCell ref="B58:H58"/>
    <mergeCell ref="D6:J6"/>
    <mergeCell ref="B63:J63"/>
    <mergeCell ref="A10:A11"/>
    <mergeCell ref="A8:H8"/>
    <mergeCell ref="B23:H23"/>
    <mergeCell ref="D10:D11"/>
    <mergeCell ref="B13:H13"/>
    <mergeCell ref="I10:J10"/>
    <mergeCell ref="A6:C6"/>
    <mergeCell ref="B19:H19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22" min="1" max="1"/>
    <col width="17.5703125" customWidth="1" style="222" min="2" max="2"/>
    <col width="39.140625" customWidth="1" style="222" min="3" max="3"/>
    <col width="10.7109375" customWidth="1" style="222" min="4" max="4"/>
    <col width="13.85546875" customWidth="1" style="222" min="5" max="5"/>
    <col width="13.28515625" customWidth="1" style="222" min="6" max="6"/>
    <col width="14.140625" customWidth="1" style="222" min="7" max="7"/>
  </cols>
  <sheetData>
    <row r="1">
      <c r="A1" s="293" t="inlineStr">
        <is>
          <t>Приложение №6</t>
        </is>
      </c>
    </row>
    <row r="2" ht="21.75" customHeight="1" s="222">
      <c r="A2" s="293" t="n"/>
      <c r="B2" s="293" t="n"/>
      <c r="C2" s="293" t="n"/>
      <c r="D2" s="293" t="n"/>
      <c r="E2" s="293" t="n"/>
      <c r="F2" s="293" t="n"/>
      <c r="G2" s="293" t="n"/>
    </row>
    <row r="3">
      <c r="A3" s="254" t="inlineStr">
        <is>
          <t>Расчет стоимости оборудования</t>
        </is>
      </c>
    </row>
    <row r="4" ht="25.5" customHeight="1" s="222">
      <c r="A4" s="257" t="inlineStr">
        <is>
          <t>Наименование разрабатываемого показателя УНЦ — Демонтаж трансформаторов тока 110 кВ</t>
        </is>
      </c>
    </row>
    <row r="5">
      <c r="A5" s="221" t="n"/>
      <c r="B5" s="221" t="n"/>
      <c r="C5" s="221" t="n"/>
      <c r="D5" s="221" t="n"/>
      <c r="E5" s="221" t="n"/>
      <c r="F5" s="221" t="n"/>
      <c r="G5" s="221" t="n"/>
    </row>
    <row r="6" ht="30" customHeight="1" s="222">
      <c r="A6" s="298" t="inlineStr">
        <is>
          <t>№ пп.</t>
        </is>
      </c>
      <c r="B6" s="298" t="inlineStr">
        <is>
          <t>Код ресурса</t>
        </is>
      </c>
      <c r="C6" s="298" t="inlineStr">
        <is>
          <t>Наименование</t>
        </is>
      </c>
      <c r="D6" s="298" t="inlineStr">
        <is>
          <t>Ед. изм.</t>
        </is>
      </c>
      <c r="E6" s="283" t="inlineStr">
        <is>
          <t>Кол-во единиц по проектным данным</t>
        </is>
      </c>
      <c r="F6" s="298" t="inlineStr">
        <is>
          <t>Сметная стоимость в ценах на 01.01.2000 (руб.)</t>
        </is>
      </c>
      <c r="G6" s="346" t="n"/>
    </row>
    <row r="7">
      <c r="A7" s="348" t="n"/>
      <c r="B7" s="348" t="n"/>
      <c r="C7" s="348" t="n"/>
      <c r="D7" s="348" t="n"/>
      <c r="E7" s="348" t="n"/>
      <c r="F7" s="283" t="inlineStr">
        <is>
          <t>на ед. изм.</t>
        </is>
      </c>
      <c r="G7" s="283" t="inlineStr">
        <is>
          <t>общая</t>
        </is>
      </c>
    </row>
    <row r="8">
      <c r="A8" s="283" t="n">
        <v>1</v>
      </c>
      <c r="B8" s="283" t="n">
        <v>2</v>
      </c>
      <c r="C8" s="283" t="n">
        <v>3</v>
      </c>
      <c r="D8" s="283" t="n">
        <v>4</v>
      </c>
      <c r="E8" s="283" t="n">
        <v>5</v>
      </c>
      <c r="F8" s="283" t="n">
        <v>6</v>
      </c>
      <c r="G8" s="283" t="n">
        <v>7</v>
      </c>
    </row>
    <row r="9" ht="15" customHeight="1" s="222">
      <c r="A9" s="160" t="n"/>
      <c r="B9" s="282" t="inlineStr">
        <is>
          <t>ИНЖЕНЕРНОЕ ОБОРУДОВАНИЕ</t>
        </is>
      </c>
      <c r="C9" s="345" t="n"/>
      <c r="D9" s="345" t="n"/>
      <c r="E9" s="345" t="n"/>
      <c r="F9" s="345" t="n"/>
      <c r="G9" s="346" t="n"/>
    </row>
    <row r="10" ht="27" customHeight="1" s="222">
      <c r="A10" s="283" t="n"/>
      <c r="B10" s="287" t="n"/>
      <c r="C10" s="282" t="inlineStr">
        <is>
          <t>ИТОГО ИНЖЕНЕРНОЕ ОБОРУДОВАНИЕ</t>
        </is>
      </c>
      <c r="D10" s="287" t="n"/>
      <c r="E10" s="163" t="n"/>
      <c r="F10" s="285" t="n"/>
      <c r="G10" s="285" t="n">
        <v>0</v>
      </c>
    </row>
    <row r="11">
      <c r="A11" s="283" t="n"/>
      <c r="B11" s="282" t="inlineStr">
        <is>
          <t>ТЕХНОЛОГИЧЕСКОЕ ОБОРУДОВАНИЕ</t>
        </is>
      </c>
      <c r="C11" s="345" t="n"/>
      <c r="D11" s="345" t="n"/>
      <c r="E11" s="345" t="n"/>
      <c r="F11" s="345" t="n"/>
      <c r="G11" s="346" t="n"/>
    </row>
    <row r="12" ht="25.5" customHeight="1" s="222">
      <c r="A12" s="283" t="n"/>
      <c r="B12" s="282" t="n"/>
      <c r="C12" s="282" t="inlineStr">
        <is>
          <t>ИТОГО ТЕХНОЛОГИЧЕСКОЕ ОБОРУДОВАНИЕ</t>
        </is>
      </c>
      <c r="D12" s="282" t="n"/>
      <c r="E12" s="297" t="n"/>
      <c r="F12" s="285" t="n"/>
      <c r="G12" s="199" t="n">
        <v>0</v>
      </c>
    </row>
    <row r="13" ht="19.5" customHeight="1" s="222">
      <c r="A13" s="283" t="n"/>
      <c r="B13" s="282" t="n"/>
      <c r="C13" s="282" t="inlineStr">
        <is>
          <t>Всего по разделу «Оборудование»</t>
        </is>
      </c>
      <c r="D13" s="282" t="n"/>
      <c r="E13" s="297" t="n"/>
      <c r="F13" s="285" t="n"/>
      <c r="G13" s="199">
        <f>G10+G12</f>
        <v/>
      </c>
    </row>
    <row r="14">
      <c r="A14" s="220" t="n"/>
      <c r="B14" s="216" t="n"/>
      <c r="C14" s="220" t="n"/>
      <c r="D14" s="220" t="n"/>
      <c r="E14" s="220" t="n"/>
      <c r="F14" s="220" t="n"/>
      <c r="G14" s="220" t="n"/>
    </row>
    <row r="15">
      <c r="A15" s="221" t="inlineStr">
        <is>
          <t>Составил ______________________    А.Р. Маркова</t>
        </is>
      </c>
      <c r="B15" s="219" t="n"/>
      <c r="C15" s="219" t="n"/>
      <c r="D15" s="220" t="n"/>
      <c r="E15" s="220" t="n"/>
      <c r="F15" s="220" t="n"/>
      <c r="G15" s="220" t="n"/>
    </row>
    <row r="16">
      <c r="A16" s="218" t="inlineStr">
        <is>
          <t xml:space="preserve">                         (подпись, инициалы, фамилия)</t>
        </is>
      </c>
      <c r="B16" s="219" t="n"/>
      <c r="C16" s="219" t="n"/>
      <c r="D16" s="220" t="n"/>
      <c r="E16" s="220" t="n"/>
      <c r="F16" s="220" t="n"/>
      <c r="G16" s="220" t="n"/>
    </row>
    <row r="17">
      <c r="A17" s="221" t="n"/>
      <c r="B17" s="219" t="n"/>
      <c r="C17" s="219" t="n"/>
      <c r="D17" s="220" t="n"/>
      <c r="E17" s="220" t="n"/>
      <c r="F17" s="220" t="n"/>
      <c r="G17" s="220" t="n"/>
    </row>
    <row r="18">
      <c r="A18" s="221" t="inlineStr">
        <is>
          <t>Проверил ______________________        А.В. Костянецкая</t>
        </is>
      </c>
      <c r="B18" s="219" t="n"/>
      <c r="C18" s="219" t="n"/>
      <c r="D18" s="220" t="n"/>
      <c r="E18" s="220" t="n"/>
      <c r="F18" s="220" t="n"/>
      <c r="G18" s="220" t="n"/>
    </row>
    <row r="19">
      <c r="A19" s="218" t="inlineStr">
        <is>
          <t xml:space="preserve">                        (подпись, инициалы, фамилия)</t>
        </is>
      </c>
      <c r="B19" s="219" t="n"/>
      <c r="C19" s="219" t="n"/>
      <c r="D19" s="220" t="n"/>
      <c r="E19" s="220" t="n"/>
      <c r="F19" s="220" t="n"/>
      <c r="G19" s="2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H33" sqref="H33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8.140625" customWidth="1" style="222" min="3" max="3"/>
    <col width="34.42578125" customWidth="1" style="222" min="4" max="4"/>
    <col width="8.85546875" customWidth="1" style="222" min="5" max="5"/>
  </cols>
  <sheetData>
    <row r="1">
      <c r="B1" s="221" t="n"/>
      <c r="C1" s="221" t="n"/>
      <c r="D1" s="293" t="inlineStr">
        <is>
          <t>Приложение №7</t>
        </is>
      </c>
    </row>
    <row r="2">
      <c r="A2" s="293" t="n"/>
      <c r="B2" s="293" t="n"/>
      <c r="C2" s="293" t="n"/>
      <c r="D2" s="293" t="n"/>
    </row>
    <row r="3" ht="24.75" customHeight="1" s="222">
      <c r="A3" s="254" t="inlineStr">
        <is>
          <t>Расчет показателя УНЦ</t>
        </is>
      </c>
    </row>
    <row r="4" ht="24.75" customHeight="1" s="222">
      <c r="A4" s="254" t="n"/>
      <c r="B4" s="254" t="n"/>
      <c r="C4" s="254" t="n"/>
      <c r="D4" s="254" t="n"/>
    </row>
    <row r="5" ht="49.5" customHeight="1" s="222">
      <c r="A5" s="257" t="inlineStr">
        <is>
          <t xml:space="preserve">Наименование разрабатываемого показателя УНЦ - </t>
        </is>
      </c>
      <c r="D5" s="257">
        <f>'Прил.5 Расчет СМР и ОБ'!D6:J6</f>
        <v/>
      </c>
    </row>
    <row r="6" ht="19.9" customHeight="1" s="222">
      <c r="A6" s="257" t="inlineStr">
        <is>
          <t>Единица измерения  — 1 ед.</t>
        </is>
      </c>
      <c r="D6" s="257" t="n"/>
    </row>
    <row r="7">
      <c r="A7" s="221" t="n"/>
      <c r="B7" s="221" t="n"/>
      <c r="C7" s="221" t="n"/>
      <c r="D7" s="221" t="n"/>
    </row>
    <row r="8" ht="14.45" customHeight="1" s="222">
      <c r="A8" s="268" t="inlineStr">
        <is>
          <t>Код показателя</t>
        </is>
      </c>
      <c r="B8" s="268" t="inlineStr">
        <is>
          <t>Наименование показателя</t>
        </is>
      </c>
      <c r="C8" s="268" t="inlineStr">
        <is>
          <t>Наименование РМ, входящих в состав показателя</t>
        </is>
      </c>
      <c r="D8" s="268" t="inlineStr">
        <is>
          <t>Норматив цены на 01.01.2023, тыс.руб.</t>
        </is>
      </c>
    </row>
    <row r="9" ht="15" customHeight="1" s="222">
      <c r="A9" s="348" t="n"/>
      <c r="B9" s="348" t="n"/>
      <c r="C9" s="348" t="n"/>
      <c r="D9" s="348" t="n"/>
    </row>
    <row r="10">
      <c r="A10" s="283" t="n">
        <v>1</v>
      </c>
      <c r="B10" s="283" t="n">
        <v>2</v>
      </c>
      <c r="C10" s="283" t="n">
        <v>3</v>
      </c>
      <c r="D10" s="283" t="n">
        <v>4</v>
      </c>
    </row>
    <row r="11" ht="41.45" customHeight="1" s="222">
      <c r="A11" s="283" t="inlineStr">
        <is>
          <t>М6-09-3</t>
        </is>
      </c>
      <c r="B11" s="283" t="inlineStr">
        <is>
          <t>УНЦ на демонтажные работы ПС</t>
        </is>
      </c>
      <c r="C11" s="212" t="inlineStr">
        <is>
          <t>Демонтаж трансформаторов тока 110 кВ</t>
        </is>
      </c>
      <c r="D11" s="213">
        <f>'Прил.4 РМ'!C40/1000</f>
        <v/>
      </c>
      <c r="E11" s="214" t="n"/>
    </row>
    <row r="12">
      <c r="A12" s="220" t="n"/>
      <c r="B12" s="216" t="n"/>
      <c r="C12" s="220" t="n"/>
      <c r="D12" s="220" t="n"/>
    </row>
    <row r="13">
      <c r="A13" s="344" t="inlineStr">
        <is>
          <t>Составил ______________________       А.Р. Маркова</t>
        </is>
      </c>
      <c r="B13" s="219" t="n"/>
      <c r="C13" s="219" t="n"/>
      <c r="D13" s="220" t="n"/>
    </row>
    <row r="14">
      <c r="A14" s="218" t="inlineStr">
        <is>
          <t xml:space="preserve">                         (подпись, инициалы, фамилия)</t>
        </is>
      </c>
      <c r="B14" s="219" t="n"/>
      <c r="C14" s="219" t="n"/>
      <c r="D14" s="220" t="n"/>
    </row>
    <row r="15">
      <c r="A15" s="221" t="n"/>
      <c r="B15" s="219" t="n"/>
      <c r="C15" s="219" t="n"/>
      <c r="D15" s="220" t="n"/>
    </row>
    <row r="16">
      <c r="A16" s="221" t="inlineStr">
        <is>
          <t>Проверил ______________________        А.В. Костянецкая</t>
        </is>
      </c>
      <c r="B16" s="219" t="n"/>
      <c r="C16" s="219" t="n"/>
      <c r="D16" s="220" t="n"/>
    </row>
    <row r="17">
      <c r="A17" s="218" t="inlineStr">
        <is>
          <t xml:space="preserve">                        (подпись, инициалы, фамилия)</t>
        </is>
      </c>
      <c r="B17" s="219" t="n"/>
      <c r="C17" s="219" t="n"/>
      <c r="D17" s="22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7"/>
  <sheetViews>
    <sheetView tabSelected="1" view="pageBreakPreview" zoomScale="60" zoomScaleNormal="85" workbookViewId="0">
      <selection activeCell="B22" sqref="B22"/>
    </sheetView>
  </sheetViews>
  <sheetFormatPr baseColWidth="8" defaultRowHeight="15"/>
  <cols>
    <col width="9.140625" customWidth="1" style="222" min="1" max="1"/>
    <col width="40.7109375" customWidth="1" style="222" min="2" max="2"/>
    <col width="37" customWidth="1" style="222" min="3" max="3"/>
    <col width="32" customWidth="1" style="222" min="4" max="4"/>
    <col width="9.140625" customWidth="1" style="222" min="5" max="5"/>
  </cols>
  <sheetData>
    <row r="4" ht="15.75" customHeight="1" s="222">
      <c r="B4" s="262" t="inlineStr">
        <is>
          <t>Приложение № 10</t>
        </is>
      </c>
    </row>
    <row r="5" ht="18.75" customHeight="1" s="222">
      <c r="B5" s="123" t="n"/>
    </row>
    <row r="6" ht="15.75" customHeight="1" s="222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299" t="n"/>
    </row>
    <row r="8">
      <c r="B8" s="299" t="n"/>
      <c r="C8" s="299" t="n"/>
      <c r="D8" s="299" t="n"/>
      <c r="E8" s="299" t="n"/>
    </row>
    <row r="9" ht="47.25" customHeight="1" s="222">
      <c r="B9" s="268" t="inlineStr">
        <is>
          <t>Наименование индекса / норм сопутствующих затрат</t>
        </is>
      </c>
      <c r="C9" s="268" t="inlineStr">
        <is>
          <t>Дата применения и обоснование индекса / норм сопутствующих затрат</t>
        </is>
      </c>
      <c r="D9" s="268" t="inlineStr">
        <is>
          <t>Размер индекса / норма сопутствующих затрат</t>
        </is>
      </c>
    </row>
    <row r="10" ht="15.75" customHeight="1" s="222">
      <c r="B10" s="268" t="n">
        <v>1</v>
      </c>
      <c r="C10" s="268" t="n">
        <v>2</v>
      </c>
      <c r="D10" s="268" t="n">
        <v>3</v>
      </c>
    </row>
    <row r="11" ht="45" customHeight="1" s="222">
      <c r="B11" s="268" t="inlineStr">
        <is>
          <t xml:space="preserve">Индекс изменения сметной стоимости на 1 квартал 2023 года. ОЗП </t>
        </is>
      </c>
      <c r="C11" s="268" t="inlineStr">
        <is>
          <t>Письмо Минстроя России от 30.03.2023г. №17106-ИФ/09  прил.1</t>
        </is>
      </c>
      <c r="D11" s="268" t="n">
        <v>44.29</v>
      </c>
    </row>
    <row r="12" ht="29.25" customHeight="1" s="222">
      <c r="B12" s="268" t="inlineStr">
        <is>
          <t>Индекс изменения сметной стоимости на 1 квартал 2023 года. ЭМ</t>
        </is>
      </c>
      <c r="C12" s="268" t="inlineStr">
        <is>
          <t>Письмо Минстроя России от 30.03.2023г. №17106-ИФ/09  прил.1</t>
        </is>
      </c>
      <c r="D12" s="268" t="n">
        <v>13.47</v>
      </c>
    </row>
    <row r="13" ht="29.25" customHeight="1" s="222">
      <c r="B13" s="268" t="inlineStr">
        <is>
          <t>Индекс изменения сметной стоимости на 1 квартал 2023 года. МАТ</t>
        </is>
      </c>
      <c r="C13" s="268" t="inlineStr">
        <is>
          <t>Письмо Минстроя России от 30.03.2023г. №17106-ИФ/09  прил.1</t>
        </is>
      </c>
      <c r="D13" s="268" t="n">
        <v>8.039999999999999</v>
      </c>
    </row>
    <row r="14" ht="30.75" customHeight="1" s="222">
      <c r="B14" s="268" t="inlineStr">
        <is>
          <t>Индекс изменения сметной стоимости на 1 квартал 2023 года. ОБ</t>
        </is>
      </c>
      <c r="C14" s="117" t="inlineStr">
        <is>
          <t>Письмо Минстроя России от 23.02.2023г. №9791-ИФ/09 прил.6</t>
        </is>
      </c>
      <c r="D14" s="268" t="n">
        <v>6.26</v>
      </c>
    </row>
    <row r="15" ht="89.25" customHeight="1" s="222">
      <c r="B15" s="268" t="inlineStr">
        <is>
          <t>Временные здания и сооружения</t>
        </is>
      </c>
      <c r="C15" s="2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4" t="n">
        <v>0.039</v>
      </c>
    </row>
    <row r="16" ht="78.75" customHeight="1" s="222">
      <c r="B16" s="268" t="inlineStr">
        <is>
          <t>Дополнительные затраты при производстве строительно-монтажных работ в зимнее время</t>
        </is>
      </c>
      <c r="C16" s="2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4" t="n">
        <v>0.021</v>
      </c>
    </row>
    <row r="17" ht="34.5" customHeight="1" s="222">
      <c r="B17" s="268" t="n"/>
      <c r="C17" s="268" t="n"/>
      <c r="D17" s="268" t="n"/>
    </row>
    <row r="18" ht="31.5" customHeight="1" s="222">
      <c r="B18" s="268" t="inlineStr">
        <is>
          <t>Строительный контроль</t>
        </is>
      </c>
      <c r="C18" s="268" t="inlineStr">
        <is>
          <t>Постановление Правительства РФ от 21.06.10 г. № 468</t>
        </is>
      </c>
      <c r="D18" s="124" t="n">
        <v>0.0214</v>
      </c>
    </row>
    <row r="19" ht="31.5" customHeight="1" s="222">
      <c r="B19" s="268" t="inlineStr">
        <is>
          <t>Авторский надзор - 0,2%</t>
        </is>
      </c>
      <c r="C19" s="268" t="inlineStr">
        <is>
          <t>Приказ от 4.08.2020 № 421/пр п.173</t>
        </is>
      </c>
      <c r="D19" s="124" t="n">
        <v>0.002</v>
      </c>
    </row>
    <row r="20" ht="24" customHeight="1" s="222">
      <c r="B20" s="268" t="inlineStr">
        <is>
          <t>Непредвиденные расходы</t>
        </is>
      </c>
      <c r="C20" s="268" t="inlineStr">
        <is>
          <t>Приказ от 4.08.2020 № 421/пр п.179</t>
        </is>
      </c>
      <c r="D20" s="124" t="n">
        <v>0.03</v>
      </c>
    </row>
    <row r="21" ht="18.75" customHeight="1" s="222">
      <c r="B21" s="114" t="n"/>
    </row>
    <row r="23">
      <c r="B23" s="221" t="inlineStr">
        <is>
          <t>Составил ______________________    А.Р. Маркова</t>
        </is>
      </c>
      <c r="C23" s="219" t="n"/>
    </row>
    <row r="24">
      <c r="B24" s="218" t="inlineStr">
        <is>
          <t xml:space="preserve">                         (подпись, инициалы, фамилия)</t>
        </is>
      </c>
      <c r="C24" s="219" t="n"/>
    </row>
    <row r="25">
      <c r="B25" s="221" t="n"/>
      <c r="C25" s="219" t="n"/>
    </row>
    <row r="26">
      <c r="B26" s="221" t="inlineStr">
        <is>
          <t>Проверил ______________________        А.В. Костянецкая</t>
        </is>
      </c>
      <c r="C26" s="219" t="n"/>
    </row>
    <row r="27">
      <c r="B27" s="218" t="inlineStr">
        <is>
          <t xml:space="preserve">                        (подпись, инициалы, фамилия)</t>
        </is>
      </c>
      <c r="C27" s="2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topLeftCell="A19" zoomScale="60" zoomScaleNormal="100" workbookViewId="0">
      <selection activeCell="M28" sqref="M28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1" s="222"/>
    <row r="2" ht="17.25" customHeight="1" s="222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22"/>
    <row r="4" ht="18" customHeight="1" s="222">
      <c r="A4" s="223" t="inlineStr">
        <is>
          <t>Составлен в уровне цен на 01.01.2023 г.</t>
        </is>
      </c>
      <c r="B4" s="253" t="n"/>
      <c r="C4" s="253" t="n"/>
      <c r="D4" s="253" t="n"/>
      <c r="E4" s="253" t="n"/>
      <c r="F4" s="253" t="n"/>
      <c r="G4" s="253" t="n"/>
    </row>
    <row r="5" ht="15.75" customHeight="1" s="222">
      <c r="A5" s="225" t="inlineStr">
        <is>
          <t>№ пп.</t>
        </is>
      </c>
      <c r="B5" s="225" t="inlineStr">
        <is>
          <t>Наименование элемента</t>
        </is>
      </c>
      <c r="C5" s="225" t="inlineStr">
        <is>
          <t>Обозначение</t>
        </is>
      </c>
      <c r="D5" s="225" t="inlineStr">
        <is>
          <t>Формула</t>
        </is>
      </c>
      <c r="E5" s="225" t="inlineStr">
        <is>
          <t>Величина элемента</t>
        </is>
      </c>
      <c r="F5" s="225" t="inlineStr">
        <is>
          <t>Наименования обосновывающих документов</t>
        </is>
      </c>
      <c r="G5" s="253" t="n"/>
    </row>
    <row r="6" ht="15.75" customHeight="1" s="222">
      <c r="A6" s="225" t="n">
        <v>1</v>
      </c>
      <c r="B6" s="225" t="n">
        <v>2</v>
      </c>
      <c r="C6" s="225" t="n">
        <v>3</v>
      </c>
      <c r="D6" s="225" t="n">
        <v>4</v>
      </c>
      <c r="E6" s="225" t="n">
        <v>5</v>
      </c>
      <c r="F6" s="225" t="n">
        <v>6</v>
      </c>
      <c r="G6" s="253" t="n"/>
    </row>
    <row r="7" ht="110.25" customHeight="1" s="222">
      <c r="A7" s="226" t="inlineStr">
        <is>
          <t>1.1</t>
        </is>
      </c>
      <c r="B7" s="2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8" t="inlineStr">
        <is>
          <t>С1ср</t>
        </is>
      </c>
      <c r="D7" s="268" t="inlineStr">
        <is>
          <t>-</t>
        </is>
      </c>
      <c r="E7" s="229" t="n">
        <v>47872.94</v>
      </c>
      <c r="F7" s="2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3" t="n"/>
    </row>
    <row r="8" ht="31.5" customHeight="1" s="222">
      <c r="A8" s="226" t="inlineStr">
        <is>
          <t>1.2</t>
        </is>
      </c>
      <c r="B8" s="231" t="inlineStr">
        <is>
          <t>Среднегодовое нормативное число часов работы одного рабочего в месяц, часы (ч.)</t>
        </is>
      </c>
      <c r="C8" s="268" t="inlineStr">
        <is>
          <t>tср</t>
        </is>
      </c>
      <c r="D8" s="268" t="inlineStr">
        <is>
          <t>1973ч/12мес.</t>
        </is>
      </c>
      <c r="E8" s="230">
        <f>1973/12</f>
        <v/>
      </c>
      <c r="F8" s="231" t="inlineStr">
        <is>
          <t>Производственный календарь 2023 год
(40-часов.неделя)</t>
        </is>
      </c>
      <c r="G8" s="233" t="n"/>
    </row>
    <row r="9" ht="15.75" customHeight="1" s="222">
      <c r="A9" s="226" t="inlineStr">
        <is>
          <t>1.3</t>
        </is>
      </c>
      <c r="B9" s="231" t="inlineStr">
        <is>
          <t>Коэффициент увеличения</t>
        </is>
      </c>
      <c r="C9" s="268" t="inlineStr">
        <is>
          <t>Кув</t>
        </is>
      </c>
      <c r="D9" s="268" t="inlineStr">
        <is>
          <t>-</t>
        </is>
      </c>
      <c r="E9" s="230" t="n">
        <v>1</v>
      </c>
      <c r="F9" s="231" t="n"/>
      <c r="G9" s="233" t="n"/>
    </row>
    <row r="10" ht="15.75" customHeight="1" s="222">
      <c r="A10" s="226" t="inlineStr">
        <is>
          <t>1.4</t>
        </is>
      </c>
      <c r="B10" s="231" t="inlineStr">
        <is>
          <t>Средний разряд работ</t>
        </is>
      </c>
      <c r="C10" s="268" t="n"/>
      <c r="D10" s="268" t="n"/>
      <c r="E10" s="361" t="n">
        <v>3.6</v>
      </c>
      <c r="F10" s="231" t="inlineStr">
        <is>
          <t>РТМ</t>
        </is>
      </c>
      <c r="G10" s="233" t="n"/>
    </row>
    <row r="11" ht="78.75" customHeight="1" s="222">
      <c r="A11" s="226" t="inlineStr">
        <is>
          <t>1.5</t>
        </is>
      </c>
      <c r="B11" s="231" t="inlineStr">
        <is>
          <t>Тарифный коэффициент среднего разряда работ</t>
        </is>
      </c>
      <c r="C11" s="268" t="inlineStr">
        <is>
          <t>КТ</t>
        </is>
      </c>
      <c r="D11" s="268" t="inlineStr">
        <is>
          <t>-</t>
        </is>
      </c>
      <c r="E11" s="362" t="n">
        <v>1.278</v>
      </c>
      <c r="F11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3" t="n"/>
    </row>
    <row r="12" ht="78.75" customHeight="1" s="222">
      <c r="A12" s="226" t="inlineStr">
        <is>
          <t>1.6</t>
        </is>
      </c>
      <c r="B12" s="236" t="inlineStr">
        <is>
          <t>Коэффициент инфляции, определяемый поквартально</t>
        </is>
      </c>
      <c r="C12" s="268" t="inlineStr">
        <is>
          <t>Кинф</t>
        </is>
      </c>
      <c r="D12" s="268" t="inlineStr">
        <is>
          <t>-</t>
        </is>
      </c>
      <c r="E12" s="363" t="n">
        <v>1.139</v>
      </c>
      <c r="F12" s="2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3" t="n"/>
    </row>
    <row r="13" ht="63" customHeight="1" s="222">
      <c r="A13" s="239" t="inlineStr">
        <is>
          <t>1.7</t>
        </is>
      </c>
      <c r="B13" s="240" t="inlineStr">
        <is>
          <t>Размер средств на оплату труда рабочих-строителей в текущем уровне цен (ФОТр.тек.), руб/чел.-ч</t>
        </is>
      </c>
      <c r="C13" s="241" t="inlineStr">
        <is>
          <t>ФОТр.тек.</t>
        </is>
      </c>
      <c r="D13" s="241" t="inlineStr">
        <is>
          <t>(С1ср/tср*КТ*Т*Кув)*Кинф</t>
        </is>
      </c>
      <c r="E13" s="242">
        <f>((E7*E9/E8)*E11)*E12</f>
        <v/>
      </c>
      <c r="F13" s="2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3" t="n"/>
    </row>
    <row r="14" ht="15.75" customHeight="1" s="222">
      <c r="A14" s="244" t="n"/>
      <c r="B14" s="245" t="inlineStr">
        <is>
          <t>Инженер I категории</t>
        </is>
      </c>
      <c r="C14" s="245" t="n"/>
      <c r="D14" s="245" t="n"/>
      <c r="E14" s="245" t="n"/>
      <c r="F14" s="246" t="n"/>
    </row>
    <row r="15" ht="110.25" customHeight="1" s="222">
      <c r="A15" s="226" t="inlineStr">
        <is>
          <t>1.1</t>
        </is>
      </c>
      <c r="B15" s="2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8" t="inlineStr">
        <is>
          <t>С1ср</t>
        </is>
      </c>
      <c r="D15" s="268" t="inlineStr">
        <is>
          <t>-</t>
        </is>
      </c>
      <c r="E15" s="229" t="n">
        <v>47872.94</v>
      </c>
      <c r="F15" s="2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53" t="n"/>
    </row>
    <row r="16" ht="31.5" customHeight="1" s="222">
      <c r="A16" s="226" t="inlineStr">
        <is>
          <t>1.2</t>
        </is>
      </c>
      <c r="B16" s="231" t="inlineStr">
        <is>
          <t>Среднегодовое нормативное число часов работы одного рабочего в месяц, часы (ч.)</t>
        </is>
      </c>
      <c r="C16" s="268" t="inlineStr">
        <is>
          <t>tср</t>
        </is>
      </c>
      <c r="D16" s="268" t="inlineStr">
        <is>
          <t>1973ч/12мес.</t>
        </is>
      </c>
      <c r="E16" s="230">
        <f>1973/12</f>
        <v/>
      </c>
      <c r="F16" s="231" t="inlineStr">
        <is>
          <t>Производственный календарь 2023 год
(40-часов.неделя)</t>
        </is>
      </c>
      <c r="G16" s="233" t="n"/>
    </row>
    <row r="17" ht="15.75" customHeight="1" s="222">
      <c r="A17" s="226" t="inlineStr">
        <is>
          <t>1.3</t>
        </is>
      </c>
      <c r="B17" s="231" t="inlineStr">
        <is>
          <t>Коэффициент увеличения</t>
        </is>
      </c>
      <c r="C17" s="268" t="inlineStr">
        <is>
          <t>Кув</t>
        </is>
      </c>
      <c r="D17" s="268" t="inlineStr">
        <is>
          <t>-</t>
        </is>
      </c>
      <c r="E17" s="230" t="n">
        <v>1</v>
      </c>
      <c r="F17" s="231" t="n"/>
      <c r="G17" s="233" t="n"/>
    </row>
    <row r="18" ht="15.75" customHeight="1" s="222">
      <c r="A18" s="226" t="inlineStr">
        <is>
          <t>1.4</t>
        </is>
      </c>
      <c r="B18" s="231" t="inlineStr">
        <is>
          <t>Средний разряд работ</t>
        </is>
      </c>
      <c r="C18" s="268" t="n"/>
      <c r="D18" s="268" t="n"/>
      <c r="E18" s="361" t="inlineStr">
        <is>
          <t>Инженер I категории</t>
        </is>
      </c>
      <c r="F18" s="231" t="inlineStr">
        <is>
          <t>РТМ</t>
        </is>
      </c>
      <c r="G18" s="233" t="n"/>
    </row>
    <row r="19" ht="78.75" customHeight="1" s="222">
      <c r="A19" s="239" t="inlineStr">
        <is>
          <t>1.5</t>
        </is>
      </c>
      <c r="B19" s="243" t="inlineStr">
        <is>
          <t>Тарифный коэффициент среднего разряда работ</t>
        </is>
      </c>
      <c r="C19" s="241" t="inlineStr">
        <is>
          <t>КТ</t>
        </is>
      </c>
      <c r="D19" s="241" t="inlineStr">
        <is>
          <t>-</t>
        </is>
      </c>
      <c r="E19" s="364" t="n">
        <v>2.15</v>
      </c>
      <c r="F19" s="2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53" t="n"/>
    </row>
    <row r="20" ht="78.75" customHeight="1" s="222">
      <c r="A20" s="226" t="inlineStr">
        <is>
          <t>1.6</t>
        </is>
      </c>
      <c r="B20" s="236" t="inlineStr">
        <is>
          <t>Коэффициент инфляции, определяемый поквартально</t>
        </is>
      </c>
      <c r="C20" s="268" t="inlineStr">
        <is>
          <t>Кинф</t>
        </is>
      </c>
      <c r="D20" s="268" t="inlineStr">
        <is>
          <t>-</t>
        </is>
      </c>
      <c r="E20" s="363" t="n">
        <v>1.139</v>
      </c>
      <c r="F20" s="2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33" t="n"/>
    </row>
    <row r="21" ht="63" customHeight="1" s="222">
      <c r="A21" s="226" t="inlineStr">
        <is>
          <t>1.7</t>
        </is>
      </c>
      <c r="B21" s="248" t="inlineStr">
        <is>
          <t>Размер средств на оплату труда рабочих-строителей в текущем уровне цен (ФОТр.тек.), руб/чел.-ч</t>
        </is>
      </c>
      <c r="C21" s="268" t="inlineStr">
        <is>
          <t>ФОТр.тек.</t>
        </is>
      </c>
      <c r="D21" s="268" t="inlineStr">
        <is>
          <t>(С1ср/tср*КТ*Т*Кув)*Кинф</t>
        </is>
      </c>
      <c r="E21" s="249">
        <f>((E15*E17/E16)*E19)*E20</f>
        <v/>
      </c>
      <c r="F21" s="2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53" t="n"/>
    </row>
    <row r="22" ht="15.75" customHeight="1" s="222">
      <c r="A22" s="244" t="n"/>
      <c r="B22" s="245" t="inlineStr">
        <is>
          <t>Инженер II категории</t>
        </is>
      </c>
      <c r="C22" s="245" t="n"/>
      <c r="D22" s="245" t="n"/>
      <c r="E22" s="245" t="n"/>
      <c r="F22" s="246" t="n"/>
    </row>
    <row r="23" ht="110.25" customHeight="1" s="222">
      <c r="A23" s="226" t="inlineStr">
        <is>
          <t>1.1</t>
        </is>
      </c>
      <c r="B23" s="2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8" t="inlineStr">
        <is>
          <t>С1ср</t>
        </is>
      </c>
      <c r="D23" s="268" t="inlineStr">
        <is>
          <t>-</t>
        </is>
      </c>
      <c r="E23" s="229" t="n">
        <v>47872.94</v>
      </c>
      <c r="F23" s="2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53" t="n"/>
    </row>
    <row r="24" ht="31.5" customHeight="1" s="222">
      <c r="A24" s="226" t="inlineStr">
        <is>
          <t>1.2</t>
        </is>
      </c>
      <c r="B24" s="231" t="inlineStr">
        <is>
          <t>Среднегодовое нормативное число часов работы одного рабочего в месяц, часы (ч.)</t>
        </is>
      </c>
      <c r="C24" s="268" t="inlineStr">
        <is>
          <t>tср</t>
        </is>
      </c>
      <c r="D24" s="268" t="inlineStr">
        <is>
          <t>1973ч/12мес.</t>
        </is>
      </c>
      <c r="E24" s="230">
        <f>1973/12</f>
        <v/>
      </c>
      <c r="F24" s="231" t="inlineStr">
        <is>
          <t>Производственный календарь 2023 год
(40-часов.неделя)</t>
        </is>
      </c>
      <c r="G24" s="233" t="n"/>
    </row>
    <row r="25" ht="15.75" customHeight="1" s="222">
      <c r="A25" s="226" t="inlineStr">
        <is>
          <t>1.3</t>
        </is>
      </c>
      <c r="B25" s="231" t="inlineStr">
        <is>
          <t>Коэффициент увеличения</t>
        </is>
      </c>
      <c r="C25" s="268" t="inlineStr">
        <is>
          <t>Кув</t>
        </is>
      </c>
      <c r="D25" s="268" t="inlineStr">
        <is>
          <t>-</t>
        </is>
      </c>
      <c r="E25" s="230" t="n">
        <v>1</v>
      </c>
      <c r="F25" s="231" t="n"/>
      <c r="G25" s="233" t="n"/>
    </row>
    <row r="26" ht="15.75" customHeight="1" s="222">
      <c r="A26" s="226" t="inlineStr">
        <is>
          <t>1.4</t>
        </is>
      </c>
      <c r="B26" s="231" t="inlineStr">
        <is>
          <t>Средний разряд работ</t>
        </is>
      </c>
      <c r="C26" s="268" t="n"/>
      <c r="D26" s="268" t="n"/>
      <c r="E26" s="361" t="inlineStr">
        <is>
          <t>Инженер II категории</t>
        </is>
      </c>
      <c r="F26" s="231" t="inlineStr">
        <is>
          <t>РТМ</t>
        </is>
      </c>
      <c r="G26" s="233" t="n"/>
    </row>
    <row r="27" ht="78.75" customHeight="1" s="222">
      <c r="A27" s="239" t="inlineStr">
        <is>
          <t>1.5</t>
        </is>
      </c>
      <c r="B27" s="243" t="inlineStr">
        <is>
          <t>Тарифный коэффициент среднего разряда работ</t>
        </is>
      </c>
      <c r="C27" s="241" t="inlineStr">
        <is>
          <t>КТ</t>
        </is>
      </c>
      <c r="D27" s="241" t="inlineStr">
        <is>
          <t>-</t>
        </is>
      </c>
      <c r="E27" s="364" t="n">
        <v>1.96</v>
      </c>
      <c r="F27" s="2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53" t="n"/>
    </row>
    <row r="28" ht="78.75" customHeight="1" s="222">
      <c r="A28" s="226" t="inlineStr">
        <is>
          <t>1.6</t>
        </is>
      </c>
      <c r="B28" s="236" t="inlineStr">
        <is>
          <t>Коэффициент инфляции, определяемый поквартально</t>
        </is>
      </c>
      <c r="C28" s="268" t="inlineStr">
        <is>
          <t>Кинф</t>
        </is>
      </c>
      <c r="D28" s="268" t="inlineStr">
        <is>
          <t>-</t>
        </is>
      </c>
      <c r="E28" s="363" t="n">
        <v>1.139</v>
      </c>
      <c r="F28" s="2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33" t="n"/>
    </row>
    <row r="29" ht="63" customHeight="1" s="222">
      <c r="A29" s="226" t="inlineStr">
        <is>
          <t>1.7</t>
        </is>
      </c>
      <c r="B29" s="248" t="inlineStr">
        <is>
          <t>Размер средств на оплату труда рабочих-строителей в текущем уровне цен (ФОТр.тек.), руб/чел.-ч</t>
        </is>
      </c>
      <c r="C29" s="268" t="inlineStr">
        <is>
          <t>ФОТр.тек.</t>
        </is>
      </c>
      <c r="D29" s="268" t="inlineStr">
        <is>
          <t>(С1ср/tср*КТ*Т*Кув)*Кинф</t>
        </is>
      </c>
      <c r="E29" s="249">
        <f>((E23*E25/E24)*E27)*E28</f>
        <v/>
      </c>
      <c r="F29" s="2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53" t="n"/>
    </row>
  </sheetData>
  <mergeCells count="1">
    <mergeCell ref="A2:F2"/>
  </mergeCells>
  <pageMargins left="0.7" right="0.7" top="0.75" bottom="0.75" header="0.3" footer="0.3"/>
  <pageSetup orientation="portrait" scale="58"/>
  <rowBreaks count="1" manualBreakCount="1">
    <brk id="21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2025-01-24T12:11:59Z</dcterms:modified>
  <cp:lastModifiedBy>Nikolay Ivanov</cp:lastModifiedBy>
  <cp:lastPrinted>2023-11-29T09:01:04Z</cp:lastPrinted>
</cp:coreProperties>
</file>