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pivotButton="0" quotePrefix="0" xfId="0"/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0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7" customWidth="1" style="240" min="4" max="4"/>
    <col width="37.42578125" customWidth="1" style="240" min="5" max="5"/>
    <col width="9.140625" customWidth="1" style="240" min="6" max="6"/>
  </cols>
  <sheetData>
    <row r="3">
      <c r="B3" s="276" t="inlineStr">
        <is>
          <t>Приложение № 1</t>
        </is>
      </c>
    </row>
    <row r="4">
      <c r="B4" s="277" t="inlineStr">
        <is>
          <t>Сравнительная таблица отбора объекта-представителя</t>
        </is>
      </c>
    </row>
    <row r="5" ht="84" customHeight="1" s="238">
      <c r="B5" s="28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8">
      <c r="B6" s="126" t="n"/>
      <c r="C6" s="126" t="n"/>
      <c r="D6" s="126" t="n"/>
    </row>
    <row r="7" ht="64.5" customHeight="1" s="238">
      <c r="B7" s="278" t="inlineStr">
        <is>
          <t>Наименование разрабатываемого показателя УНЦ - Демонтаж трансформаторов напряжения 35 кВ</t>
        </is>
      </c>
    </row>
    <row r="8" ht="31.5" customHeight="1" s="238">
      <c r="B8" s="279" t="inlineStr">
        <is>
          <t>Сопоставимый уровень цен: 01.01.2000</t>
        </is>
      </c>
    </row>
    <row r="9" ht="15.75" customHeight="1" s="238">
      <c r="B9" s="279" t="inlineStr">
        <is>
          <t>Единица измерения  — 1 ед.</t>
        </is>
      </c>
    </row>
    <row r="10">
      <c r="B10" s="279" t="n"/>
    </row>
    <row r="11">
      <c r="B11" s="283" t="inlineStr">
        <is>
          <t>№ п/п</t>
        </is>
      </c>
      <c r="C11" s="283" t="inlineStr">
        <is>
          <t>Параметр</t>
        </is>
      </c>
      <c r="D11" s="283" t="inlineStr">
        <is>
          <t>Объект-представитель</t>
        </is>
      </c>
      <c r="E11" s="128" t="n"/>
    </row>
    <row r="12" ht="96.75" customHeight="1" s="238">
      <c r="B12" s="283" t="n">
        <v>1</v>
      </c>
      <c r="C12" s="292" t="inlineStr">
        <is>
          <t>Наименование объекта-представителя</t>
        </is>
      </c>
      <c r="D12" s="266" t="inlineStr">
        <is>
          <t>ПС 35 кВ Ужовка-2 (МРСК Центра и Приволжья)</t>
        </is>
      </c>
    </row>
    <row r="13">
      <c r="B13" s="283" t="n">
        <v>2</v>
      </c>
      <c r="C13" s="292" t="inlineStr">
        <is>
          <t>Наименование субъекта Российской Федерации</t>
        </is>
      </c>
      <c r="D13" s="266" t="inlineStr">
        <is>
          <t>Нижегородская обл.</t>
        </is>
      </c>
    </row>
    <row r="14">
      <c r="B14" s="283" t="n">
        <v>3</v>
      </c>
      <c r="C14" s="292" t="inlineStr">
        <is>
          <t>Климатический район и подрайон</t>
        </is>
      </c>
      <c r="D14" s="267" t="inlineStr">
        <is>
          <t>IIB</t>
        </is>
      </c>
    </row>
    <row r="15">
      <c r="B15" s="283" t="n">
        <v>4</v>
      </c>
      <c r="C15" s="292" t="inlineStr">
        <is>
          <t>Мощность объекта</t>
        </is>
      </c>
      <c r="D15" s="283" t="n">
        <v>1</v>
      </c>
    </row>
    <row r="16" ht="141.75" customHeight="1" s="238">
      <c r="B16" s="28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3" t="inlineStr">
        <is>
          <t>Измерительный, одноступенчатый, масляный трансформатор марки VEF 36V УХЛ1 с устройством ж/б фундамента
Шкаф защит ШЗН-1Б-73 УХЛ1 - 1 шт.
Ящик АВР цепей напряжения ЯАВР2.1-АСКУЭ-220В - 1 шт.
Ящик цепей напряжения ЯЗН-11-АСКУЭ - 1 шт.</t>
        </is>
      </c>
    </row>
    <row r="17" ht="79.5" customHeight="1" s="238">
      <c r="B17" s="28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8">
        <f>D18+D19</f>
        <v/>
      </c>
      <c r="E17" s="129" t="n"/>
    </row>
    <row r="18">
      <c r="B18" s="130" t="inlineStr">
        <is>
          <t>6.1</t>
        </is>
      </c>
      <c r="C18" s="292" t="inlineStr">
        <is>
          <t>строительно-монтажные работы</t>
        </is>
      </c>
      <c r="D18" s="268">
        <f>'Прил.2 Расч стоим'!F14</f>
        <v/>
      </c>
    </row>
    <row r="19" ht="15.75" customHeight="1" s="238">
      <c r="B19" s="130" t="inlineStr">
        <is>
          <t>6.2</t>
        </is>
      </c>
      <c r="C19" s="292" t="inlineStr">
        <is>
          <t>оборудование и инвентарь</t>
        </is>
      </c>
      <c r="D19" s="268" t="n">
        <v>0</v>
      </c>
    </row>
    <row r="20" ht="16.5" customHeight="1" s="238">
      <c r="B20" s="130" t="inlineStr">
        <is>
          <t>6.3</t>
        </is>
      </c>
      <c r="C20" s="292" t="inlineStr">
        <is>
          <t>пусконаладочные работы</t>
        </is>
      </c>
      <c r="D20" s="268" t="n"/>
    </row>
    <row r="21" ht="35.25" customHeight="1" s="238">
      <c r="B21" s="130" t="inlineStr">
        <is>
          <t>6.4</t>
        </is>
      </c>
      <c r="C21" s="131" t="inlineStr">
        <is>
          <t>прочие и лимитированные затраты</t>
        </is>
      </c>
      <c r="D21" s="268" t="n"/>
    </row>
    <row r="22">
      <c r="B22" s="283" t="n">
        <v>7</v>
      </c>
      <c r="C22" s="131" t="inlineStr">
        <is>
          <t>Сопоставимый уровень цен</t>
        </is>
      </c>
      <c r="D22" s="283" t="inlineStr">
        <is>
          <t>2 квартал 2011</t>
        </is>
      </c>
      <c r="E22" s="132" t="n"/>
    </row>
    <row r="23" ht="123" customHeight="1" s="238">
      <c r="B23" s="283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8">
        <f>D17</f>
        <v/>
      </c>
      <c r="E23" s="129" t="n"/>
    </row>
    <row r="24" ht="31.5" customHeight="1" s="238">
      <c r="B24" s="28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268">
        <f>D17/D15</f>
        <v/>
      </c>
      <c r="E24" s="132" t="n"/>
    </row>
    <row r="25">
      <c r="B25" s="283" t="n">
        <v>10</v>
      </c>
      <c r="C25" s="292" t="inlineStr">
        <is>
          <t>Примечание</t>
        </is>
      </c>
      <c r="D25" s="283" t="n"/>
    </row>
    <row r="26">
      <c r="B26" s="134" t="n"/>
      <c r="C26" s="135" t="n"/>
      <c r="D26" s="135" t="n"/>
    </row>
    <row r="27">
      <c r="B27" s="118" t="n"/>
    </row>
    <row r="28">
      <c r="B28" s="240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276" t="inlineStr">
        <is>
          <t>Приложение № 2</t>
        </is>
      </c>
      <c r="K3" s="118" t="n"/>
    </row>
    <row r="4">
      <c r="B4" s="277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38">
      <c r="B6" s="279">
        <f>'Прил.1 Сравнит табл'!B7:D7</f>
        <v/>
      </c>
    </row>
    <row r="7">
      <c r="B7" s="279">
        <f>'Прил.1 Сравнит табл'!B9:D9</f>
        <v/>
      </c>
    </row>
    <row r="8" ht="18.75" customHeight="1" s="238">
      <c r="B8" s="113" t="n"/>
    </row>
    <row r="9" ht="15.75" customHeight="1" s="238">
      <c r="B9" s="283" t="inlineStr">
        <is>
          <t>№ п/п</t>
        </is>
      </c>
      <c r="C9" s="28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3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38">
      <c r="B10" s="379" t="n"/>
      <c r="C10" s="379" t="n"/>
      <c r="D10" s="283" t="inlineStr">
        <is>
          <t>Номер сметы</t>
        </is>
      </c>
      <c r="E10" s="283" t="inlineStr">
        <is>
          <t>Наименование сметы</t>
        </is>
      </c>
      <c r="F10" s="283" t="inlineStr">
        <is>
          <t>Сметная стоимость в уровне цен 2 кв. 2011г., тыс. руб.</t>
        </is>
      </c>
      <c r="G10" s="377" t="n"/>
      <c r="H10" s="377" t="n"/>
      <c r="I10" s="377" t="n"/>
      <c r="J10" s="378" t="n"/>
    </row>
    <row r="11" ht="31.5" customHeight="1" s="238">
      <c r="B11" s="380" t="n"/>
      <c r="C11" s="380" t="n"/>
      <c r="D11" s="380" t="n"/>
      <c r="E11" s="380" t="n"/>
      <c r="F11" s="283" t="inlineStr">
        <is>
          <t>Строительные работы</t>
        </is>
      </c>
      <c r="G11" s="283" t="inlineStr">
        <is>
          <t>Монтажные работы</t>
        </is>
      </c>
      <c r="H11" s="283" t="inlineStr">
        <is>
          <t>Оборудование</t>
        </is>
      </c>
      <c r="I11" s="283" t="inlineStr">
        <is>
          <t>Прочее</t>
        </is>
      </c>
      <c r="J11" s="283" t="inlineStr">
        <is>
          <t>Всего</t>
        </is>
      </c>
    </row>
    <row r="12" ht="15" customHeight="1" s="238">
      <c r="B12" s="283" t="n"/>
      <c r="C12" s="221" t="inlineStr">
        <is>
          <t>Демонтаж трансформаторов напряжения 35 кВ</t>
        </is>
      </c>
      <c r="D12" s="283" t="n"/>
      <c r="E12" s="283" t="n"/>
      <c r="F12" s="283" t="n">
        <v>96.355897</v>
      </c>
      <c r="G12" s="378" t="n"/>
      <c r="H12" s="283" t="n">
        <v>0</v>
      </c>
      <c r="I12" s="283" t="n"/>
      <c r="J12" s="283" t="n">
        <v>96.355897</v>
      </c>
    </row>
    <row r="13" ht="15" customHeight="1" s="238">
      <c r="B13" s="286" t="inlineStr">
        <is>
          <t>Всего по объекту:</t>
        </is>
      </c>
      <c r="C13" s="377" t="n"/>
      <c r="D13" s="377" t="n"/>
      <c r="E13" s="378" t="n"/>
      <c r="F13" s="120" t="n"/>
      <c r="G13" s="120" t="n"/>
      <c r="H13" s="120" t="n"/>
      <c r="I13" s="120" t="n"/>
      <c r="J13" s="120" t="n"/>
    </row>
    <row r="14" ht="15.75" customHeight="1" s="238">
      <c r="B14" s="286" t="inlineStr">
        <is>
          <t>Всего по объекту в сопоставимом уровне цен 2кв. 2011г:</t>
        </is>
      </c>
      <c r="C14" s="377" t="n"/>
      <c r="D14" s="377" t="n"/>
      <c r="E14" s="378" t="n"/>
      <c r="F14" s="381">
        <f>F12</f>
        <v/>
      </c>
      <c r="G14" s="378" t="n"/>
      <c r="H14" s="120">
        <f>H12</f>
        <v/>
      </c>
      <c r="I14" s="120" t="n"/>
      <c r="J14" s="120">
        <f>J12</f>
        <v/>
      </c>
    </row>
    <row r="15" ht="15.75" customHeight="1" s="238"/>
    <row r="16" ht="15.75" customHeight="1" s="238"/>
    <row r="17" ht="15" customHeight="1" s="238"/>
    <row r="18" ht="15" customHeight="1" s="238"/>
    <row r="19" ht="15" customHeight="1" s="238"/>
    <row r="20" ht="15" customHeight="1" s="238">
      <c r="C20" s="237" t="inlineStr">
        <is>
          <t>Составил ______________________     Д.Ю. Нефедова</t>
        </is>
      </c>
      <c r="D20" s="235" t="n"/>
      <c r="E20" s="235" t="n"/>
    </row>
    <row r="21" ht="15" customHeight="1" s="238">
      <c r="C21" s="234" t="inlineStr">
        <is>
          <t xml:space="preserve">                         (подпись, инициалы, фамилия)</t>
        </is>
      </c>
      <c r="D21" s="235" t="n"/>
      <c r="E21" s="235" t="n"/>
    </row>
    <row r="22" ht="15" customHeight="1" s="238">
      <c r="C22" s="237" t="n"/>
      <c r="D22" s="235" t="n"/>
      <c r="E22" s="235" t="n"/>
    </row>
    <row r="23">
      <c r="C23" s="237" t="inlineStr">
        <is>
          <t>Проверил ______________________        А.В. Костянецкая</t>
        </is>
      </c>
      <c r="D23" s="235" t="n"/>
      <c r="E23" s="235" t="n"/>
    </row>
    <row r="24">
      <c r="C24" s="234" t="inlineStr">
        <is>
          <t xml:space="preserve">                        (подпись, инициалы, фамилия)</t>
        </is>
      </c>
      <c r="D24" s="235" t="n"/>
      <c r="E24" s="235" t="n"/>
    </row>
    <row r="26" ht="15" customHeight="1" s="238"/>
    <row r="28" ht="15" customHeight="1" s="238"/>
    <row r="29" ht="15" customHeight="1" s="238"/>
    <row r="30" ht="15" customHeight="1" s="23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2"/>
  <sheetViews>
    <sheetView view="pageBreakPreview" topLeftCell="A43" workbookViewId="0">
      <selection activeCell="C58" sqref="C58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9"/>
    <col width="15.5703125" customWidth="1" style="240" min="10" max="10"/>
    <col width="15" customWidth="1" style="240" min="11" max="11"/>
    <col width="9.140625" customWidth="1" style="240" min="12" max="12"/>
  </cols>
  <sheetData>
    <row r="2">
      <c r="A2" s="276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 ht="18.75" customHeight="1" s="238">
      <c r="A4" s="28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79" t="n"/>
    </row>
    <row r="6">
      <c r="A6" s="287" t="inlineStr">
        <is>
          <t>Наименование разрабатываемого показателя УНЦ -  Демонтаж трансформаторов напряжения 35 кВ</t>
        </is>
      </c>
    </row>
    <row r="7" s="238">
      <c r="A7" s="287" t="n"/>
      <c r="B7" s="287" t="n"/>
      <c r="C7" s="287" t="n"/>
      <c r="D7" s="287" t="n"/>
      <c r="E7" s="287" t="n"/>
      <c r="F7" s="287" t="n"/>
      <c r="G7" s="287" t="n"/>
      <c r="H7" s="287" t="n"/>
      <c r="I7" s="240" t="n"/>
      <c r="J7" s="240" t="n"/>
      <c r="K7" s="240" t="n"/>
      <c r="L7" s="240" t="n"/>
    </row>
    <row r="8">
      <c r="A8" s="287" t="n"/>
      <c r="B8" s="287" t="n"/>
      <c r="C8" s="287" t="n"/>
      <c r="D8" s="287" t="n"/>
      <c r="E8" s="287" t="n"/>
      <c r="F8" s="287" t="n"/>
      <c r="G8" s="287" t="n"/>
      <c r="H8" s="287" t="n"/>
    </row>
    <row r="9" ht="38.25" customHeight="1" s="238">
      <c r="A9" s="283" t="inlineStr">
        <is>
          <t>п/п</t>
        </is>
      </c>
      <c r="B9" s="283" t="inlineStr">
        <is>
          <t>№ЛСР</t>
        </is>
      </c>
      <c r="C9" s="283" t="inlineStr">
        <is>
          <t>Код ресурса</t>
        </is>
      </c>
      <c r="D9" s="283" t="inlineStr">
        <is>
          <t>Наименование ресурса</t>
        </is>
      </c>
      <c r="E9" s="283" t="inlineStr">
        <is>
          <t>Ед. изм.</t>
        </is>
      </c>
      <c r="F9" s="283" t="inlineStr">
        <is>
          <t>Кол-во единиц по данным объекта-представителя</t>
        </is>
      </c>
      <c r="G9" s="283" t="inlineStr">
        <is>
          <t>Сметная стоимость в ценах на 01.01.2000 (руб.)</t>
        </is>
      </c>
      <c r="H9" s="378" t="n"/>
    </row>
    <row r="10" ht="40.5" customHeight="1" s="238">
      <c r="A10" s="380" t="n"/>
      <c r="B10" s="380" t="n"/>
      <c r="C10" s="380" t="n"/>
      <c r="D10" s="380" t="n"/>
      <c r="E10" s="380" t="n"/>
      <c r="F10" s="380" t="n"/>
      <c r="G10" s="283" t="inlineStr">
        <is>
          <t>на ед.изм.</t>
        </is>
      </c>
      <c r="H10" s="28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9">
      <c r="A12" s="293" t="inlineStr">
        <is>
          <t>Затраты труда рабочих</t>
        </is>
      </c>
      <c r="B12" s="377" t="n"/>
      <c r="C12" s="377" t="n"/>
      <c r="D12" s="377" t="n"/>
      <c r="E12" s="378" t="n"/>
      <c r="F12" s="382" t="n">
        <v>627.9646776505</v>
      </c>
      <c r="G12" s="10" t="n"/>
      <c r="H12" s="382">
        <f>SUM(H13:H15)</f>
        <v/>
      </c>
    </row>
    <row r="13">
      <c r="A13" s="140" t="n">
        <v>1</v>
      </c>
      <c r="B13" s="141" t="n"/>
      <c r="C13" s="208" t="inlineStr">
        <is>
          <t>10-30-1</t>
        </is>
      </c>
      <c r="D13" s="209" t="inlineStr">
        <is>
          <t>Инженер I категории</t>
        </is>
      </c>
      <c r="E13" s="319" t="inlineStr">
        <is>
          <t>чел.час</t>
        </is>
      </c>
      <c r="F13" s="211" t="n">
        <v>230.5003227889</v>
      </c>
      <c r="G13" s="142" t="n">
        <v>15.49</v>
      </c>
      <c r="H13" s="176">
        <f>ROUND(F13*G13,2)</f>
        <v/>
      </c>
    </row>
    <row r="14">
      <c r="A14" s="140" t="n">
        <v>2</v>
      </c>
      <c r="B14" s="141" t="n"/>
      <c r="C14" s="208" t="inlineStr">
        <is>
          <t>10-30-2</t>
        </is>
      </c>
      <c r="D14" s="209" t="inlineStr">
        <is>
          <t>Инженер II категории</t>
        </is>
      </c>
      <c r="E14" s="319" t="inlineStr">
        <is>
          <t>чел.час</t>
        </is>
      </c>
      <c r="F14" s="211" t="n">
        <v>230.5003548616</v>
      </c>
      <c r="G14" s="142" t="n">
        <v>14.09</v>
      </c>
      <c r="H14" s="176">
        <f>ROUND(F14*G14,2)</f>
        <v/>
      </c>
    </row>
    <row r="15">
      <c r="A15" s="140" t="n">
        <v>3</v>
      </c>
      <c r="B15" s="141" t="n"/>
      <c r="C15" s="208" t="inlineStr">
        <is>
          <t>1-4-0</t>
        </is>
      </c>
      <c r="D15" s="209" t="inlineStr">
        <is>
          <t>Затраты труда рабочих (средний разряд работы 4,0)</t>
        </is>
      </c>
      <c r="E15" s="319" t="inlineStr">
        <is>
          <t>чел.час</t>
        </is>
      </c>
      <c r="F15" s="211" t="n">
        <v>166.964</v>
      </c>
      <c r="G15" s="142" t="n">
        <v>9.619999999999999</v>
      </c>
      <c r="H15" s="176">
        <f>ROUND(F15*G15,2)</f>
        <v/>
      </c>
    </row>
    <row r="16">
      <c r="A16" s="289" t="inlineStr">
        <is>
          <t>Затраты труда машинистов</t>
        </is>
      </c>
      <c r="B16" s="377" t="n"/>
      <c r="C16" s="377" t="n"/>
      <c r="D16" s="377" t="n"/>
      <c r="E16" s="378" t="n"/>
      <c r="F16" s="293" t="n"/>
      <c r="G16" s="143" t="n"/>
      <c r="H16" s="382">
        <f>H17</f>
        <v/>
      </c>
    </row>
    <row r="17">
      <c r="A17" s="301" t="n">
        <v>4</v>
      </c>
      <c r="B17" s="291" t="n"/>
      <c r="C17" s="212" t="n">
        <v>2</v>
      </c>
      <c r="D17" s="304" t="inlineStr">
        <is>
          <t>Затраты труда машинистов</t>
        </is>
      </c>
      <c r="E17" s="301" t="inlineStr">
        <is>
          <t>чел.-ч</t>
        </is>
      </c>
      <c r="F17" s="305" t="n">
        <v>79.65179999999999</v>
      </c>
      <c r="G17" s="142" t="n"/>
      <c r="H17" s="318" t="n">
        <v>928.91</v>
      </c>
    </row>
    <row r="18" customFormat="1" s="139">
      <c r="A18" s="293" t="inlineStr">
        <is>
          <t>Машины и механизмы</t>
        </is>
      </c>
      <c r="B18" s="377" t="n"/>
      <c r="C18" s="377" t="n"/>
      <c r="D18" s="377" t="n"/>
      <c r="E18" s="378" t="n"/>
      <c r="F18" s="293" t="n"/>
      <c r="G18" s="143" t="n"/>
      <c r="H18" s="382">
        <f>SUM(H19:H26)</f>
        <v/>
      </c>
    </row>
    <row r="19" ht="25.5" customHeight="1" s="238">
      <c r="A19" s="301" t="n">
        <v>5</v>
      </c>
      <c r="B19" s="291" t="n"/>
      <c r="C19" s="212" t="inlineStr">
        <is>
          <t>91.11.01-012</t>
        </is>
      </c>
      <c r="D19" s="304" t="inlineStr">
        <is>
          <t>Машины монтажные для выполнения работ при прокладке и монтаже кабеля на базе автомобиля</t>
        </is>
      </c>
      <c r="E19" s="301" t="inlineStr">
        <is>
          <t>маш.час</t>
        </is>
      </c>
      <c r="F19" s="301" t="n">
        <v>48</v>
      </c>
      <c r="G19" s="318" t="n">
        <v>110.86</v>
      </c>
      <c r="H19" s="176">
        <f>ROUND(F19*G19,2)</f>
        <v/>
      </c>
      <c r="I19" s="145" t="n"/>
      <c r="J19" s="146" t="n"/>
      <c r="L19" s="145" t="n"/>
    </row>
    <row r="20" customFormat="1" s="139">
      <c r="A20" s="301" t="n">
        <v>6</v>
      </c>
      <c r="B20" s="291" t="n"/>
      <c r="C20" s="212" t="inlineStr">
        <is>
          <t>91.10.01-002</t>
        </is>
      </c>
      <c r="D20" s="304" t="inlineStr">
        <is>
          <t>Агрегаты наполнительно-опрессовочные: до 300 м3/ч</t>
        </is>
      </c>
      <c r="E20" s="301" t="inlineStr">
        <is>
          <t>маш.час</t>
        </is>
      </c>
      <c r="F20" s="301" t="n">
        <v>10.99</v>
      </c>
      <c r="G20" s="318" t="n">
        <v>287.99</v>
      </c>
      <c r="H20" s="176">
        <f>ROUND(F20*G20,2)</f>
        <v/>
      </c>
      <c r="I20" s="145" t="n"/>
      <c r="L20" s="145" t="n"/>
    </row>
    <row r="21" ht="25.5" customHeight="1" s="238">
      <c r="A21" s="301" t="n">
        <v>7</v>
      </c>
      <c r="B21" s="291" t="n"/>
      <c r="C21" s="212" t="inlineStr">
        <is>
          <t>91.06.03-058</t>
        </is>
      </c>
      <c r="D21" s="304" t="inlineStr">
        <is>
          <t>Лебедки электрические тяговым усилием: 156,96 кН (16 т)</t>
        </is>
      </c>
      <c r="E21" s="301" t="inlineStr">
        <is>
          <t>маш.час</t>
        </is>
      </c>
      <c r="F21" s="301" t="n">
        <v>10.99</v>
      </c>
      <c r="G21" s="318" t="n">
        <v>131.44</v>
      </c>
      <c r="H21" s="176">
        <f>ROUND(F21*G21,2)</f>
        <v/>
      </c>
      <c r="I21" s="145" t="n"/>
      <c r="L21" s="145" t="n"/>
    </row>
    <row r="22" ht="25.5" customHeight="1" s="238">
      <c r="A22" s="301" t="n">
        <v>8</v>
      </c>
      <c r="B22" s="291" t="n"/>
      <c r="C22" s="212" t="inlineStr">
        <is>
          <t>91.05.05-014</t>
        </is>
      </c>
      <c r="D22" s="304" t="inlineStr">
        <is>
          <t>Краны на автомобильном ходу, грузоподъемность 10 т</t>
        </is>
      </c>
      <c r="E22" s="301" t="inlineStr">
        <is>
          <t>маш.час</t>
        </is>
      </c>
      <c r="F22" s="301" t="n">
        <v>3.88</v>
      </c>
      <c r="G22" s="318" t="n">
        <v>111.99</v>
      </c>
      <c r="H22" s="176">
        <f>ROUND(F22*G22,2)</f>
        <v/>
      </c>
      <c r="I22" s="145" t="n"/>
      <c r="L22" s="145" t="n"/>
    </row>
    <row r="23">
      <c r="A23" s="301" t="n">
        <v>9</v>
      </c>
      <c r="B23" s="291" t="n"/>
      <c r="C23" s="212" t="inlineStr">
        <is>
          <t>91.14.02-001</t>
        </is>
      </c>
      <c r="D23" s="304" t="inlineStr">
        <is>
          <t>Автомобили бортовые, грузоподъемность: до 5 т</t>
        </is>
      </c>
      <c r="E23" s="301" t="inlineStr">
        <is>
          <t>маш.час</t>
        </is>
      </c>
      <c r="F23" s="301" t="n">
        <v>2.4</v>
      </c>
      <c r="G23" s="318" t="n">
        <v>65.70999999999999</v>
      </c>
      <c r="H23" s="176">
        <f>ROUND(F23*G23,2)</f>
        <v/>
      </c>
      <c r="I23" s="145" t="n"/>
      <c r="L23" s="145" t="n"/>
    </row>
    <row r="24">
      <c r="A24" s="301" t="n">
        <v>10</v>
      </c>
      <c r="B24" s="291" t="n"/>
      <c r="C24" s="212" t="inlineStr">
        <is>
          <t>91.06.06-042</t>
        </is>
      </c>
      <c r="D24" s="304" t="inlineStr">
        <is>
          <t>Подъемники гидравлические высотой подъема: 10 м</t>
        </is>
      </c>
      <c r="E24" s="301" t="inlineStr">
        <is>
          <t>маш.час</t>
        </is>
      </c>
      <c r="F24" s="301" t="n">
        <v>1.86</v>
      </c>
      <c r="G24" s="318" t="n">
        <v>29.6</v>
      </c>
      <c r="H24" s="176">
        <f>ROUND(F24*G24,2)</f>
        <v/>
      </c>
      <c r="I24" s="145" t="n"/>
      <c r="L24" s="145" t="n"/>
    </row>
    <row r="25" ht="25.5" customHeight="1" s="238">
      <c r="A25" s="301" t="n">
        <v>11</v>
      </c>
      <c r="B25" s="291" t="n"/>
      <c r="C25" s="212" t="inlineStr">
        <is>
          <t>91.17.04-233</t>
        </is>
      </c>
      <c r="D25" s="304" t="inlineStr">
        <is>
          <t>Установки для сварки: ручной дуговой (постоянного тока)</t>
        </is>
      </c>
      <c r="E25" s="301" t="inlineStr">
        <is>
          <t>маш.час</t>
        </is>
      </c>
      <c r="F25" s="301" t="n">
        <v>4.9</v>
      </c>
      <c r="G25" s="318" t="n">
        <v>8.1</v>
      </c>
      <c r="H25" s="176">
        <f>ROUND(F25*G25,2)</f>
        <v/>
      </c>
      <c r="I25" s="145" t="n"/>
    </row>
    <row r="26" ht="25.5" customHeight="1" s="238">
      <c r="A26" s="301" t="n">
        <v>12</v>
      </c>
      <c r="B26" s="291" t="n"/>
      <c r="C26" s="212" t="inlineStr">
        <is>
          <t>91.06.01-003</t>
        </is>
      </c>
      <c r="D26" s="304" t="inlineStr">
        <is>
          <t>Домкраты гидравлические, грузоподъемность 63-100 т</t>
        </is>
      </c>
      <c r="E26" s="301" t="inlineStr">
        <is>
          <t>маш.час</t>
        </is>
      </c>
      <c r="F26" s="301" t="n">
        <v>21.95</v>
      </c>
      <c r="G26" s="318" t="n">
        <v>0.9</v>
      </c>
      <c r="H26" s="176">
        <f>ROUND(F26*G26,2)</f>
        <v/>
      </c>
      <c r="I26" s="145" t="n"/>
    </row>
    <row r="27" ht="15" customHeight="1" s="238">
      <c r="A27" s="289" t="inlineStr">
        <is>
          <t>Оборудование</t>
        </is>
      </c>
      <c r="B27" s="377" t="n"/>
      <c r="C27" s="377" t="n"/>
      <c r="D27" s="377" t="n"/>
      <c r="E27" s="378" t="n"/>
      <c r="F27" s="10" t="n"/>
      <c r="G27" s="10" t="n"/>
      <c r="H27" s="382">
        <f>SUM(H28:H30)</f>
        <v/>
      </c>
    </row>
    <row r="28" ht="25.5" customHeight="1" s="238">
      <c r="A28" s="140" t="n">
        <v>13</v>
      </c>
      <c r="B28" s="289" t="n"/>
      <c r="C28" s="212" t="inlineStr">
        <is>
          <t>Прайс из СД ОП</t>
        </is>
      </c>
      <c r="D28" s="304" t="inlineStr">
        <is>
          <t>Трансформатор напряжения VEF
36V УХЛ1</t>
        </is>
      </c>
      <c r="E28" s="301" t="inlineStr">
        <is>
          <t>шт.</t>
        </is>
      </c>
      <c r="F28" s="383" t="n">
        <v>3</v>
      </c>
      <c r="G28" s="176" t="n"/>
      <c r="H28" s="176">
        <f>ROUND(F28*G28,2)</f>
        <v/>
      </c>
      <c r="I28" s="147" t="n"/>
      <c r="J28" s="384" t="n"/>
    </row>
    <row r="29" ht="25.5" customHeight="1" s="238">
      <c r="A29" s="140" t="n">
        <v>14</v>
      </c>
      <c r="B29" s="289" t="n"/>
      <c r="C29" s="212" t="inlineStr">
        <is>
          <t>Прайс из СД ОП</t>
        </is>
      </c>
      <c r="D29" s="304" t="inlineStr">
        <is>
          <t>Ящик АВР цепей напряжения
ЯАВР2.1-АСКУЭ-220В</t>
        </is>
      </c>
      <c r="E29" s="301" t="inlineStr">
        <is>
          <t>шт.</t>
        </is>
      </c>
      <c r="F29" s="383" t="n">
        <v>1</v>
      </c>
      <c r="G29" s="176" t="n"/>
      <c r="H29" s="176">
        <f>ROUND(F29*G29,2)</f>
        <v/>
      </c>
      <c r="I29" s="147" t="n"/>
      <c r="J29" s="384" t="n"/>
    </row>
    <row r="30" ht="25.5" customHeight="1" s="238">
      <c r="A30" s="140" t="n">
        <v>15</v>
      </c>
      <c r="B30" s="289" t="n"/>
      <c r="C30" s="212" t="inlineStr">
        <is>
          <t>Прайс из СД ОП</t>
        </is>
      </c>
      <c r="D30" s="304" t="inlineStr">
        <is>
          <t>Ящик цепей напряжения ЯЗН-11-
АСКУЭ</t>
        </is>
      </c>
      <c r="E30" s="301" t="inlineStr">
        <is>
          <t>шт.</t>
        </is>
      </c>
      <c r="F30" s="383" t="n">
        <v>1</v>
      </c>
      <c r="G30" s="176" t="n"/>
      <c r="H30" s="176">
        <f>ROUND(F30*G30,2)</f>
        <v/>
      </c>
      <c r="I30" s="147" t="n"/>
      <c r="J30" s="384" t="n"/>
    </row>
    <row r="31">
      <c r="A31" s="290" t="inlineStr">
        <is>
          <t>Материалы</t>
        </is>
      </c>
      <c r="B31" s="377" t="n"/>
      <c r="C31" s="377" t="n"/>
      <c r="D31" s="377" t="n"/>
      <c r="E31" s="378" t="n"/>
      <c r="F31" s="290" t="n"/>
      <c r="G31" s="149" t="n"/>
      <c r="H31" s="382">
        <f>SUM(H32:H55)</f>
        <v/>
      </c>
    </row>
    <row r="32" ht="25.5" customHeight="1" s="238">
      <c r="A32" s="140" t="n">
        <v>16</v>
      </c>
      <c r="B32" s="291" t="n"/>
      <c r="C32" s="212" t="inlineStr">
        <is>
          <t>07.2.07.04-0004</t>
        </is>
      </c>
      <c r="D32" s="304" t="inlineStr">
        <is>
          <t>Конструкции стальные индивидуальные решетчатые сварные, масса 0,5-1 т</t>
        </is>
      </c>
      <c r="E32" s="301" t="inlineStr">
        <is>
          <t>т</t>
        </is>
      </c>
      <c r="F32" s="301" t="n">
        <v>0.3199</v>
      </c>
      <c r="G32" s="176" t="n">
        <v>10367.82</v>
      </c>
      <c r="H32" s="176">
        <f>ROUND(F32*G32,2)</f>
        <v/>
      </c>
      <c r="I32" s="147" t="n"/>
      <c r="K32" s="145" t="n"/>
    </row>
    <row r="33" ht="25.5" customHeight="1" s="238">
      <c r="A33" s="140" t="n">
        <v>17</v>
      </c>
      <c r="B33" s="291" t="n"/>
      <c r="C33" s="212" t="inlineStr">
        <is>
          <t>21.1.06.10-0411</t>
        </is>
      </c>
      <c r="D33" s="304" t="inlineStr">
        <is>
          <t>Кабель силовой с медными жилами ВВГнг(A)-LS 5х16мк(N, РЕ)-1000</t>
        </is>
      </c>
      <c r="E33" s="301" t="inlineStr">
        <is>
          <t>1000 м</t>
        </is>
      </c>
      <c r="F33" s="301" t="n">
        <v>0.021</v>
      </c>
      <c r="G33" s="176" t="n">
        <v>98440.41</v>
      </c>
      <c r="H33" s="176">
        <f>ROUND(F33*G33,2)</f>
        <v/>
      </c>
      <c r="I33" s="147" t="n"/>
      <c r="K33" s="145" t="n"/>
    </row>
    <row r="34">
      <c r="A34" s="140" t="n">
        <v>18</v>
      </c>
      <c r="B34" s="291" t="n"/>
      <c r="C34" s="212" t="inlineStr">
        <is>
          <t>05.1.05.16-0221</t>
        </is>
      </c>
      <c r="D34" s="304" t="inlineStr">
        <is>
          <t>Фундаменты сборные железобетонные ВЛ и ОРУ</t>
        </is>
      </c>
      <c r="E34" s="301" t="inlineStr">
        <is>
          <t>м3</t>
        </is>
      </c>
      <c r="F34" s="301" t="n">
        <v>1.1817</v>
      </c>
      <c r="G34" s="176" t="n">
        <v>1597.37</v>
      </c>
      <c r="H34" s="176">
        <f>ROUND(F34*G34,2)</f>
        <v/>
      </c>
      <c r="I34" s="147" t="n"/>
      <c r="K34" s="145" t="n"/>
    </row>
    <row r="35">
      <c r="A35" s="140" t="n">
        <v>19</v>
      </c>
      <c r="B35" s="291" t="n"/>
      <c r="C35" s="212" t="inlineStr">
        <is>
          <t>21.1.08.03-0574</t>
        </is>
      </c>
      <c r="D35" s="304" t="inlineStr">
        <is>
          <t>Кабель контрольный КВВГЭнг(А)-LS 4x2,5</t>
        </is>
      </c>
      <c r="E35" s="301" t="inlineStr">
        <is>
          <t>1000 м</t>
        </is>
      </c>
      <c r="F35" s="301" t="n">
        <v>0.042</v>
      </c>
      <c r="G35" s="176" t="n">
        <v>38348.22</v>
      </c>
      <c r="H35" s="176">
        <f>ROUND(F35*G35,2)</f>
        <v/>
      </c>
      <c r="I35" s="147" t="n"/>
    </row>
    <row r="36" ht="25.5" customHeight="1" s="238">
      <c r="A36" s="140" t="n">
        <v>20</v>
      </c>
      <c r="B36" s="291" t="n"/>
      <c r="C36" s="212" t="inlineStr">
        <is>
          <t>05.1.01.10-0131</t>
        </is>
      </c>
      <c r="D36" s="304" t="inlineStr">
        <is>
          <t>Лотки каналов и тоннелей железобетонные для прокладки коммуникаций</t>
        </is>
      </c>
      <c r="E36" s="301" t="inlineStr">
        <is>
          <t>м3</t>
        </is>
      </c>
      <c r="F36" s="301" t="n">
        <v>0.28</v>
      </c>
      <c r="G36" s="176" t="n">
        <v>1837.28</v>
      </c>
      <c r="H36" s="176">
        <f>ROUND(F36*G36,2)</f>
        <v/>
      </c>
      <c r="I36" s="147" t="n"/>
    </row>
    <row r="37" ht="51" customHeight="1" s="238">
      <c r="A37" s="140" t="n">
        <v>21</v>
      </c>
      <c r="B37" s="291" t="n"/>
      <c r="C37" s="212" t="inlineStr">
        <is>
          <t>21.2.01.02-0090</t>
        </is>
      </c>
      <c r="D37" s="30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E37" s="301" t="inlineStr">
        <is>
          <t>т</t>
        </is>
      </c>
      <c r="F37" s="301" t="n">
        <v>0.012831</v>
      </c>
      <c r="G37" s="176" t="n">
        <v>32762.18</v>
      </c>
      <c r="H37" s="176">
        <f>ROUND(F37*G37,2)</f>
        <v/>
      </c>
      <c r="I37" s="147" t="n"/>
    </row>
    <row r="38" ht="25.5" customHeight="1" s="238">
      <c r="A38" s="140" t="n">
        <v>22</v>
      </c>
      <c r="B38" s="291" t="n"/>
      <c r="C38" s="212" t="inlineStr">
        <is>
          <t>61.2.04.01-0002</t>
        </is>
      </c>
      <c r="D38" s="304" t="inlineStr">
        <is>
          <t>Арматура светосигнальная АМЕ с лампой накаливания КМ- 24В</t>
        </is>
      </c>
      <c r="E38" s="301" t="inlineStr">
        <is>
          <t>10 шт.</t>
        </is>
      </c>
      <c r="F38" s="301" t="n">
        <v>2</v>
      </c>
      <c r="G38" s="176" t="n">
        <v>194.2</v>
      </c>
      <c r="H38" s="176">
        <f>ROUND(F38*G38,2)</f>
        <v/>
      </c>
      <c r="I38" s="147" t="n"/>
    </row>
    <row r="39">
      <c r="A39" s="140" t="n">
        <v>23</v>
      </c>
      <c r="B39" s="291" t="n"/>
      <c r="C39" s="212" t="inlineStr">
        <is>
          <t>20.1.01.02-0062</t>
        </is>
      </c>
      <c r="D39" s="304" t="inlineStr">
        <is>
          <t>Зажим аппаратный прессуемый: А4А-150-2</t>
        </is>
      </c>
      <c r="E39" s="301" t="inlineStr">
        <is>
          <t>100 шт.</t>
        </is>
      </c>
      <c r="F39" s="301" t="n">
        <v>0.1236</v>
      </c>
      <c r="G39" s="176" t="n">
        <v>2695</v>
      </c>
      <c r="H39" s="176">
        <f>ROUND(F39*G39,2)</f>
        <v/>
      </c>
      <c r="I39" s="147" t="n"/>
    </row>
    <row r="40">
      <c r="A40" s="140" t="n">
        <v>24</v>
      </c>
      <c r="B40" s="291" t="n"/>
      <c r="C40" s="212" t="inlineStr">
        <is>
          <t>01.7.17.11-0001</t>
        </is>
      </c>
      <c r="D40" s="304" t="inlineStr">
        <is>
          <t>Бумага шлифовальная</t>
        </is>
      </c>
      <c r="E40" s="301" t="inlineStr">
        <is>
          <t>кг</t>
        </is>
      </c>
      <c r="F40" s="301" t="n">
        <v>4</v>
      </c>
      <c r="G40" s="176" t="n">
        <v>50</v>
      </c>
      <c r="H40" s="176">
        <f>ROUND(F40*G40,2)</f>
        <v/>
      </c>
      <c r="I40" s="147" t="n"/>
    </row>
    <row r="41" ht="25.5" customHeight="1" s="238">
      <c r="A41" s="140" t="n">
        <v>25</v>
      </c>
      <c r="B41" s="291" t="n"/>
      <c r="C41" s="212" t="inlineStr">
        <is>
          <t>999-9950</t>
        </is>
      </c>
      <c r="D41" s="304" t="inlineStr">
        <is>
          <t>Вспомогательные ненормируемые ресурсы (2% от Оплаты труда рабочих)</t>
        </is>
      </c>
      <c r="E41" s="301" t="inlineStr">
        <is>
          <t>руб</t>
        </is>
      </c>
      <c r="F41" s="301" t="n">
        <v>159.304</v>
      </c>
      <c r="G41" s="176" t="n">
        <v>1</v>
      </c>
      <c r="H41" s="176">
        <f>ROUND(F41*G41,2)</f>
        <v/>
      </c>
      <c r="I41" s="147" t="n"/>
    </row>
    <row r="42">
      <c r="A42" s="140" t="n">
        <v>26</v>
      </c>
      <c r="B42" s="291" t="n"/>
      <c r="C42" s="212" t="inlineStr">
        <is>
          <t>20.2.08.05-0017</t>
        </is>
      </c>
      <c r="D42" s="304" t="inlineStr">
        <is>
          <t>Профиль монтажный</t>
        </is>
      </c>
      <c r="E42" s="301" t="inlineStr">
        <is>
          <t>шт.</t>
        </is>
      </c>
      <c r="F42" s="301" t="n">
        <v>2</v>
      </c>
      <c r="G42" s="176" t="n">
        <v>66.81999999999999</v>
      </c>
      <c r="H42" s="176">
        <f>ROUND(F42*G42,2)</f>
        <v/>
      </c>
      <c r="I42" s="147" t="n"/>
    </row>
    <row r="43">
      <c r="A43" s="140" t="n">
        <v>27</v>
      </c>
      <c r="B43" s="291" t="n"/>
      <c r="C43" s="212" t="inlineStr">
        <is>
          <t>20.1.01.03-0002</t>
        </is>
      </c>
      <c r="D43" s="304" t="inlineStr">
        <is>
          <t>Зажим винтовой ЗВИ-10 2,5-6 мм2 12 пар</t>
        </is>
      </c>
      <c r="E43" s="301" t="inlineStr">
        <is>
          <t>шт.</t>
        </is>
      </c>
      <c r="F43" s="301" t="n">
        <v>20</v>
      </c>
      <c r="G43" s="176" t="n">
        <v>6.29</v>
      </c>
      <c r="H43" s="176">
        <f>ROUND(F43*G43,2)</f>
        <v/>
      </c>
      <c r="I43" s="147" t="n"/>
    </row>
    <row r="44">
      <c r="A44" s="140" t="n">
        <v>28</v>
      </c>
      <c r="B44" s="291" t="n"/>
      <c r="C44" s="212" t="inlineStr">
        <is>
          <t>01.7.15.03-0042</t>
        </is>
      </c>
      <c r="D44" s="304" t="inlineStr">
        <is>
          <t>Болты с гайками и шайбами строительные</t>
        </is>
      </c>
      <c r="E44" s="301" t="inlineStr">
        <is>
          <t>кг</t>
        </is>
      </c>
      <c r="F44" s="301" t="n">
        <v>11.645</v>
      </c>
      <c r="G44" s="176" t="n">
        <v>9.039999999999999</v>
      </c>
      <c r="H44" s="176">
        <f>ROUND(F44*G44,2)</f>
        <v/>
      </c>
      <c r="I44" s="147" t="n"/>
    </row>
    <row r="45" customFormat="1" s="139">
      <c r="A45" s="140" t="n">
        <v>29</v>
      </c>
      <c r="B45" s="291" t="n"/>
      <c r="C45" s="212" t="inlineStr">
        <is>
          <t>02.2.05.04-1777</t>
        </is>
      </c>
      <c r="D45" s="304" t="inlineStr">
        <is>
          <t>Щебень М 800, фракция 20-40 мм, группа 2</t>
        </is>
      </c>
      <c r="E45" s="301" t="inlineStr">
        <is>
          <t>м3</t>
        </is>
      </c>
      <c r="F45" s="301" t="n">
        <v>0.8</v>
      </c>
      <c r="G45" s="176" t="n">
        <v>108.4</v>
      </c>
      <c r="H45" s="176">
        <f>ROUND(F45*G45,2)</f>
        <v/>
      </c>
      <c r="I45" s="147" t="n"/>
    </row>
    <row r="46" ht="25.5" customHeight="1" s="238">
      <c r="A46" s="140" t="n">
        <v>30</v>
      </c>
      <c r="B46" s="291" t="n"/>
      <c r="C46" s="212" t="inlineStr">
        <is>
          <t>08.3.07.01-0076</t>
        </is>
      </c>
      <c r="D46" s="304" t="inlineStr">
        <is>
          <t>Сталь полосовая, марка стали: Ст3сп шириной 50-200 мм толщиной 4-5 мм</t>
        </is>
      </c>
      <c r="E46" s="301" t="inlineStr">
        <is>
          <t>т</t>
        </is>
      </c>
      <c r="F46" s="301" t="n">
        <v>0.0104</v>
      </c>
      <c r="G46" s="176" t="n">
        <v>5000</v>
      </c>
      <c r="H46" s="176">
        <f>ROUND(F46*G46,2)</f>
        <v/>
      </c>
      <c r="I46" s="147" t="n"/>
    </row>
    <row r="47">
      <c r="A47" s="140" t="n">
        <v>31</v>
      </c>
      <c r="B47" s="291" t="n"/>
      <c r="C47" s="212" t="inlineStr">
        <is>
          <t>20.2.08.07-0072</t>
        </is>
      </c>
      <c r="D47" s="304" t="inlineStr">
        <is>
          <t>Скобы металлические для крепления проводов</t>
        </is>
      </c>
      <c r="E47" s="301" t="inlineStr">
        <is>
          <t>10шт</t>
        </is>
      </c>
      <c r="F47" s="301" t="n">
        <v>2</v>
      </c>
      <c r="G47" s="176" t="n">
        <v>29.4</v>
      </c>
      <c r="H47" s="176">
        <f>ROUND(F47*G47,2)</f>
        <v/>
      </c>
      <c r="I47" s="147" t="n"/>
      <c r="K47" s="145" t="n"/>
    </row>
    <row r="48">
      <c r="A48" s="140" t="n">
        <v>32</v>
      </c>
      <c r="B48" s="291" t="n"/>
      <c r="C48" s="212" t="inlineStr">
        <is>
          <t>01.7.11.07-0034</t>
        </is>
      </c>
      <c r="D48" s="304" t="inlineStr">
        <is>
          <t>Электроды диаметром: 4 мм Э42А</t>
        </is>
      </c>
      <c r="E48" s="301" t="inlineStr">
        <is>
          <t>кг</t>
        </is>
      </c>
      <c r="F48" s="301" t="n">
        <v>1.6216</v>
      </c>
      <c r="G48" s="176" t="n">
        <v>10.57</v>
      </c>
      <c r="H48" s="176">
        <f>ROUND(F48*G48,2)</f>
        <v/>
      </c>
      <c r="I48" s="147" t="n"/>
      <c r="K48" s="145" t="n"/>
    </row>
    <row r="49">
      <c r="A49" s="140" t="n">
        <v>33</v>
      </c>
      <c r="B49" s="291" t="n"/>
      <c r="C49" s="212" t="inlineStr">
        <is>
          <t>01.7.15.07-0031</t>
        </is>
      </c>
      <c r="D49" s="304" t="inlineStr">
        <is>
          <t>Дюбели распорные с гайкой</t>
        </is>
      </c>
      <c r="E49" s="301" t="inlineStr">
        <is>
          <t>100 шт.</t>
        </is>
      </c>
      <c r="F49" s="301" t="n">
        <v>0.1089</v>
      </c>
      <c r="G49" s="176" t="n">
        <v>110</v>
      </c>
      <c r="H49" s="176">
        <f>ROUND(F49*G49,2)</f>
        <v/>
      </c>
      <c r="I49" s="147" t="n"/>
      <c r="K49" s="145" t="n"/>
    </row>
    <row r="50" ht="25.5" customHeight="1" s="238">
      <c r="A50" s="140" t="n">
        <v>34</v>
      </c>
      <c r="B50" s="291" t="n"/>
      <c r="C50" s="212" t="inlineStr">
        <is>
          <t>03.2.01.01-0003</t>
        </is>
      </c>
      <c r="D50" s="304" t="inlineStr">
        <is>
          <t>Портландцемент общестроительного назначения бездобавочный, марки: 500</t>
        </is>
      </c>
      <c r="E50" s="301" t="inlineStr">
        <is>
          <t>т</t>
        </is>
      </c>
      <c r="F50" s="301" t="n">
        <v>0.0245</v>
      </c>
      <c r="G50" s="176" t="n">
        <v>480</v>
      </c>
      <c r="H50" s="176">
        <f>ROUND(F50*G50,2)</f>
        <v/>
      </c>
      <c r="I50" s="147" t="n"/>
      <c r="K50" s="145" t="n"/>
    </row>
    <row r="51">
      <c r="A51" s="140" t="n">
        <v>35</v>
      </c>
      <c r="B51" s="291" t="n"/>
      <c r="C51" s="212" t="inlineStr">
        <is>
          <t>14.4.02.09-0001</t>
        </is>
      </c>
      <c r="D51" s="304" t="inlineStr">
        <is>
          <t>Краска</t>
        </is>
      </c>
      <c r="E51" s="301" t="inlineStr">
        <is>
          <t>кг</t>
        </is>
      </c>
      <c r="F51" s="301" t="n">
        <v>0.396</v>
      </c>
      <c r="G51" s="176" t="n">
        <v>28.6</v>
      </c>
      <c r="H51" s="176">
        <f>ROUND(F51*G51,2)</f>
        <v/>
      </c>
    </row>
    <row r="52" ht="25.5" customHeight="1" s="238">
      <c r="A52" s="140" t="n">
        <v>36</v>
      </c>
      <c r="B52" s="291" t="n"/>
      <c r="C52" s="212" t="inlineStr">
        <is>
          <t>01.3.01.06-0050</t>
        </is>
      </c>
      <c r="D52" s="304" t="inlineStr">
        <is>
          <t>Смазка универсальная тугоплавкая УТ (консталин жировой)</t>
        </is>
      </c>
      <c r="E52" s="301" t="inlineStr">
        <is>
          <t>т</t>
        </is>
      </c>
      <c r="F52" s="301" t="n">
        <v>0.0005999999999999999</v>
      </c>
      <c r="G52" s="176" t="n">
        <v>17500</v>
      </c>
      <c r="H52" s="176">
        <f>ROUND(F52*G52,2)</f>
        <v/>
      </c>
    </row>
    <row r="53">
      <c r="A53" s="140" t="n">
        <v>37</v>
      </c>
      <c r="B53" s="291" t="n"/>
      <c r="C53" s="212" t="inlineStr">
        <is>
          <t>01.7.20.08-0031</t>
        </is>
      </c>
      <c r="D53" s="304" t="inlineStr">
        <is>
          <t>Бязь суровая арт. 6804</t>
        </is>
      </c>
      <c r="E53" s="301" t="inlineStr">
        <is>
          <t>10 м2</t>
        </is>
      </c>
      <c r="F53" s="301" t="n">
        <v>0.057</v>
      </c>
      <c r="G53" s="176" t="n">
        <v>79.09999999999999</v>
      </c>
      <c r="H53" s="176">
        <f>ROUND(F53*G53,2)</f>
        <v/>
      </c>
    </row>
    <row r="54" ht="25.5" customHeight="1" s="238">
      <c r="A54" s="140" t="n">
        <v>38</v>
      </c>
      <c r="B54" s="291" t="n"/>
      <c r="C54" s="212" t="inlineStr">
        <is>
          <t>02.3.01.02-0020</t>
        </is>
      </c>
      <c r="D54" s="304" t="inlineStr">
        <is>
          <t>Песок природный для строительных: растворов средний</t>
        </is>
      </c>
      <c r="E54" s="301" t="inlineStr">
        <is>
          <t>м3</t>
        </is>
      </c>
      <c r="F54" s="301" t="n">
        <v>0.0204</v>
      </c>
      <c r="G54" s="176" t="n">
        <v>59.99</v>
      </c>
      <c r="H54" s="176">
        <f>ROUND(F54*G54,2)</f>
        <v/>
      </c>
    </row>
    <row r="55">
      <c r="A55" s="140" t="n">
        <v>39</v>
      </c>
      <c r="B55" s="291" t="n"/>
      <c r="C55" s="212" t="inlineStr">
        <is>
          <t>08.3.07.01-0043</t>
        </is>
      </c>
      <c r="D55" s="304" t="inlineStr">
        <is>
          <t>Сталь полосовая: 40х5 мм, марка Ст3сп</t>
        </is>
      </c>
      <c r="E55" s="301" t="inlineStr">
        <is>
          <t>т</t>
        </is>
      </c>
      <c r="F55" s="301" t="n">
        <v>8.2e-05</v>
      </c>
      <c r="G55" s="176" t="n">
        <v>6159.22</v>
      </c>
      <c r="H55" s="176">
        <f>ROUND(F55*G55,2)</f>
        <v/>
      </c>
    </row>
    <row r="58">
      <c r="B58" s="240" t="inlineStr">
        <is>
          <t>Составил ______________________     Д.Ю. Нефедова</t>
        </is>
      </c>
    </row>
    <row r="59">
      <c r="B59" s="118" t="inlineStr">
        <is>
          <t xml:space="preserve">                         (подпись, инициалы, фамилия)</t>
        </is>
      </c>
    </row>
    <row r="61">
      <c r="B61" s="240" t="inlineStr">
        <is>
          <t>Проверил ______________________        А.В. Костянецкая</t>
        </is>
      </c>
    </row>
    <row r="62">
      <c r="B62" s="11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16:E16"/>
    <mergeCell ref="A9:A10"/>
    <mergeCell ref="A4:H4"/>
    <mergeCell ref="A2:H2"/>
    <mergeCell ref="A31:E31"/>
    <mergeCell ref="G9:H9"/>
    <mergeCell ref="A18:E18"/>
    <mergeCell ref="A6:H6"/>
    <mergeCell ref="A27:E27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E78" sqref="E78"/>
    </sheetView>
  </sheetViews>
  <sheetFormatPr baseColWidth="8" defaultColWidth="9.140625" defaultRowHeight="15"/>
  <cols>
    <col width="4.140625" customWidth="1" style="238" min="1" max="1"/>
    <col width="36.28515625" customWidth="1" style="238" min="2" max="2"/>
    <col width="18.85546875" customWidth="1" style="238" min="3" max="3"/>
    <col width="18.28515625" customWidth="1" style="238" min="4" max="4"/>
    <col width="18.85546875" customWidth="1" style="238" min="5" max="5"/>
    <col width="13.42578125" customWidth="1" style="238" min="7" max="7"/>
    <col width="13.5703125" customWidth="1" style="238" min="12" max="12"/>
  </cols>
  <sheetData>
    <row r="1">
      <c r="B1" s="237" t="n"/>
      <c r="C1" s="237" t="n"/>
      <c r="D1" s="237" t="n"/>
      <c r="E1" s="237" t="n"/>
    </row>
    <row r="2">
      <c r="B2" s="237" t="n"/>
      <c r="C2" s="237" t="n"/>
      <c r="D2" s="237" t="n"/>
      <c r="E2" s="314" t="inlineStr">
        <is>
          <t>Приложение № 4</t>
        </is>
      </c>
    </row>
    <row r="3">
      <c r="B3" s="237" t="n"/>
      <c r="C3" s="237" t="n"/>
      <c r="D3" s="237" t="n"/>
      <c r="E3" s="237" t="n"/>
    </row>
    <row r="4">
      <c r="B4" s="237" t="n"/>
      <c r="C4" s="237" t="n"/>
      <c r="D4" s="237" t="n"/>
      <c r="E4" s="237" t="n"/>
    </row>
    <row r="5">
      <c r="B5" s="269" t="inlineStr">
        <is>
          <t>Ресурсная модель</t>
        </is>
      </c>
    </row>
    <row r="6">
      <c r="B6" s="150" t="n"/>
      <c r="C6" s="237" t="n"/>
      <c r="D6" s="237" t="n"/>
      <c r="E6" s="237" t="n"/>
    </row>
    <row r="7" ht="25.5" customHeight="1" s="238">
      <c r="B7" s="296" t="inlineStr">
        <is>
          <t>Наименование разрабатываемого показателя УНЦ — Демонтаж трансформаторов напряжения 35 кВ</t>
        </is>
      </c>
    </row>
    <row r="8">
      <c r="B8" s="297" t="inlineStr">
        <is>
          <t>Единица измерения  — 1 ед.</t>
        </is>
      </c>
    </row>
    <row r="9">
      <c r="B9" s="150" t="n"/>
      <c r="C9" s="237" t="n"/>
      <c r="D9" s="237" t="n"/>
      <c r="E9" s="237" t="n"/>
    </row>
    <row r="10" ht="51" customHeight="1" s="238">
      <c r="B10" s="301" t="inlineStr">
        <is>
          <t>Наименование</t>
        </is>
      </c>
      <c r="C10" s="301" t="inlineStr">
        <is>
          <t>Сметная стоимость в ценах на 01.01.2023
 (руб.)</t>
        </is>
      </c>
      <c r="D10" s="301" t="inlineStr">
        <is>
          <t>Удельный вес, 
(в СМР)</t>
        </is>
      </c>
      <c r="E10" s="30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28">
        <f>'Прил.5 Расчет СМР и ОБ'!J17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28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28">
        <f>'Прил.5 Расчет СМР и ОБ'!J34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28">
        <f>'Прил.5 Расчет СМР и ОБ'!J36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28">
        <f>'Прил.5 Расчет СМР и ОБ'!J20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28">
        <f>'Прил.5 Расчет СМР и ОБ'!J45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28">
        <f>'Прил.5 Расчет СМР и ОБ'!J46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228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28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28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8">
        <f>'Прил.5 Расчет СМР и ОБ'!D52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228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8">
        <f>'Прил.5 Расчет СМР и ОБ'!D50</f>
        <v/>
      </c>
      <c r="D23" s="26" t="n"/>
      <c r="E23" s="24" t="n"/>
    </row>
    <row r="24">
      <c r="B24" s="24" t="inlineStr">
        <is>
          <t>ВСЕГО СМР с НР и СП</t>
        </is>
      </c>
      <c r="C24" s="228">
        <f>C19+C20+C22</f>
        <v/>
      </c>
      <c r="D24" s="26">
        <f>C24/$C$24</f>
        <v/>
      </c>
      <c r="E24" s="26">
        <f>C24/$C$40</f>
        <v/>
      </c>
    </row>
    <row r="25" ht="25.5" customHeight="1" s="238">
      <c r="B25" s="24" t="inlineStr">
        <is>
          <t>ВСЕГО стоимость оборудования, в том числе</t>
        </is>
      </c>
      <c r="C25" s="228">
        <f>'Прил.5 Расчет СМР и ОБ'!J41</f>
        <v/>
      </c>
      <c r="D25" s="26" t="n"/>
      <c r="E25" s="26">
        <f>C25/$C$40</f>
        <v/>
      </c>
    </row>
    <row r="26" ht="25.5" customHeight="1" s="238">
      <c r="B26" s="24" t="inlineStr">
        <is>
          <t>стоимость оборудования технологического</t>
        </is>
      </c>
      <c r="C26" s="228">
        <f>'Прил.5 Расчет СМР и ОБ'!J42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0">
        <f>'Прил.5 Расчет СМР и ОБ'!J55</f>
        <v/>
      </c>
      <c r="D27" s="26" t="n"/>
      <c r="E27" s="26">
        <f>C27/$C$40</f>
        <v/>
      </c>
      <c r="G27" s="152" t="n"/>
    </row>
    <row r="28" ht="33" customHeight="1" s="23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8">
      <c r="B29" s="24" t="inlineStr">
        <is>
          <t>Временные здания и сооружения - 3,9%</t>
        </is>
      </c>
      <c r="C29" s="170">
        <f>ROUND(C24*3.9%,2)</f>
        <v/>
      </c>
      <c r="D29" s="24" t="n"/>
      <c r="E29" s="26">
        <f>C29/$C$40</f>
        <v/>
      </c>
    </row>
    <row r="30" ht="38.25" customHeight="1" s="23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8">
      <c r="B32" s="24" t="inlineStr">
        <is>
          <t>Затраты по перевозке работников к месту работы и обратно</t>
        </is>
      </c>
      <c r="C32" s="170" t="n">
        <v>0</v>
      </c>
      <c r="D32" s="24" t="n"/>
      <c r="E32" s="26">
        <f>C32/$C$40</f>
        <v/>
      </c>
    </row>
    <row r="33" ht="25.5" customHeight="1" s="238">
      <c r="B33" s="24" t="inlineStr">
        <is>
          <t>Затраты, связанные с осуществлением работ вахтовым методом</t>
        </is>
      </c>
      <c r="C33" s="170">
        <f>ROUND(C27*0%,2)</f>
        <v/>
      </c>
      <c r="D33" s="24" t="n"/>
      <c r="E33" s="26">
        <f>C33/$C$40</f>
        <v/>
      </c>
    </row>
    <row r="34" ht="68.25" customHeight="1" s="23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 t="n">
        <v>0</v>
      </c>
      <c r="D34" s="24" t="n"/>
      <c r="E34" s="26">
        <f>C34/$C$40</f>
        <v/>
      </c>
    </row>
    <row r="35" ht="88.5" customHeight="1" s="23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ROUND(C27*0%,2)</f>
        <v/>
      </c>
      <c r="D35" s="24" t="n"/>
      <c r="E35" s="26">
        <f>C35/$C$40</f>
        <v/>
      </c>
    </row>
    <row r="36" ht="25.5" customHeight="1" s="238">
      <c r="B36" s="24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4" t="n"/>
      <c r="E36" s="26">
        <f>C36/$C$40</f>
        <v/>
      </c>
      <c r="G36" s="153" t="n"/>
      <c r="L36" s="152" t="n"/>
    </row>
    <row r="37">
      <c r="B37" s="24" t="inlineStr">
        <is>
          <t>Авторский надзор - 0,2%</t>
        </is>
      </c>
      <c r="C37" s="170">
        <f>ROUND((C27+C32+C33+C34+C35+C29+C31+C30)*0.2%,2)</f>
        <v/>
      </c>
      <c r="D37" s="24" t="n"/>
      <c r="E37" s="26">
        <f>C37/$C$40</f>
        <v/>
      </c>
      <c r="G37" s="154" t="n"/>
      <c r="L37" s="152" t="n"/>
    </row>
    <row r="38" ht="38.25" customHeight="1" s="238">
      <c r="B38" s="24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4" t="n"/>
      <c r="E38" s="26">
        <f>C38/$C$40</f>
        <v/>
      </c>
    </row>
    <row r="39" ht="13.5" customHeight="1" s="238">
      <c r="B39" s="24" t="inlineStr">
        <is>
          <t>Непредвиденные расходы</t>
        </is>
      </c>
      <c r="C39" s="228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28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28">
        <f>C40/'Прил.5 Расчет СМР и ОБ'!E56</f>
        <v/>
      </c>
      <c r="D41" s="24" t="n"/>
      <c r="E41" s="24" t="n"/>
    </row>
    <row r="42">
      <c r="B42" s="230" t="n"/>
      <c r="C42" s="237" t="n"/>
      <c r="D42" s="237" t="n"/>
      <c r="E42" s="237" t="n"/>
    </row>
    <row r="43">
      <c r="B43" s="230" t="inlineStr">
        <is>
          <t>Составил ____________________________  Д.Ю. Нефедова</t>
        </is>
      </c>
      <c r="C43" s="237" t="n"/>
      <c r="D43" s="237" t="n"/>
      <c r="E43" s="237" t="n"/>
    </row>
    <row r="44">
      <c r="B44" s="230" t="inlineStr">
        <is>
          <t xml:space="preserve">(должность, подпись, инициалы, фамилия) </t>
        </is>
      </c>
      <c r="C44" s="237" t="n"/>
      <c r="D44" s="237" t="n"/>
      <c r="E44" s="237" t="n"/>
    </row>
    <row r="45">
      <c r="B45" s="230" t="n"/>
      <c r="C45" s="237" t="n"/>
      <c r="D45" s="237" t="n"/>
      <c r="E45" s="237" t="n"/>
    </row>
    <row r="46">
      <c r="B46" s="230" t="inlineStr">
        <is>
          <t>Проверил ____________________________ А.В. Костянецкая</t>
        </is>
      </c>
      <c r="C46" s="237" t="n"/>
      <c r="D46" s="237" t="n"/>
      <c r="E46" s="237" t="n"/>
    </row>
    <row r="47">
      <c r="B47" s="297" t="inlineStr">
        <is>
          <t>(должность, подпись, инициалы, фамилия)</t>
        </is>
      </c>
      <c r="D47" s="237" t="n"/>
      <c r="E47" s="237" t="n"/>
    </row>
    <row r="49">
      <c r="B49" s="237" t="n"/>
      <c r="C49" s="237" t="n"/>
      <c r="D49" s="237" t="n"/>
      <c r="E49" s="237" t="n"/>
    </row>
    <row r="50">
      <c r="B50" s="237" t="n"/>
      <c r="C50" s="237" t="n"/>
      <c r="D50" s="237" t="n"/>
      <c r="E50" s="2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48" workbookViewId="0">
      <selection activeCell="B58" sqref="B58"/>
    </sheetView>
  </sheetViews>
  <sheetFormatPr baseColWidth="8" defaultColWidth="9.140625" defaultRowHeight="15" outlineLevelRow="1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38">
      <c r="H2" s="298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7">
      <c r="A4" s="269" t="inlineStr">
        <is>
          <t>Расчет стоимости СМР и оборудования</t>
        </is>
      </c>
    </row>
    <row r="5" ht="12.75" customFormat="1" customHeight="1" s="237">
      <c r="A5" s="269" t="n"/>
      <c r="B5" s="269" t="n"/>
      <c r="C5" s="321" t="n"/>
      <c r="D5" s="269" t="n"/>
      <c r="E5" s="269" t="n"/>
      <c r="F5" s="269" t="n"/>
      <c r="G5" s="269" t="n"/>
      <c r="H5" s="269" t="n"/>
      <c r="I5" s="269" t="n"/>
      <c r="J5" s="269" t="n"/>
    </row>
    <row r="6" ht="12.75" customFormat="1" customHeight="1" s="237">
      <c r="A6" s="156" t="inlineStr">
        <is>
          <t>Наименование разрабатываемого показателя УНЦ</t>
        </is>
      </c>
      <c r="B6" s="157" t="n"/>
      <c r="C6" s="157" t="n"/>
      <c r="D6" s="272" t="inlineStr">
        <is>
          <t>Демонтаж трансформаторов напряжения 35 кВ</t>
        </is>
      </c>
    </row>
    <row r="7" ht="12.75" customFormat="1" customHeight="1" s="237">
      <c r="A7" s="272" t="inlineStr">
        <is>
          <t>Единица измерения  — 1 ед.</t>
        </is>
      </c>
      <c r="I7" s="296" t="n"/>
      <c r="J7" s="296" t="n"/>
    </row>
    <row r="8" ht="13.5" customFormat="1" customHeight="1" s="237">
      <c r="A8" s="272" t="n"/>
    </row>
    <row r="9" ht="27" customHeight="1" s="238">
      <c r="A9" s="301" t="inlineStr">
        <is>
          <t>№ пп.</t>
        </is>
      </c>
      <c r="B9" s="301" t="inlineStr">
        <is>
          <t>Код ресурса</t>
        </is>
      </c>
      <c r="C9" s="301" t="inlineStr">
        <is>
          <t>Наименование</t>
        </is>
      </c>
      <c r="D9" s="301" t="inlineStr">
        <is>
          <t>Ед. изм.</t>
        </is>
      </c>
      <c r="E9" s="301" t="inlineStr">
        <is>
          <t>Кол-во единиц по проектным данным</t>
        </is>
      </c>
      <c r="F9" s="301" t="inlineStr">
        <is>
          <t>Сметная стоимость в ценах на 01.01.2000 (руб.)</t>
        </is>
      </c>
      <c r="G9" s="378" t="n"/>
      <c r="H9" s="301" t="inlineStr">
        <is>
          <t>Удельный вес, %</t>
        </is>
      </c>
      <c r="I9" s="301" t="inlineStr">
        <is>
          <t>Сметная стоимость в ценах на 01.01.2023 (руб.)</t>
        </is>
      </c>
      <c r="J9" s="378" t="n"/>
      <c r="M9" s="235" t="n"/>
      <c r="N9" s="235" t="n"/>
    </row>
    <row r="10" ht="28.5" customHeight="1" s="238">
      <c r="A10" s="380" t="n"/>
      <c r="B10" s="380" t="n"/>
      <c r="C10" s="380" t="n"/>
      <c r="D10" s="380" t="n"/>
      <c r="E10" s="380" t="n"/>
      <c r="F10" s="301" t="inlineStr">
        <is>
          <t>на ед. изм.</t>
        </is>
      </c>
      <c r="G10" s="301" t="inlineStr">
        <is>
          <t>общая</t>
        </is>
      </c>
      <c r="H10" s="380" t="n"/>
      <c r="I10" s="301" t="inlineStr">
        <is>
          <t>на ед. изм.</t>
        </is>
      </c>
      <c r="J10" s="301" t="inlineStr">
        <is>
          <t>общая</t>
        </is>
      </c>
      <c r="M10" s="235" t="n"/>
      <c r="N10" s="235" t="n"/>
    </row>
    <row r="11">
      <c r="A11" s="301" t="n">
        <v>1</v>
      </c>
      <c r="B11" s="301" t="n">
        <v>2</v>
      </c>
      <c r="C11" s="301" t="n">
        <v>3</v>
      </c>
      <c r="D11" s="301" t="n">
        <v>4</v>
      </c>
      <c r="E11" s="301" t="n">
        <v>5</v>
      </c>
      <c r="F11" s="301" t="n">
        <v>6</v>
      </c>
      <c r="G11" s="301" t="n">
        <v>7</v>
      </c>
      <c r="H11" s="301" t="n">
        <v>8</v>
      </c>
      <c r="I11" s="302" t="n">
        <v>9</v>
      </c>
      <c r="J11" s="302" t="n">
        <v>10</v>
      </c>
      <c r="M11" s="235" t="n"/>
      <c r="N11" s="235" t="n"/>
    </row>
    <row r="12">
      <c r="A12" s="301" t="n"/>
      <c r="B12" s="289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63" t="n"/>
      <c r="J12" s="163" t="n"/>
    </row>
    <row r="13" ht="25.5" customHeight="1" s="238">
      <c r="A13" s="301" t="n">
        <v>1</v>
      </c>
      <c r="B13" s="212" t="inlineStr">
        <is>
          <t>1-4-0</t>
        </is>
      </c>
      <c r="C13" s="304" t="inlineStr">
        <is>
          <t>Затраты труда рабочих (средний разряд работы 4,0)</t>
        </is>
      </c>
      <c r="D13" s="301" t="inlineStr">
        <is>
          <t>чел.-ч.</t>
        </is>
      </c>
      <c r="E13" s="383" t="n">
        <v>166.964</v>
      </c>
      <c r="F13" s="176" t="n">
        <v>9.619999999999999</v>
      </c>
      <c r="G13" s="176">
        <f>Прил.3!H15</f>
        <v/>
      </c>
      <c r="H13" s="307">
        <f>G13/$G$16</f>
        <v/>
      </c>
      <c r="I13" s="176">
        <f>ФОТр.тек.!E13</f>
        <v/>
      </c>
      <c r="J13" s="176">
        <f>ROUND(I13*E13,2)</f>
        <v/>
      </c>
    </row>
    <row r="14">
      <c r="A14" s="301" t="n">
        <v>2</v>
      </c>
      <c r="B14" s="212" t="inlineStr">
        <is>
          <t>10-30-1</t>
        </is>
      </c>
      <c r="C14" s="304" t="inlineStr">
        <is>
          <t>Инженер I категории</t>
        </is>
      </c>
      <c r="D14" s="301" t="inlineStr">
        <is>
          <t>чел.-ч.</t>
        </is>
      </c>
      <c r="E14" s="383" t="n">
        <v>230.5003227889</v>
      </c>
      <c r="F14" s="176" t="n">
        <v>15.49</v>
      </c>
      <c r="G14" s="176">
        <f>Прил.3!H13</f>
        <v/>
      </c>
      <c r="H14" s="307">
        <f>G14/$G$16</f>
        <v/>
      </c>
      <c r="I14" s="176">
        <f>ФОТр.тек.!E21</f>
        <v/>
      </c>
      <c r="J14" s="176">
        <f>ROUND(I14*E14,2)</f>
        <v/>
      </c>
    </row>
    <row r="15">
      <c r="A15" s="301" t="n">
        <v>3</v>
      </c>
      <c r="B15" s="212" t="inlineStr">
        <is>
          <t>10-30-2</t>
        </is>
      </c>
      <c r="C15" s="304" t="inlineStr">
        <is>
          <t>Инженер II категории</t>
        </is>
      </c>
      <c r="D15" s="301" t="inlineStr">
        <is>
          <t>чел.-ч.</t>
        </is>
      </c>
      <c r="E15" s="383" t="n">
        <v>230.5003548616</v>
      </c>
      <c r="F15" s="176" t="n">
        <v>14.09</v>
      </c>
      <c r="G15" s="176">
        <f>Прил.3!H14</f>
        <v/>
      </c>
      <c r="H15" s="307">
        <f>G15/$G$16</f>
        <v/>
      </c>
      <c r="I15" s="176">
        <f>ФОТр.тек.!E29</f>
        <v/>
      </c>
      <c r="J15" s="176">
        <f>ROUND(I15*E15,2)</f>
        <v/>
      </c>
    </row>
    <row r="16" ht="25.5" customFormat="1" customHeight="1" s="235">
      <c r="A16" s="301" t="n"/>
      <c r="B16" s="301" t="n"/>
      <c r="C16" s="289" t="inlineStr">
        <is>
          <t>Итого по разделу "Затраты труда рабочих-строителей"</t>
        </is>
      </c>
      <c r="D16" s="301" t="inlineStr">
        <is>
          <t>чел.-ч.</t>
        </is>
      </c>
      <c r="E16" s="383">
        <f>SUM(E13:E15)</f>
        <v/>
      </c>
      <c r="F16" s="176" t="n"/>
      <c r="G16" s="176">
        <f>SUM(G13:G15)</f>
        <v/>
      </c>
      <c r="H16" s="308" t="n">
        <v>1</v>
      </c>
      <c r="I16" s="163" t="n"/>
      <c r="J16" s="176">
        <f>SUM(J13:J15)</f>
        <v/>
      </c>
      <c r="K16" s="385" t="n"/>
    </row>
    <row r="17" ht="38.25" customFormat="1" customHeight="1" s="235">
      <c r="A17" s="301" t="n"/>
      <c r="B17" s="301" t="n"/>
      <c r="C17" s="289" t="inlineStr">
        <is>
          <t>Итого по разделу "Затраты труда рабочих-строителей" 
(с коэффициентом на демонтаж 0,7)</t>
        </is>
      </c>
      <c r="D17" s="301" t="inlineStr">
        <is>
          <t>чел.-ч.</t>
        </is>
      </c>
      <c r="E17" s="305" t="n"/>
      <c r="F17" s="306" t="n"/>
      <c r="G17" s="176">
        <f>SUM(G16)*0.7</f>
        <v/>
      </c>
      <c r="H17" s="308" t="n">
        <v>1</v>
      </c>
      <c r="I17" s="163" t="n"/>
      <c r="J17" s="176">
        <f>SUM(J16)*0.7</f>
        <v/>
      </c>
    </row>
    <row r="18" ht="14.25" customFormat="1" customHeight="1" s="235">
      <c r="A18" s="301" t="n"/>
      <c r="B18" s="304" t="inlineStr">
        <is>
          <t>Затраты труда машинистов</t>
        </is>
      </c>
      <c r="C18" s="377" t="n"/>
      <c r="D18" s="377" t="n"/>
      <c r="E18" s="377" t="n"/>
      <c r="F18" s="377" t="n"/>
      <c r="G18" s="377" t="n"/>
      <c r="H18" s="378" t="n"/>
      <c r="I18" s="163" t="n"/>
      <c r="J18" s="163" t="n"/>
    </row>
    <row r="19" ht="14.25" customFormat="1" customHeight="1" s="235">
      <c r="A19" s="301" t="n">
        <v>4</v>
      </c>
      <c r="B19" s="301" t="n">
        <v>2</v>
      </c>
      <c r="C19" s="304" t="inlineStr">
        <is>
          <t>Затраты труда машинистов</t>
        </is>
      </c>
      <c r="D19" s="301" t="inlineStr">
        <is>
          <t>чел.-ч.</t>
        </is>
      </c>
      <c r="E19" s="383">
        <f>Прил.3!F17</f>
        <v/>
      </c>
      <c r="F19" s="176">
        <f>G19/E19</f>
        <v/>
      </c>
      <c r="G19" s="176">
        <f>Прил.3!H16</f>
        <v/>
      </c>
      <c r="H19" s="308" t="n">
        <v>1</v>
      </c>
      <c r="I19" s="176">
        <f>ROUND(F19*Прил.10!D11,2)</f>
        <v/>
      </c>
      <c r="J19" s="176">
        <f>ROUND(I19*E19,2)</f>
        <v/>
      </c>
    </row>
    <row r="20" ht="25.5" customFormat="1" customHeight="1" s="235">
      <c r="A20" s="301" t="n"/>
      <c r="B20" s="301" t="n"/>
      <c r="C20" s="172" t="inlineStr">
        <is>
          <t>Затраты труда машинистов 
(с коэффициентом на демонтаж 0,7)</t>
        </is>
      </c>
      <c r="D20" s="166" t="n"/>
      <c r="E20" s="166" t="n"/>
      <c r="F20" s="166" t="n"/>
      <c r="G20" s="170">
        <f>G19*0.7</f>
        <v/>
      </c>
      <c r="H20" s="168">
        <f>H19</f>
        <v/>
      </c>
      <c r="I20" s="169" t="n"/>
      <c r="J20" s="170">
        <f>J19*0.7</f>
        <v/>
      </c>
    </row>
    <row r="21" ht="14.25" customFormat="1" customHeight="1" s="235">
      <c r="A21" s="301" t="n"/>
      <c r="B21" s="289" t="inlineStr">
        <is>
          <t>Машины и механизмы</t>
        </is>
      </c>
      <c r="C21" s="377" t="n"/>
      <c r="D21" s="377" t="n"/>
      <c r="E21" s="377" t="n"/>
      <c r="F21" s="377" t="n"/>
      <c r="G21" s="377" t="n"/>
      <c r="H21" s="378" t="n"/>
      <c r="I21" s="163" t="n"/>
      <c r="J21" s="163" t="n"/>
    </row>
    <row r="22" ht="14.25" customFormat="1" customHeight="1" s="235">
      <c r="A22" s="301" t="n"/>
      <c r="B22" s="304" t="inlineStr">
        <is>
          <t>Основные машины и механизмы</t>
        </is>
      </c>
      <c r="C22" s="377" t="n"/>
      <c r="D22" s="377" t="n"/>
      <c r="E22" s="377" t="n"/>
      <c r="F22" s="377" t="n"/>
      <c r="G22" s="377" t="n"/>
      <c r="H22" s="378" t="n"/>
      <c r="I22" s="163" t="n"/>
      <c r="J22" s="163" t="n"/>
    </row>
    <row r="23" ht="38.25" customFormat="1" customHeight="1" s="235">
      <c r="A23" s="301" t="n">
        <v>5</v>
      </c>
      <c r="B23" s="212" t="inlineStr">
        <is>
          <t>91.11.01-012</t>
        </is>
      </c>
      <c r="C23" s="304" t="inlineStr">
        <is>
          <t>Машины монтажные для выполнения работ при прокладке и монтаже кабеля на базе автомобиля</t>
        </is>
      </c>
      <c r="D23" s="301" t="inlineStr">
        <is>
          <t>маш.час</t>
        </is>
      </c>
      <c r="E23" s="383" t="n">
        <v>48</v>
      </c>
      <c r="F23" s="306" t="n">
        <v>110.86</v>
      </c>
      <c r="G23" s="176">
        <f>ROUND(E23*F23,2)</f>
        <v/>
      </c>
      <c r="H23" s="307">
        <f>G23/$G$35</f>
        <v/>
      </c>
      <c r="I23" s="176">
        <f>ROUND(F23*Прил.10!$D$12,2)</f>
        <v/>
      </c>
      <c r="J23" s="176">
        <f>ROUND(I23*E23,2)</f>
        <v/>
      </c>
    </row>
    <row r="24" ht="25.5" customFormat="1" customHeight="1" s="235">
      <c r="A24" s="301" t="n">
        <v>6</v>
      </c>
      <c r="B24" s="212" t="inlineStr">
        <is>
          <t>91.10.01-002</t>
        </is>
      </c>
      <c r="C24" s="304" t="inlineStr">
        <is>
          <t>Агрегаты наполнительно-опрессовочные: до 300 м3/ч</t>
        </is>
      </c>
      <c r="D24" s="301" t="inlineStr">
        <is>
          <t>маш.час</t>
        </is>
      </c>
      <c r="E24" s="383" t="n">
        <v>10.99</v>
      </c>
      <c r="F24" s="306" t="n">
        <v>287.99</v>
      </c>
      <c r="G24" s="176">
        <f>ROUND(E24*F24,2)</f>
        <v/>
      </c>
      <c r="H24" s="307">
        <f>G24/$G$35</f>
        <v/>
      </c>
      <c r="I24" s="176">
        <f>ROUND(F24*Прил.10!$D$12,2)</f>
        <v/>
      </c>
      <c r="J24" s="176">
        <f>ROUND(I24*E24,2)</f>
        <v/>
      </c>
    </row>
    <row r="25" ht="25.5" customFormat="1" customHeight="1" s="235">
      <c r="A25" s="301" t="n">
        <v>7</v>
      </c>
      <c r="B25" s="212" t="inlineStr">
        <is>
          <t>91.06.03-058</t>
        </is>
      </c>
      <c r="C25" s="304" t="inlineStr">
        <is>
          <t>Лебедки электрические тяговым усилием: 156,96 кН (16 т)</t>
        </is>
      </c>
      <c r="D25" s="301" t="inlineStr">
        <is>
          <t>маш.час</t>
        </is>
      </c>
      <c r="E25" s="383" t="n">
        <v>10.99</v>
      </c>
      <c r="F25" s="306" t="n">
        <v>131.44</v>
      </c>
      <c r="G25" s="176">
        <f>ROUND(E25*F25,2)</f>
        <v/>
      </c>
      <c r="H25" s="307">
        <f>G25/$G$35</f>
        <v/>
      </c>
      <c r="I25" s="176">
        <f>ROUND(F25*Прил.10!$D$12,2)</f>
        <v/>
      </c>
      <c r="J25" s="176">
        <f>ROUND(I25*E25,2)</f>
        <v/>
      </c>
    </row>
    <row r="26" ht="14.25" customFormat="1" customHeight="1" s="235">
      <c r="A26" s="301" t="n"/>
      <c r="B26" s="301" t="n"/>
      <c r="C26" s="304" t="inlineStr">
        <is>
          <t>Итого основные машины и механизмы</t>
        </is>
      </c>
      <c r="D26" s="301" t="n"/>
      <c r="E26" s="383" t="n"/>
      <c r="F26" s="176" t="n"/>
      <c r="G26" s="176">
        <f>SUM(G23:G25)</f>
        <v/>
      </c>
      <c r="H26" s="308">
        <f>G26/G35</f>
        <v/>
      </c>
      <c r="I26" s="171" t="n"/>
      <c r="J26" s="176">
        <f>SUM(J23:J25)</f>
        <v/>
      </c>
    </row>
    <row r="27" ht="25.5" customFormat="1" customHeight="1" s="235">
      <c r="A27" s="301" t="n"/>
      <c r="B27" s="301" t="n"/>
      <c r="C27" s="172" t="inlineStr">
        <is>
          <t>Итого основные машины и механизмы 
(с коэффициентом на демонтаж 0,7)</t>
        </is>
      </c>
      <c r="D27" s="301" t="n"/>
      <c r="E27" s="386" t="n"/>
      <c r="F27" s="305" t="n"/>
      <c r="G27" s="176">
        <f>G26*0.7</f>
        <v/>
      </c>
      <c r="H27" s="307">
        <f>G27/G36</f>
        <v/>
      </c>
      <c r="I27" s="176" t="n"/>
      <c r="J27" s="176">
        <f>J26*0.7</f>
        <v/>
      </c>
    </row>
    <row r="28" hidden="1" outlineLevel="1" ht="25.5" customFormat="1" customHeight="1" s="235">
      <c r="A28" s="301" t="n">
        <v>8</v>
      </c>
      <c r="B28" s="212" t="inlineStr">
        <is>
          <t>91.05.05-014</t>
        </is>
      </c>
      <c r="C28" s="304" t="inlineStr">
        <is>
          <t>Краны на автомобильном ходу, грузоподъемность 10 т</t>
        </is>
      </c>
      <c r="D28" s="301" t="inlineStr">
        <is>
          <t>маш.час</t>
        </is>
      </c>
      <c r="E28" s="383" t="n">
        <v>3.88</v>
      </c>
      <c r="F28" s="306" t="n">
        <v>111.99</v>
      </c>
      <c r="G28" s="176">
        <f>ROUND(E28*F28,2)</f>
        <v/>
      </c>
      <c r="H28" s="307">
        <f>G28/$G$35</f>
        <v/>
      </c>
      <c r="I28" s="176">
        <f>ROUND(F28*Прил.10!$D$12,2)</f>
        <v/>
      </c>
      <c r="J28" s="176">
        <f>ROUND(I28*E28,2)</f>
        <v/>
      </c>
    </row>
    <row r="29" hidden="1" outlineLevel="1" ht="25.5" customFormat="1" customHeight="1" s="235">
      <c r="A29" s="301" t="n">
        <v>9</v>
      </c>
      <c r="B29" s="212" t="inlineStr">
        <is>
          <t>91.14.02-001</t>
        </is>
      </c>
      <c r="C29" s="304" t="inlineStr">
        <is>
          <t>Автомобили бортовые, грузоподъемность: до 5 т</t>
        </is>
      </c>
      <c r="D29" s="301" t="inlineStr">
        <is>
          <t>маш.час</t>
        </is>
      </c>
      <c r="E29" s="383" t="n">
        <v>2.4</v>
      </c>
      <c r="F29" s="306" t="n">
        <v>65.70999999999999</v>
      </c>
      <c r="G29" s="176">
        <f>ROUND(E29*F29,2)</f>
        <v/>
      </c>
      <c r="H29" s="307">
        <f>G29/$G$35</f>
        <v/>
      </c>
      <c r="I29" s="176">
        <f>ROUND(F29*Прил.10!$D$12,2)</f>
        <v/>
      </c>
      <c r="J29" s="176">
        <f>ROUND(I29*E29,2)</f>
        <v/>
      </c>
    </row>
    <row r="30" hidden="1" outlineLevel="1" ht="25.5" customFormat="1" customHeight="1" s="235">
      <c r="A30" s="301" t="n">
        <v>10</v>
      </c>
      <c r="B30" s="212" t="inlineStr">
        <is>
          <t>91.06.06-042</t>
        </is>
      </c>
      <c r="C30" s="304" t="inlineStr">
        <is>
          <t>Подъемники гидравлические высотой подъема: 10 м</t>
        </is>
      </c>
      <c r="D30" s="301" t="inlineStr">
        <is>
          <t>маш.час</t>
        </is>
      </c>
      <c r="E30" s="383" t="n">
        <v>1.86</v>
      </c>
      <c r="F30" s="306" t="n">
        <v>29.6</v>
      </c>
      <c r="G30" s="176">
        <f>ROUND(E30*F30,2)</f>
        <v/>
      </c>
      <c r="H30" s="307">
        <f>G30/$G$35</f>
        <v/>
      </c>
      <c r="I30" s="176">
        <f>ROUND(F30*Прил.10!$D$12,2)</f>
        <v/>
      </c>
      <c r="J30" s="176">
        <f>ROUND(I30*E30,2)</f>
        <v/>
      </c>
    </row>
    <row r="31" hidden="1" outlineLevel="1" ht="25.5" customFormat="1" customHeight="1" s="235">
      <c r="A31" s="301" t="n">
        <v>11</v>
      </c>
      <c r="B31" s="212" t="inlineStr">
        <is>
          <t>91.17.04-233</t>
        </is>
      </c>
      <c r="C31" s="304" t="inlineStr">
        <is>
          <t>Установки для сварки: ручной дуговой (постоянного тока)</t>
        </is>
      </c>
      <c r="D31" s="301" t="inlineStr">
        <is>
          <t>маш.час</t>
        </is>
      </c>
      <c r="E31" s="383" t="n">
        <v>4.9</v>
      </c>
      <c r="F31" s="306" t="n">
        <v>8.1</v>
      </c>
      <c r="G31" s="176">
        <f>ROUND(E31*F31,2)</f>
        <v/>
      </c>
      <c r="H31" s="307">
        <f>G31/$G$35</f>
        <v/>
      </c>
      <c r="I31" s="176">
        <f>ROUND(F31*Прил.10!$D$12,2)</f>
        <v/>
      </c>
      <c r="J31" s="176">
        <f>ROUND(I31*E31,2)</f>
        <v/>
      </c>
    </row>
    <row r="32" hidden="1" outlineLevel="1" ht="25.5" customFormat="1" customHeight="1" s="235">
      <c r="A32" s="301" t="n">
        <v>12</v>
      </c>
      <c r="B32" s="212" t="inlineStr">
        <is>
          <t>91.06.01-003</t>
        </is>
      </c>
      <c r="C32" s="304" t="inlineStr">
        <is>
          <t>Домкраты гидравлические, грузоподъемность 63-100 т</t>
        </is>
      </c>
      <c r="D32" s="301" t="inlineStr">
        <is>
          <t>маш.час</t>
        </is>
      </c>
      <c r="E32" s="383" t="n">
        <v>21.95</v>
      </c>
      <c r="F32" s="306" t="n">
        <v>0.9</v>
      </c>
      <c r="G32" s="176">
        <f>ROUND(E32*F32,2)</f>
        <v/>
      </c>
      <c r="H32" s="307">
        <f>G32/$G$35</f>
        <v/>
      </c>
      <c r="I32" s="176">
        <f>ROUND(F32*Прил.10!$D$12,2)</f>
        <v/>
      </c>
      <c r="J32" s="176">
        <f>ROUND(I32*E32,2)</f>
        <v/>
      </c>
    </row>
    <row r="33" collapsed="1" ht="14.25" customFormat="1" customHeight="1" s="235">
      <c r="A33" s="301" t="n"/>
      <c r="B33" s="301" t="n"/>
      <c r="C33" s="304" t="inlineStr">
        <is>
          <t>Итого прочие машины и механизмы</t>
        </is>
      </c>
      <c r="D33" s="301" t="n"/>
      <c r="E33" s="305" t="n"/>
      <c r="F33" s="176" t="n"/>
      <c r="G33" s="171">
        <f>SUM(G28:G32)</f>
        <v/>
      </c>
      <c r="H33" s="307">
        <f>G33/G35</f>
        <v/>
      </c>
      <c r="I33" s="176" t="n"/>
      <c r="J33" s="171">
        <f>SUM(J28:J32)</f>
        <v/>
      </c>
    </row>
    <row r="34" ht="25.5" customFormat="1" customHeight="1" s="235">
      <c r="A34" s="301" t="n"/>
      <c r="B34" s="301" t="n"/>
      <c r="C34" s="172" t="inlineStr">
        <is>
          <t>Итого прочие машины и механизмы 
(с коэффициентом на демонтаж 0,7)</t>
        </is>
      </c>
      <c r="D34" s="301" t="n"/>
      <c r="E34" s="305" t="n"/>
      <c r="F34" s="176" t="n"/>
      <c r="G34" s="176">
        <f>G33*0.7</f>
        <v/>
      </c>
      <c r="H34" s="307">
        <f>G34/G36</f>
        <v/>
      </c>
      <c r="I34" s="176" t="n"/>
      <c r="J34" s="176">
        <f>J33*0.7</f>
        <v/>
      </c>
    </row>
    <row r="35" ht="25.5" customFormat="1" customHeight="1" s="235">
      <c r="A35" s="301" t="n"/>
      <c r="B35" s="301" t="n"/>
      <c r="C35" s="289" t="inlineStr">
        <is>
          <t>Итого по разделу «Машины и механизмы»</t>
        </is>
      </c>
      <c r="D35" s="301" t="n"/>
      <c r="E35" s="305" t="n"/>
      <c r="F35" s="176" t="n"/>
      <c r="G35" s="176">
        <f>G33+G26</f>
        <v/>
      </c>
      <c r="H35" s="187" t="n">
        <v>1</v>
      </c>
      <c r="I35" s="188" t="n"/>
      <c r="J35" s="186">
        <f>J33+J26</f>
        <v/>
      </c>
    </row>
    <row r="36" ht="38.25" customFormat="1" customHeight="1" s="235">
      <c r="A36" s="301" t="n"/>
      <c r="B36" s="301" t="n"/>
      <c r="C36" s="183" t="inlineStr">
        <is>
          <t>Итого по разделу «Машины и механизмы»  
(с коэффициентом на демонтаж 0,7)</t>
        </is>
      </c>
      <c r="D36" s="303" t="n"/>
      <c r="E36" s="185" t="n"/>
      <c r="F36" s="186" t="n"/>
      <c r="G36" s="186">
        <f>G27+G34</f>
        <v/>
      </c>
      <c r="H36" s="187" t="n">
        <v>1</v>
      </c>
      <c r="I36" s="188" t="n"/>
      <c r="J36" s="186">
        <f>J27+J34</f>
        <v/>
      </c>
    </row>
    <row r="37" ht="14.25" customFormat="1" customHeight="1" s="235">
      <c r="A37" s="301" t="n"/>
      <c r="B37" s="289" t="inlineStr">
        <is>
          <t>Оборудование</t>
        </is>
      </c>
      <c r="C37" s="377" t="n"/>
      <c r="D37" s="377" t="n"/>
      <c r="E37" s="377" t="n"/>
      <c r="F37" s="377" t="n"/>
      <c r="G37" s="377" t="n"/>
      <c r="H37" s="378" t="n"/>
      <c r="I37" s="163" t="n"/>
      <c r="J37" s="163" t="n"/>
    </row>
    <row r="38">
      <c r="A38" s="301" t="n"/>
      <c r="B38" s="304" t="inlineStr">
        <is>
          <t>Основное оборудование</t>
        </is>
      </c>
      <c r="C38" s="377" t="n"/>
      <c r="D38" s="377" t="n"/>
      <c r="E38" s="377" t="n"/>
      <c r="F38" s="377" t="n"/>
      <c r="G38" s="377" t="n"/>
      <c r="H38" s="378" t="n"/>
      <c r="I38" s="163" t="n"/>
      <c r="J38" s="163" t="n"/>
    </row>
    <row r="39">
      <c r="A39" s="301" t="n"/>
      <c r="B39" s="301" t="n"/>
      <c r="C39" s="304" t="inlineStr">
        <is>
          <t>Итого основное оборудование</t>
        </is>
      </c>
      <c r="D39" s="301" t="n"/>
      <c r="E39" s="383" t="n"/>
      <c r="F39" s="306" t="n"/>
      <c r="G39" s="176" t="n">
        <v>0</v>
      </c>
      <c r="H39" s="308" t="n">
        <v>0</v>
      </c>
      <c r="I39" s="171" t="n"/>
      <c r="J39" s="176" t="n">
        <v>0</v>
      </c>
    </row>
    <row r="40">
      <c r="A40" s="301" t="n"/>
      <c r="B40" s="301" t="n"/>
      <c r="C40" s="304" t="inlineStr">
        <is>
          <t>Итого прочее оборудование</t>
        </is>
      </c>
      <c r="D40" s="301" t="n"/>
      <c r="E40" s="383" t="n"/>
      <c r="F40" s="306" t="n"/>
      <c r="G40" s="176" t="n">
        <v>0</v>
      </c>
      <c r="H40" s="307" t="n">
        <v>0</v>
      </c>
      <c r="I40" s="171" t="n"/>
      <c r="J40" s="176" t="n">
        <v>0</v>
      </c>
    </row>
    <row r="41">
      <c r="A41" s="301" t="n"/>
      <c r="B41" s="301" t="n"/>
      <c r="C41" s="289" t="inlineStr">
        <is>
          <t>Итого по разделу «Оборудование»</t>
        </is>
      </c>
      <c r="D41" s="301" t="n"/>
      <c r="E41" s="305" t="n"/>
      <c r="F41" s="306" t="n"/>
      <c r="G41" s="176">
        <f>G40+G39</f>
        <v/>
      </c>
      <c r="H41" s="308">
        <f>H40+H39</f>
        <v/>
      </c>
      <c r="I41" s="171" t="n"/>
      <c r="J41" s="176">
        <f>J40+J39</f>
        <v/>
      </c>
    </row>
    <row r="42" ht="25.5" customHeight="1" s="238">
      <c r="A42" s="301" t="n"/>
      <c r="B42" s="301" t="n"/>
      <c r="C42" s="304" t="inlineStr">
        <is>
          <t>в том числе технологическое оборудование</t>
        </is>
      </c>
      <c r="D42" s="301" t="n"/>
      <c r="E42" s="386" t="n"/>
      <c r="F42" s="306" t="n"/>
      <c r="G42" s="176" t="n">
        <v>0</v>
      </c>
      <c r="H42" s="308" t="n"/>
      <c r="I42" s="171" t="n"/>
      <c r="J42" s="176">
        <f>J41</f>
        <v/>
      </c>
    </row>
    <row r="43" ht="14.25" customFormat="1" customHeight="1" s="235">
      <c r="A43" s="301" t="n"/>
      <c r="B43" s="289" t="inlineStr">
        <is>
          <t>Материалы</t>
        </is>
      </c>
      <c r="C43" s="377" t="n"/>
      <c r="D43" s="377" t="n"/>
      <c r="E43" s="377" t="n"/>
      <c r="F43" s="377" t="n"/>
      <c r="G43" s="377" t="n"/>
      <c r="H43" s="378" t="n"/>
      <c r="I43" s="190" t="n"/>
      <c r="J43" s="190" t="n"/>
    </row>
    <row r="44" ht="14.25" customFormat="1" customHeight="1" s="235">
      <c r="A44" s="301" t="n"/>
      <c r="B44" s="304" t="inlineStr">
        <is>
          <t>Основные материалы</t>
        </is>
      </c>
      <c r="C44" s="377" t="n"/>
      <c r="D44" s="377" t="n"/>
      <c r="E44" s="377" t="n"/>
      <c r="F44" s="377" t="n"/>
      <c r="G44" s="377" t="n"/>
      <c r="H44" s="378" t="n"/>
      <c r="I44" s="190" t="n"/>
      <c r="J44" s="190" t="n"/>
    </row>
    <row r="45" ht="14.25" customFormat="1" customHeight="1" s="235">
      <c r="A45" s="301" t="n"/>
      <c r="B45" s="212" t="n"/>
      <c r="C45" s="304" t="inlineStr">
        <is>
          <t>Итого основные материалы</t>
        </is>
      </c>
      <c r="D45" s="301" t="n"/>
      <c r="E45" s="383" t="n"/>
      <c r="F45" s="176" t="n"/>
      <c r="G45" s="176" t="n">
        <v>0</v>
      </c>
      <c r="H45" s="307" t="n">
        <v>0</v>
      </c>
      <c r="I45" s="176" t="n"/>
      <c r="J45" s="176" t="n">
        <v>0</v>
      </c>
    </row>
    <row r="46" ht="14.25" customFormat="1" customHeight="1" s="235">
      <c r="A46" s="301" t="n"/>
      <c r="B46" s="301" t="n"/>
      <c r="C46" s="304" t="inlineStr">
        <is>
          <t>Итого прочие материалы</t>
        </is>
      </c>
      <c r="D46" s="301" t="n"/>
      <c r="E46" s="305" t="n"/>
      <c r="F46" s="306" t="n"/>
      <c r="G46" s="176" t="n">
        <v>0</v>
      </c>
      <c r="H46" s="307" t="n">
        <v>0</v>
      </c>
      <c r="I46" s="176" t="n"/>
      <c r="J46" s="176" t="n">
        <v>0</v>
      </c>
    </row>
    <row r="47" ht="14.25" customFormat="1" customHeight="1" s="235">
      <c r="A47" s="301" t="n"/>
      <c r="B47" s="301" t="n"/>
      <c r="C47" s="289" t="inlineStr">
        <is>
          <t>Итого по разделу «Материалы»</t>
        </is>
      </c>
      <c r="D47" s="301" t="n"/>
      <c r="E47" s="305" t="n"/>
      <c r="F47" s="306" t="n"/>
      <c r="G47" s="176">
        <f>G45+G46</f>
        <v/>
      </c>
      <c r="H47" s="307" t="n">
        <v>0</v>
      </c>
      <c r="I47" s="176" t="n"/>
      <c r="J47" s="176">
        <f>J45+J46</f>
        <v/>
      </c>
    </row>
    <row r="48" ht="14.25" customFormat="1" customHeight="1" s="235">
      <c r="A48" s="301" t="n"/>
      <c r="B48" s="301" t="n"/>
      <c r="C48" s="304" t="inlineStr">
        <is>
          <t>ИТОГО ПО РМ</t>
        </is>
      </c>
      <c r="D48" s="301" t="n"/>
      <c r="E48" s="305" t="n"/>
      <c r="F48" s="306" t="n"/>
      <c r="G48" s="176">
        <f>G16+G35</f>
        <v/>
      </c>
      <c r="H48" s="307" t="n"/>
      <c r="I48" s="176" t="n"/>
      <c r="J48" s="176">
        <f>J16+J35+J47</f>
        <v/>
      </c>
    </row>
    <row r="49" ht="25.5" customFormat="1" customHeight="1" s="235">
      <c r="A49" s="301" t="n"/>
      <c r="B49" s="301" t="n"/>
      <c r="C49" s="304" t="inlineStr">
        <is>
          <t>ИТОГО ПО РМ
(с коэффициентом на демонтаж 0,7)</t>
        </is>
      </c>
      <c r="D49" s="301" t="n"/>
      <c r="E49" s="305" t="n"/>
      <c r="F49" s="306" t="n"/>
      <c r="G49" s="176">
        <f>G17+G36</f>
        <v/>
      </c>
      <c r="H49" s="307" t="n"/>
      <c r="I49" s="176" t="n"/>
      <c r="J49" s="176">
        <f>J16*0.7+J35*0.7+J47</f>
        <v/>
      </c>
    </row>
    <row r="50" ht="14.25" customFormat="1" customHeight="1" s="235">
      <c r="A50" s="301" t="n"/>
      <c r="B50" s="301" t="n"/>
      <c r="C50" s="304" t="inlineStr">
        <is>
          <t>Накладные расходы</t>
        </is>
      </c>
      <c r="D50" s="193">
        <f>ROUND(G50/(G$19+$G$16),2)</f>
        <v/>
      </c>
      <c r="E50" s="305" t="n"/>
      <c r="F50" s="306" t="n"/>
      <c r="G50" s="176" t="n">
        <v>8668.42</v>
      </c>
      <c r="H50" s="308" t="n"/>
      <c r="I50" s="176" t="n"/>
      <c r="J50" s="176">
        <f>ROUND(D50*(J16+J19),2)</f>
        <v/>
      </c>
    </row>
    <row r="51" ht="25.5" customFormat="1" customHeight="1" s="235">
      <c r="A51" s="301" t="n"/>
      <c r="B51" s="301" t="n"/>
      <c r="C51" s="304" t="inlineStr">
        <is>
          <t>Накладные расходы 
(с коэффициентом на демонтаж 0,7)</t>
        </is>
      </c>
      <c r="D51" s="194">
        <f>ROUND(G51/(G$20+$G$17),2)</f>
        <v/>
      </c>
      <c r="E51" s="305" t="n"/>
      <c r="F51" s="306" t="n"/>
      <c r="G51" s="176">
        <f>G50*0.7</f>
        <v/>
      </c>
      <c r="H51" s="308" t="n"/>
      <c r="I51" s="176" t="n"/>
      <c r="J51" s="176">
        <f>ROUND(D51*(J17+J20),2)</f>
        <v/>
      </c>
    </row>
    <row r="52" ht="14.25" customFormat="1" customHeight="1" s="235">
      <c r="A52" s="301" t="n"/>
      <c r="B52" s="301" t="n"/>
      <c r="C52" s="304" t="inlineStr">
        <is>
          <t>Сметная прибыль</t>
        </is>
      </c>
      <c r="D52" s="193">
        <f>ROUND(G52/(G$16+G$19),2)</f>
        <v/>
      </c>
      <c r="E52" s="305" t="n"/>
      <c r="F52" s="306" t="n"/>
      <c r="G52" s="176" t="n">
        <v>6262.74</v>
      </c>
      <c r="H52" s="308" t="n"/>
      <c r="I52" s="176" t="n"/>
      <c r="J52" s="176">
        <f>ROUND(D52*(J16+J19),2)</f>
        <v/>
      </c>
    </row>
    <row r="53" ht="25.5" customFormat="1" customHeight="1" s="235">
      <c r="A53" s="301" t="n"/>
      <c r="B53" s="301" t="n"/>
      <c r="C53" s="304" t="inlineStr">
        <is>
          <t>Сметная прибыль 
(с коэффициентом на демонтаж 0,7)</t>
        </is>
      </c>
      <c r="D53" s="194">
        <f>ROUND(G53/(G$17+G$20),2)</f>
        <v/>
      </c>
      <c r="E53" s="305" t="n"/>
      <c r="F53" s="306" t="n"/>
      <c r="G53" s="176">
        <f>G52*0.7</f>
        <v/>
      </c>
      <c r="H53" s="308" t="n"/>
      <c r="I53" s="176" t="n"/>
      <c r="J53" s="176">
        <f>ROUND(D53*(J17+J20),2)</f>
        <v/>
      </c>
    </row>
    <row r="54" ht="25.5" customFormat="1" customHeight="1" s="235">
      <c r="A54" s="301" t="n"/>
      <c r="B54" s="301" t="n"/>
      <c r="C54" s="304" t="inlineStr">
        <is>
          <t>Итого СМР (с НР и СП) 
(с коэффициентом на демонтаж 0,7)</t>
        </is>
      </c>
      <c r="D54" s="301" t="n"/>
      <c r="E54" s="305" t="n"/>
      <c r="F54" s="306" t="n"/>
      <c r="G54" s="176">
        <f>G49+G51+G53</f>
        <v/>
      </c>
      <c r="H54" s="308" t="n"/>
      <c r="I54" s="176" t="n"/>
      <c r="J54" s="176">
        <f>ROUND((J49+J51+J53),2)</f>
        <v/>
      </c>
    </row>
    <row r="55" ht="25.5" customFormat="1" customHeight="1" s="235">
      <c r="A55" s="301" t="n"/>
      <c r="B55" s="301" t="n"/>
      <c r="C55" s="304" t="inlineStr">
        <is>
          <t>ВСЕГО СМР + ОБОРУДОВАНИЕ 
(с коэффициентом на демонтаж 0,7)</t>
        </is>
      </c>
      <c r="D55" s="301" t="n"/>
      <c r="E55" s="305" t="n"/>
      <c r="F55" s="306" t="n"/>
      <c r="G55" s="176">
        <f>G54</f>
        <v/>
      </c>
      <c r="H55" s="308" t="n"/>
      <c r="I55" s="176" t="n"/>
      <c r="J55" s="176">
        <f>J54</f>
        <v/>
      </c>
    </row>
    <row r="56" ht="34.5" customFormat="1" customHeight="1" s="235">
      <c r="A56" s="301" t="n"/>
      <c r="B56" s="301" t="n"/>
      <c r="C56" s="304" t="inlineStr">
        <is>
          <t>ИТОГО ПОКАЗАТЕЛЬ НА ЕД. ИЗМ.</t>
        </is>
      </c>
      <c r="D56" s="301" t="inlineStr">
        <is>
          <t>1 ед.</t>
        </is>
      </c>
      <c r="E56" s="305" t="n">
        <v>1</v>
      </c>
      <c r="F56" s="306" t="n"/>
      <c r="G56" s="176">
        <f>G55/E56</f>
        <v/>
      </c>
      <c r="H56" s="308" t="n"/>
      <c r="I56" s="176" t="n"/>
      <c r="J56" s="186">
        <f>J55/E56</f>
        <v/>
      </c>
    </row>
    <row r="58" ht="14.25" customFormat="1" customHeight="1" s="235">
      <c r="A58" s="237" t="inlineStr">
        <is>
          <t>Составил ______________________     Д.Ю. Нефедова</t>
        </is>
      </c>
    </row>
    <row r="59" ht="14.25" customFormat="1" customHeight="1" s="235">
      <c r="A59" s="234" t="inlineStr">
        <is>
          <t xml:space="preserve">                         (подпись, инициалы, фамилия)</t>
        </is>
      </c>
    </row>
    <row r="60" ht="14.25" customFormat="1" customHeight="1" s="235">
      <c r="A60" s="237" t="n"/>
    </row>
    <row r="61" ht="14.25" customFormat="1" customHeight="1" s="235">
      <c r="A61" s="237" t="inlineStr">
        <is>
          <t>Проверил ______________________        А.В. Костянецкая</t>
        </is>
      </c>
    </row>
    <row r="62" ht="14.25" customFormat="1" customHeight="1" s="235">
      <c r="A62" s="23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C9:C10"/>
    <mergeCell ref="E9:E10"/>
    <mergeCell ref="A7:H7"/>
    <mergeCell ref="B22:H22"/>
    <mergeCell ref="B9:B10"/>
    <mergeCell ref="D9:D10"/>
    <mergeCell ref="B18:H18"/>
    <mergeCell ref="B21:H21"/>
    <mergeCell ref="B43:H43"/>
    <mergeCell ref="B12:H12"/>
    <mergeCell ref="D6:J6"/>
    <mergeCell ref="A8:H8"/>
    <mergeCell ref="F9:G9"/>
    <mergeCell ref="A9:A10"/>
    <mergeCell ref="B44:H44"/>
    <mergeCell ref="B38:H38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I35" sqref="I35"/>
    </sheetView>
  </sheetViews>
  <sheetFormatPr baseColWidth="8" defaultRowHeight="15"/>
  <cols>
    <col width="5.7109375" customWidth="1" style="238" min="1" max="1"/>
    <col width="17.5703125" customWidth="1" style="238" min="2" max="2"/>
    <col width="39.140625" customWidth="1" style="238" min="3" max="3"/>
    <col width="10.7109375" customWidth="1" style="320" min="4" max="4"/>
    <col width="13.85546875" customWidth="1" style="238" min="5" max="5"/>
    <col width="13.28515625" customWidth="1" style="238" min="6" max="6"/>
    <col width="14.140625" customWidth="1" style="238" min="7" max="7"/>
  </cols>
  <sheetData>
    <row r="1">
      <c r="A1" s="314" t="inlineStr">
        <is>
          <t>Приложение №6</t>
        </is>
      </c>
    </row>
    <row r="2" ht="21.75" customHeight="1" s="238">
      <c r="A2" s="314" t="n"/>
      <c r="B2" s="314" t="n"/>
      <c r="C2" s="314" t="n"/>
      <c r="D2" s="322" t="n"/>
      <c r="E2" s="314" t="n"/>
      <c r="F2" s="314" t="n"/>
      <c r="G2" s="314" t="n"/>
    </row>
    <row r="3">
      <c r="A3" s="269" t="inlineStr">
        <is>
          <t>Расчет стоимости оборудования</t>
        </is>
      </c>
    </row>
    <row r="4" ht="25.5" customHeight="1" s="238">
      <c r="A4" s="272" t="inlineStr">
        <is>
          <t>Наименование разрабатываемого показателя УНЦ — Демонтаж трансформаторов напряжения 35 кВ</t>
        </is>
      </c>
    </row>
    <row r="5">
      <c r="A5" s="237" t="n"/>
      <c r="B5" s="237" t="n"/>
      <c r="C5" s="237" t="n"/>
      <c r="D5" s="322" t="n"/>
      <c r="E5" s="237" t="n"/>
      <c r="F5" s="237" t="n"/>
      <c r="G5" s="237" t="n"/>
    </row>
    <row r="6" ht="30" customHeight="1" s="238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301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301" t="inlineStr">
        <is>
          <t>на ед. изм.</t>
        </is>
      </c>
      <c r="G7" s="301" t="inlineStr">
        <is>
          <t>общая</t>
        </is>
      </c>
    </row>
    <row r="8">
      <c r="A8" s="301" t="n">
        <v>1</v>
      </c>
      <c r="B8" s="301" t="n">
        <v>2</v>
      </c>
      <c r="C8" s="301" t="n">
        <v>3</v>
      </c>
      <c r="D8" s="301" t="n">
        <v>4</v>
      </c>
      <c r="E8" s="301" t="n">
        <v>5</v>
      </c>
      <c r="F8" s="301" t="n">
        <v>6</v>
      </c>
      <c r="G8" s="301" t="n">
        <v>7</v>
      </c>
    </row>
    <row r="9" ht="15" customHeight="1" s="238">
      <c r="A9" s="24" t="n"/>
      <c r="B9" s="304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38">
      <c r="A10" s="301" t="n"/>
      <c r="B10" s="289" t="n"/>
      <c r="C10" s="304" t="inlineStr">
        <is>
          <t>ИТОГО ИНЖЕНЕРНОЕ ОБОРУДОВАНИЕ</t>
        </is>
      </c>
      <c r="D10" s="309" t="n"/>
      <c r="E10" s="218" t="n"/>
      <c r="F10" s="306" t="n"/>
      <c r="G10" s="306" t="n">
        <v>0</v>
      </c>
    </row>
    <row r="11">
      <c r="A11" s="301" t="n"/>
      <c r="B11" s="304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38">
      <c r="A12" s="301" t="n"/>
      <c r="B12" s="304" t="n"/>
      <c r="C12" s="304" t="inlineStr">
        <is>
          <t>ИТОГО ТЕХНОЛОГИЧЕСКОЕ ОБОРУДОВАНИЕ</t>
        </is>
      </c>
      <c r="D12" s="301" t="n"/>
      <c r="E12" s="318" t="n"/>
      <c r="F12" s="306" t="n"/>
      <c r="G12" s="176" t="n">
        <v>0</v>
      </c>
    </row>
    <row r="13" ht="19.5" customHeight="1" s="238">
      <c r="A13" s="301" t="n"/>
      <c r="B13" s="304" t="n"/>
      <c r="C13" s="304" t="inlineStr">
        <is>
          <t>Всего по разделу «Оборудование»</t>
        </is>
      </c>
      <c r="D13" s="301" t="n"/>
      <c r="E13" s="318" t="n"/>
      <c r="F13" s="306" t="n"/>
      <c r="G13" s="176">
        <f>G10+G12</f>
        <v/>
      </c>
    </row>
    <row r="14">
      <c r="A14" s="236" t="n"/>
      <c r="B14" s="232" t="n"/>
      <c r="C14" s="236" t="n"/>
      <c r="D14" s="220" t="n"/>
      <c r="E14" s="236" t="n"/>
      <c r="F14" s="236" t="n"/>
      <c r="G14" s="236" t="n"/>
    </row>
    <row r="15">
      <c r="A15" s="365" t="inlineStr">
        <is>
          <t>Составил ______________________    Д.Ю. Нефедова</t>
        </is>
      </c>
      <c r="B15" s="235" t="n"/>
      <c r="C15" s="235" t="n"/>
      <c r="D15" s="220" t="n"/>
      <c r="E15" s="236" t="n"/>
      <c r="F15" s="236" t="n"/>
      <c r="G15" s="236" t="n"/>
    </row>
    <row r="16">
      <c r="A16" s="234" t="inlineStr">
        <is>
          <t xml:space="preserve">                         (подпись, инициалы, фамилия)</t>
        </is>
      </c>
      <c r="B16" s="235" t="n"/>
      <c r="C16" s="235" t="n"/>
      <c r="D16" s="220" t="n"/>
      <c r="E16" s="236" t="n"/>
      <c r="F16" s="236" t="n"/>
      <c r="G16" s="236" t="n"/>
    </row>
    <row r="17">
      <c r="A17" s="237" t="n"/>
      <c r="B17" s="235" t="n"/>
      <c r="C17" s="235" t="n"/>
      <c r="D17" s="220" t="n"/>
      <c r="E17" s="236" t="n"/>
      <c r="F17" s="236" t="n"/>
      <c r="G17" s="236" t="n"/>
    </row>
    <row r="18">
      <c r="A18" s="237" t="inlineStr">
        <is>
          <t>Проверил ______________________        А.В. Костянецкая</t>
        </is>
      </c>
      <c r="B18" s="235" t="n"/>
      <c r="C18" s="235" t="n"/>
      <c r="D18" s="220" t="n"/>
      <c r="E18" s="236" t="n"/>
      <c r="F18" s="236" t="n"/>
      <c r="G18" s="236" t="n"/>
    </row>
    <row r="19">
      <c r="A19" s="234" t="inlineStr">
        <is>
          <t xml:space="preserve">                        (подпись, инициалы, фамилия)</t>
        </is>
      </c>
      <c r="B19" s="235" t="n"/>
      <c r="C19" s="235" t="n"/>
      <c r="D19" s="220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38" min="1" max="1"/>
    <col width="29.7109375" customWidth="1" style="238" min="2" max="2"/>
    <col width="38.140625" customWidth="1" style="238" min="3" max="3"/>
    <col width="32.28515625" customWidth="1" style="238" min="4" max="4"/>
  </cols>
  <sheetData>
    <row r="1">
      <c r="B1" s="237" t="n"/>
      <c r="C1" s="237" t="n"/>
      <c r="D1" s="314" t="inlineStr">
        <is>
          <t>Приложение №7</t>
        </is>
      </c>
    </row>
    <row r="2">
      <c r="A2" s="314" t="n"/>
      <c r="B2" s="314" t="n"/>
      <c r="C2" s="314" t="n"/>
      <c r="D2" s="314" t="n"/>
    </row>
    <row r="3" ht="24.75" customHeight="1" s="238">
      <c r="A3" s="269" t="inlineStr">
        <is>
          <t>Расчет показателя УНЦ</t>
        </is>
      </c>
    </row>
    <row r="4" ht="24.75" customHeight="1" s="238">
      <c r="A4" s="269" t="n"/>
      <c r="B4" s="269" t="n"/>
      <c r="C4" s="269" t="n"/>
      <c r="D4" s="269" t="n"/>
    </row>
    <row r="5" ht="49.5" customHeight="1" s="238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9.9" customHeight="1" s="238">
      <c r="A6" s="272" t="inlineStr">
        <is>
          <t>Единица измерения  — 1 ед.</t>
        </is>
      </c>
      <c r="D6" s="272" t="n"/>
    </row>
    <row r="7">
      <c r="A7" s="237" t="n"/>
      <c r="B7" s="237" t="n"/>
      <c r="C7" s="237" t="n"/>
      <c r="D7" s="237" t="n"/>
    </row>
    <row r="8" ht="14.45" customHeight="1" s="238">
      <c r="A8" s="283" t="inlineStr">
        <is>
          <t>Код показателя</t>
        </is>
      </c>
      <c r="B8" s="283" t="inlineStr">
        <is>
          <t>Наименование показателя</t>
        </is>
      </c>
      <c r="C8" s="283" t="inlineStr">
        <is>
          <t>Наименование РМ, входящих в состав показателя</t>
        </is>
      </c>
      <c r="D8" s="283" t="inlineStr">
        <is>
          <t>Норматив цены на 01.01.2023, тыс.руб.</t>
        </is>
      </c>
    </row>
    <row r="9" ht="15" customHeight="1" s="238">
      <c r="A9" s="380" t="n"/>
      <c r="B9" s="380" t="n"/>
      <c r="C9" s="380" t="n"/>
      <c r="D9" s="380" t="n"/>
    </row>
    <row r="10">
      <c r="A10" s="301" t="n">
        <v>1</v>
      </c>
      <c r="B10" s="301" t="n">
        <v>2</v>
      </c>
      <c r="C10" s="301" t="n">
        <v>3</v>
      </c>
      <c r="D10" s="301" t="n">
        <v>4</v>
      </c>
    </row>
    <row r="11" ht="41.45" customHeight="1" s="238">
      <c r="A11" s="301" t="inlineStr">
        <is>
          <t>М6-10-2</t>
        </is>
      </c>
      <c r="B11" s="301" t="inlineStr">
        <is>
          <t>УНЦ на демонтажные работы ПС</t>
        </is>
      </c>
      <c r="C11" s="228" t="inlineStr">
        <is>
          <t>Демонтаж трансформаторов напряжения 35 кВ</t>
        </is>
      </c>
      <c r="D11" s="229">
        <f>'Прил.4 РМ'!C41/1000</f>
        <v/>
      </c>
      <c r="E11" s="230" t="n"/>
    </row>
    <row r="12">
      <c r="A12" s="236" t="n"/>
      <c r="B12" s="232" t="n"/>
      <c r="C12" s="236" t="n"/>
      <c r="D12" s="236" t="n"/>
    </row>
    <row r="13">
      <c r="A13" s="237" t="inlineStr">
        <is>
          <t>Составил ______________________      Д.Ю. Нефедова</t>
        </is>
      </c>
      <c r="B13" s="235" t="n"/>
      <c r="C13" s="235" t="n"/>
      <c r="D13" s="236" t="n"/>
    </row>
    <row r="14">
      <c r="A14" s="234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7" t="n"/>
      <c r="B15" s="235" t="n"/>
      <c r="C15" s="235" t="n"/>
      <c r="D15" s="236" t="n"/>
    </row>
    <row r="16">
      <c r="A16" s="237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4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8" min="2" max="2"/>
    <col width="37" customWidth="1" style="238" min="3" max="3"/>
    <col width="32" customWidth="1" style="238" min="4" max="4"/>
  </cols>
  <sheetData>
    <row r="4" ht="15.75" customHeight="1" s="238">
      <c r="B4" s="276" t="inlineStr">
        <is>
          <t>Приложение № 10</t>
        </is>
      </c>
    </row>
    <row r="5" ht="18.75" customHeight="1" s="238">
      <c r="B5" s="112" t="n"/>
    </row>
    <row r="6" ht="15.75" customHeight="1" s="238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20" t="n"/>
    </row>
    <row r="8">
      <c r="B8" s="320" t="n"/>
      <c r="C8" s="320" t="n"/>
      <c r="D8" s="320" t="n"/>
      <c r="E8" s="320" t="n"/>
    </row>
    <row r="9" ht="47.25" customHeight="1" s="238">
      <c r="B9" s="283" t="inlineStr">
        <is>
          <t>Наименование индекса / норм сопутствующих затрат</t>
        </is>
      </c>
      <c r="C9" s="283" t="inlineStr">
        <is>
          <t>Дата применения и обоснование индекса / норм сопутствующих затрат</t>
        </is>
      </c>
      <c r="D9" s="283" t="inlineStr">
        <is>
          <t>Размер индекса / норма сопутствующих затрат</t>
        </is>
      </c>
    </row>
    <row r="10" ht="15.75" customHeight="1" s="238">
      <c r="B10" s="283" t="n">
        <v>1</v>
      </c>
      <c r="C10" s="283" t="n">
        <v>2</v>
      </c>
      <c r="D10" s="283" t="n">
        <v>3</v>
      </c>
    </row>
    <row r="11" ht="45" customHeight="1" s="238">
      <c r="B11" s="283" t="inlineStr">
        <is>
          <t xml:space="preserve">Индекс изменения сметной стоимости на 1 квартал 2023 года. ОЗП </t>
        </is>
      </c>
      <c r="C11" s="283" t="inlineStr">
        <is>
          <t>Письмо Минстроя России от 30.03.2023г. №17106-ИФ/09  прил.1</t>
        </is>
      </c>
      <c r="D11" s="283" t="n">
        <v>44.29</v>
      </c>
    </row>
    <row r="12" ht="29.25" customHeight="1" s="238">
      <c r="B12" s="283" t="inlineStr">
        <is>
          <t>Индекс изменения сметной стоимости на 1 квартал 2023 года. ЭМ</t>
        </is>
      </c>
      <c r="C12" s="283" t="inlineStr">
        <is>
          <t>Письмо Минстроя России от 30.03.2023г. №17106-ИФ/09  прил.1</t>
        </is>
      </c>
      <c r="D12" s="283" t="n">
        <v>13.47</v>
      </c>
    </row>
    <row r="13" ht="29.25" customHeight="1" s="238">
      <c r="B13" s="283" t="inlineStr">
        <is>
          <t>Индекс изменения сметной стоимости на 1 квартал 2023 года. МАТ</t>
        </is>
      </c>
      <c r="C13" s="283" t="inlineStr">
        <is>
          <t>Письмо Минстроя России от 30.03.2023г. №17106-ИФ/09  прил.1</t>
        </is>
      </c>
      <c r="D13" s="283" t="n">
        <v>8.039999999999999</v>
      </c>
    </row>
    <row r="14" ht="30.75" customHeight="1" s="238">
      <c r="B14" s="28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83" t="n">
        <v>6.26</v>
      </c>
    </row>
    <row r="15" ht="89.25" customHeight="1" s="238">
      <c r="B15" s="283" t="inlineStr">
        <is>
          <t>Временные здания и сооружения</t>
        </is>
      </c>
      <c r="C15" s="28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38">
      <c r="B16" s="283" t="inlineStr">
        <is>
          <t>Дополнительные затраты при производстве строительно-монтажных работ в зимнее время</t>
        </is>
      </c>
      <c r="C16" s="28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238">
      <c r="B17" s="283" t="inlineStr">
        <is>
          <t>Строительный контроль</t>
        </is>
      </c>
      <c r="C17" s="283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38">
      <c r="B18" s="283" t="inlineStr">
        <is>
          <t>Авторский надзор - 0,2%</t>
        </is>
      </c>
      <c r="C18" s="283" t="inlineStr">
        <is>
          <t>Приказ от 4.08.2020 № 421/пр п.173</t>
        </is>
      </c>
      <c r="D18" s="115" t="n">
        <v>0.002</v>
      </c>
    </row>
    <row r="19" ht="24" customHeight="1" s="238">
      <c r="B19" s="283" t="inlineStr">
        <is>
          <t>Непредвиденные расходы</t>
        </is>
      </c>
      <c r="C19" s="283" t="inlineStr">
        <is>
          <t>Приказ от 4.08.2020 № 421/пр п.179</t>
        </is>
      </c>
      <c r="D19" s="115" t="n">
        <v>0.03</v>
      </c>
    </row>
    <row r="20" ht="18.75" customHeight="1" s="238">
      <c r="B20" s="113" t="n"/>
    </row>
    <row r="21" ht="18.75" customHeight="1" s="238">
      <c r="B21" s="113" t="n"/>
    </row>
    <row r="22" ht="18.75" customHeight="1" s="238">
      <c r="B22" s="113" t="n"/>
    </row>
    <row r="23" ht="18.75" customHeight="1" s="238">
      <c r="B23" s="113" t="n"/>
    </row>
    <row r="26">
      <c r="B26" s="237" t="inlineStr">
        <is>
          <t>Составил ______________________        Д.Ю. Нефедова</t>
        </is>
      </c>
      <c r="C26" s="235" t="n"/>
    </row>
    <row r="27">
      <c r="B27" s="234" t="inlineStr">
        <is>
          <t xml:space="preserve">                         (подпись, инициалы, фамилия)</t>
        </is>
      </c>
      <c r="C27" s="235" t="n"/>
    </row>
    <row r="28">
      <c r="B28" s="237" t="n"/>
      <c r="C28" s="235" t="n"/>
    </row>
    <row r="29">
      <c r="B29" s="237" t="inlineStr">
        <is>
          <t>Проверил ______________________        А.В. Костянецкая</t>
        </is>
      </c>
      <c r="C29" s="235" t="n"/>
    </row>
    <row r="30">
      <c r="B30" s="234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topLeftCell="A19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38" min="2" max="2"/>
    <col width="13" customWidth="1" style="238" min="3" max="3"/>
    <col width="22.85546875" customWidth="1" style="238" min="4" max="4"/>
    <col width="21.5703125" customWidth="1" style="238" min="5" max="5"/>
    <col width="43.85546875" customWidth="1" style="238" min="6" max="6"/>
  </cols>
  <sheetData>
    <row r="1" s="238"/>
    <row r="2" ht="17.25" customHeight="1" s="238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38"/>
    <row r="4" ht="18" customHeight="1" s="238">
      <c r="A4" s="239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38">
      <c r="A5" s="241" t="inlineStr">
        <is>
          <t>№ пп.</t>
        </is>
      </c>
      <c r="B5" s="241" t="inlineStr">
        <is>
          <t>Наименование элемента</t>
        </is>
      </c>
      <c r="C5" s="241" t="inlineStr">
        <is>
          <t>Обозначение</t>
        </is>
      </c>
      <c r="D5" s="241" t="inlineStr">
        <is>
          <t>Формула</t>
        </is>
      </c>
      <c r="E5" s="241" t="inlineStr">
        <is>
          <t>Величина элемента</t>
        </is>
      </c>
      <c r="F5" s="241" t="inlineStr">
        <is>
          <t>Наименования обосновывающих документов</t>
        </is>
      </c>
      <c r="G5" s="240" t="n"/>
    </row>
    <row r="6" ht="15.75" customHeight="1" s="238">
      <c r="A6" s="241" t="n">
        <v>1</v>
      </c>
      <c r="B6" s="241" t="n">
        <v>2</v>
      </c>
      <c r="C6" s="241" t="n">
        <v>3</v>
      </c>
      <c r="D6" s="241" t="n">
        <v>4</v>
      </c>
      <c r="E6" s="241" t="n">
        <v>5</v>
      </c>
      <c r="F6" s="241" t="n">
        <v>6</v>
      </c>
      <c r="G6" s="240" t="n"/>
    </row>
    <row r="7" ht="110.25" customHeight="1" s="238">
      <c r="A7" s="242" t="inlineStr">
        <is>
          <t>1.1</t>
        </is>
      </c>
      <c r="B7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3" t="inlineStr">
        <is>
          <t>С1ср</t>
        </is>
      </c>
      <c r="D7" s="283" t="inlineStr">
        <is>
          <t>-</t>
        </is>
      </c>
      <c r="E7" s="245" t="n">
        <v>47872.94</v>
      </c>
      <c r="F7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38">
      <c r="A8" s="242" t="inlineStr">
        <is>
          <t>1.2</t>
        </is>
      </c>
      <c r="B8" s="247" t="inlineStr">
        <is>
          <t>Среднегодовое нормативное число часов работы одного рабочего в месяц, часы (ч.)</t>
        </is>
      </c>
      <c r="C8" s="283" t="inlineStr">
        <is>
          <t>tср</t>
        </is>
      </c>
      <c r="D8" s="283" t="inlineStr">
        <is>
          <t>1973ч/12мес.</t>
        </is>
      </c>
      <c r="E8" s="246">
        <f>1973/12</f>
        <v/>
      </c>
      <c r="F8" s="247" t="inlineStr">
        <is>
          <t>Производственный календарь 2023 год
(40-часов.неделя)</t>
        </is>
      </c>
      <c r="G8" s="249" t="n"/>
    </row>
    <row r="9" ht="15.75" customHeight="1" s="238">
      <c r="A9" s="242" t="inlineStr">
        <is>
          <t>1.3</t>
        </is>
      </c>
      <c r="B9" s="247" t="inlineStr">
        <is>
          <t>Коэффициент увеличения</t>
        </is>
      </c>
      <c r="C9" s="283" t="inlineStr">
        <is>
          <t>Кув</t>
        </is>
      </c>
      <c r="D9" s="283" t="inlineStr">
        <is>
          <t>-</t>
        </is>
      </c>
      <c r="E9" s="246" t="n">
        <v>1</v>
      </c>
      <c r="F9" s="247" t="n"/>
      <c r="G9" s="249" t="n"/>
    </row>
    <row r="10" ht="15.75" customHeight="1" s="238">
      <c r="A10" s="242" t="inlineStr">
        <is>
          <t>1.4</t>
        </is>
      </c>
      <c r="B10" s="247" t="inlineStr">
        <is>
          <t>Средний разряд работ</t>
        </is>
      </c>
      <c r="C10" s="283" t="n"/>
      <c r="D10" s="283" t="n"/>
      <c r="E10" s="250" t="n">
        <v>4</v>
      </c>
      <c r="F10" s="247" t="inlineStr">
        <is>
          <t>РТМ</t>
        </is>
      </c>
      <c r="G10" s="249" t="n"/>
    </row>
    <row r="11" ht="78.75" customHeight="1" s="238">
      <c r="A11" s="242" t="inlineStr">
        <is>
          <t>1.5</t>
        </is>
      </c>
      <c r="B11" s="247" t="inlineStr">
        <is>
          <t>Тарифный коэффициент среднего разряда работ</t>
        </is>
      </c>
      <c r="C11" s="283" t="inlineStr">
        <is>
          <t>КТ</t>
        </is>
      </c>
      <c r="D11" s="283" t="inlineStr">
        <is>
          <t>-</t>
        </is>
      </c>
      <c r="E11" s="251" t="n">
        <v>1.34</v>
      </c>
      <c r="F11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38">
      <c r="A12" s="255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87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9" t="n"/>
    </row>
    <row r="13" ht="63" customHeight="1" s="238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  <row r="14" ht="15.75" customHeight="1" s="238">
      <c r="A14" s="369" t="n"/>
      <c r="B14" s="370" t="inlineStr">
        <is>
          <t>Инженер I категории</t>
        </is>
      </c>
      <c r="C14" s="370" t="n"/>
      <c r="D14" s="370" t="n"/>
      <c r="E14" s="370" t="n"/>
      <c r="F14" s="371" t="n"/>
    </row>
    <row r="15" ht="110.25" customHeight="1" s="238">
      <c r="A15" s="242" t="inlineStr">
        <is>
          <t>1.1</t>
        </is>
      </c>
      <c r="B15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83" t="inlineStr">
        <is>
          <t>С1ср</t>
        </is>
      </c>
      <c r="D15" s="283" t="inlineStr">
        <is>
          <t>-</t>
        </is>
      </c>
      <c r="E15" s="245" t="n">
        <v>47872.94</v>
      </c>
      <c r="F15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0" t="n"/>
    </row>
    <row r="16" ht="31.5" customHeight="1" s="238">
      <c r="A16" s="242" t="inlineStr">
        <is>
          <t>1.2</t>
        </is>
      </c>
      <c r="B16" s="247" t="inlineStr">
        <is>
          <t>Среднегодовое нормативное число часов работы одного рабочего в месяц, часы (ч.)</t>
        </is>
      </c>
      <c r="C16" s="283" t="inlineStr">
        <is>
          <t>tср</t>
        </is>
      </c>
      <c r="D16" s="283" t="inlineStr">
        <is>
          <t>1973ч/12мес.</t>
        </is>
      </c>
      <c r="E16" s="246">
        <f>1973/12</f>
        <v/>
      </c>
      <c r="F16" s="247" t="inlineStr">
        <is>
          <t>Производственный календарь 2023 год
(40-часов.неделя)</t>
        </is>
      </c>
      <c r="G16" s="249" t="n"/>
    </row>
    <row r="17" ht="15.75" customHeight="1" s="238">
      <c r="A17" s="242" t="inlineStr">
        <is>
          <t>1.3</t>
        </is>
      </c>
      <c r="B17" s="247" t="inlineStr">
        <is>
          <t>Коэффициент увеличения</t>
        </is>
      </c>
      <c r="C17" s="283" t="inlineStr">
        <is>
          <t>Кув</t>
        </is>
      </c>
      <c r="D17" s="283" t="inlineStr">
        <is>
          <t>-</t>
        </is>
      </c>
      <c r="E17" s="246" t="n">
        <v>1</v>
      </c>
      <c r="F17" s="247" t="n"/>
      <c r="G17" s="249" t="n"/>
    </row>
    <row r="18" ht="15.75" customHeight="1" s="238">
      <c r="A18" s="242" t="inlineStr">
        <is>
          <t>1.4</t>
        </is>
      </c>
      <c r="B18" s="247" t="inlineStr">
        <is>
          <t>Средний разряд работ</t>
        </is>
      </c>
      <c r="C18" s="283" t="n"/>
      <c r="D18" s="283" t="n"/>
      <c r="E18" s="250" t="inlineStr">
        <is>
          <t>Инженер I категории</t>
        </is>
      </c>
      <c r="F18" s="247" t="inlineStr">
        <is>
          <t>РТМ</t>
        </is>
      </c>
      <c r="G18" s="249" t="n"/>
    </row>
    <row r="19" ht="78.75" customHeight="1" s="238">
      <c r="A19" s="255" t="inlineStr">
        <is>
          <t>1.5</t>
        </is>
      </c>
      <c r="B19" s="257" t="inlineStr">
        <is>
          <t>Тарифный коэффициент среднего разряда работ</t>
        </is>
      </c>
      <c r="C19" s="256" t="inlineStr">
        <is>
          <t>КТ</t>
        </is>
      </c>
      <c r="D19" s="256" t="inlineStr">
        <is>
          <t>-</t>
        </is>
      </c>
      <c r="E19" s="261" t="n">
        <v>2.15</v>
      </c>
      <c r="F19" s="25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0" t="n"/>
    </row>
    <row r="20" ht="78.75" customHeight="1" s="238">
      <c r="A20" s="242" t="inlineStr">
        <is>
          <t>1.6</t>
        </is>
      </c>
      <c r="B20" s="292" t="inlineStr">
        <is>
          <t>Коэффициент инфляции, определяемый поквартально</t>
        </is>
      </c>
      <c r="C20" s="283" t="inlineStr">
        <is>
          <t>Кинф</t>
        </is>
      </c>
      <c r="D20" s="283" t="inlineStr">
        <is>
          <t>-</t>
        </is>
      </c>
      <c r="E20" s="388" t="n">
        <v>1.139</v>
      </c>
      <c r="F20" s="2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49" t="n"/>
    </row>
    <row r="21" ht="63" customHeight="1" s="238">
      <c r="A21" s="242" t="inlineStr">
        <is>
          <t>1.7</t>
        </is>
      </c>
      <c r="B21" s="262" t="inlineStr">
        <is>
          <t>Размер средств на оплату труда рабочих-строителей в текущем уровне цен (ФОТр.тек.), руб/чел.-ч</t>
        </is>
      </c>
      <c r="C21" s="283" t="inlineStr">
        <is>
          <t>ФОТр.тек.</t>
        </is>
      </c>
      <c r="D21" s="283" t="inlineStr">
        <is>
          <t>(С1ср/tср*КТ*Т*Кув)*Кинф</t>
        </is>
      </c>
      <c r="E21" s="263">
        <f>((E15*E17/E16)*E19)*E20</f>
        <v/>
      </c>
      <c r="F21" s="2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0" t="n"/>
    </row>
    <row r="22" ht="15.75" customHeight="1" s="238">
      <c r="A22" s="258" t="n"/>
      <c r="B22" s="259" t="inlineStr">
        <is>
          <t>Инженер II категории</t>
        </is>
      </c>
      <c r="C22" s="259" t="n"/>
      <c r="D22" s="259" t="n"/>
      <c r="E22" s="259" t="n"/>
      <c r="F22" s="260" t="n"/>
    </row>
    <row r="23" ht="110.25" customHeight="1" s="238">
      <c r="A23" s="242" t="inlineStr">
        <is>
          <t>1.1</t>
        </is>
      </c>
      <c r="B23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83" t="inlineStr">
        <is>
          <t>С1ср</t>
        </is>
      </c>
      <c r="D23" s="283" t="inlineStr">
        <is>
          <t>-</t>
        </is>
      </c>
      <c r="E23" s="245" t="n">
        <v>47872.94</v>
      </c>
      <c r="F23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0" t="n"/>
    </row>
    <row r="24" ht="31.5" customHeight="1" s="238">
      <c r="A24" s="242" t="inlineStr">
        <is>
          <t>1.2</t>
        </is>
      </c>
      <c r="B24" s="247" t="inlineStr">
        <is>
          <t>Среднегодовое нормативное число часов работы одного рабочего в месяц, часы (ч.)</t>
        </is>
      </c>
      <c r="C24" s="283" t="inlineStr">
        <is>
          <t>tср</t>
        </is>
      </c>
      <c r="D24" s="283" t="inlineStr">
        <is>
          <t>1973ч/12мес.</t>
        </is>
      </c>
      <c r="E24" s="246">
        <f>1973/12</f>
        <v/>
      </c>
      <c r="F24" s="247" t="inlineStr">
        <is>
          <t>Производственный календарь 2023 год
(40-часов.неделя)</t>
        </is>
      </c>
      <c r="G24" s="249" t="n"/>
    </row>
    <row r="25" ht="15.75" customHeight="1" s="238">
      <c r="A25" s="242" t="inlineStr">
        <is>
          <t>1.3</t>
        </is>
      </c>
      <c r="B25" s="247" t="inlineStr">
        <is>
          <t>Коэффициент увеличения</t>
        </is>
      </c>
      <c r="C25" s="283" t="inlineStr">
        <is>
          <t>Кув</t>
        </is>
      </c>
      <c r="D25" s="283" t="inlineStr">
        <is>
          <t>-</t>
        </is>
      </c>
      <c r="E25" s="246" t="n">
        <v>1</v>
      </c>
      <c r="F25" s="247" t="n"/>
      <c r="G25" s="249" t="n"/>
    </row>
    <row r="26" ht="15.75" customHeight="1" s="238">
      <c r="A26" s="242" t="inlineStr">
        <is>
          <t>1.4</t>
        </is>
      </c>
      <c r="B26" s="247" t="inlineStr">
        <is>
          <t>Средний разряд работ</t>
        </is>
      </c>
      <c r="C26" s="283" t="n"/>
      <c r="D26" s="283" t="n"/>
      <c r="E26" s="250" t="inlineStr">
        <is>
          <t>Инженер II категории</t>
        </is>
      </c>
      <c r="F26" s="247" t="inlineStr">
        <is>
          <t>РТМ</t>
        </is>
      </c>
      <c r="G26" s="249" t="n"/>
    </row>
    <row r="27" ht="78.75" customHeight="1" s="238">
      <c r="A27" s="255" t="inlineStr">
        <is>
          <t>1.5</t>
        </is>
      </c>
      <c r="B27" s="257" t="inlineStr">
        <is>
          <t>Тарифный коэффициент среднего разряда работ</t>
        </is>
      </c>
      <c r="C27" s="256" t="inlineStr">
        <is>
          <t>КТ</t>
        </is>
      </c>
      <c r="D27" s="256" t="inlineStr">
        <is>
          <t>-</t>
        </is>
      </c>
      <c r="E27" s="261" t="n">
        <v>1.96</v>
      </c>
      <c r="F27" s="25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0" t="n"/>
    </row>
    <row r="28" ht="78.75" customHeight="1" s="238">
      <c r="A28" s="242" t="inlineStr">
        <is>
          <t>1.6</t>
        </is>
      </c>
      <c r="B28" s="292" t="inlineStr">
        <is>
          <t>Коэффициент инфляции, определяемый поквартально</t>
        </is>
      </c>
      <c r="C28" s="283" t="inlineStr">
        <is>
          <t>Кинф</t>
        </is>
      </c>
      <c r="D28" s="283" t="inlineStr">
        <is>
          <t>-</t>
        </is>
      </c>
      <c r="E28" s="388" t="n">
        <v>1.139</v>
      </c>
      <c r="F28" s="2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49" t="n"/>
    </row>
    <row r="29" ht="63" customHeight="1" s="238">
      <c r="A29" s="242" t="inlineStr">
        <is>
          <t>1.7</t>
        </is>
      </c>
      <c r="B29" s="262" t="inlineStr">
        <is>
          <t>Размер средств на оплату труда рабочих-строителей в текущем уровне цен (ФОТр.тек.), руб/чел.-ч</t>
        </is>
      </c>
      <c r="C29" s="283" t="inlineStr">
        <is>
          <t>ФОТр.тек.</t>
        </is>
      </c>
      <c r="D29" s="283" t="inlineStr">
        <is>
          <t>(С1ср/tср*КТ*Т*Кув)*Кинф</t>
        </is>
      </c>
      <c r="E29" s="263">
        <f>((E23*E25/E24)*E27)*E28</f>
        <v/>
      </c>
      <c r="F29" s="2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2025-01-24T12:12:02Z</dcterms:modified>
  <cp:lastModifiedBy>Nikolay Ivanov</cp:lastModifiedBy>
  <cp:lastPrinted>2023-11-29T09:15:20Z</cp:lastPrinted>
</cp:coreProperties>
</file>