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'Прил.3'!$A$1:$H$88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ыыыыыыыыыыыыыыыы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0.000000"/>
    <numFmt numFmtId="169" formatCode="_-* #,##0.0\ _₽_-;\-* #,##0.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19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0" fontId="0" fillId="0" borderId="0" pivotButton="0" quotePrefix="0" xfId="0"/>
    <xf numFmtId="43" fontId="0" fillId="0" borderId="0" pivotButton="0" quotePrefix="0" xfId="0"/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167" fontId="3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6" fillId="0" borderId="6" applyAlignment="1" pivotButton="0" quotePrefix="0" xfId="0">
      <alignment vertical="center" wrapText="1"/>
    </xf>
    <xf numFmtId="0" fontId="16" fillId="0" borderId="7" applyAlignment="1" pivotButton="0" quotePrefix="0" xfId="0">
      <alignment vertical="center" wrapText="1"/>
    </xf>
    <xf numFmtId="171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0" fontId="0" fillId="0" borderId="3" pivotButton="0" quotePrefix="0" xfId="0"/>
    <xf numFmtId="0" fontId="16" fillId="0" borderId="9" applyAlignment="1" pivotButton="0" quotePrefix="0" xfId="0">
      <alignment vertical="center" wrapText="1"/>
    </xf>
    <xf numFmtId="0" fontId="16" fillId="0" borderId="10" applyAlignment="1" pivotButton="0" quotePrefix="0" xfId="0">
      <alignment vertical="center" wrapText="1"/>
    </xf>
    <xf numFmtId="49" fontId="16" fillId="0" borderId="11" applyAlignment="1" pivotButton="0" quotePrefix="0" xfId="0">
      <alignment horizontal="center" vertical="center"/>
    </xf>
    <xf numFmtId="0" fontId="20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20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3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43" min="1" max="2"/>
    <col width="51.7109375" customWidth="1" style="243" min="3" max="3"/>
    <col width="51.42578125" customWidth="1" style="243" min="4" max="4"/>
    <col width="37.42578125" customWidth="1" style="243" min="5" max="5"/>
    <col width="9.140625" customWidth="1" style="243" min="6" max="6"/>
  </cols>
  <sheetData>
    <row r="3">
      <c r="B3" s="276" t="inlineStr">
        <is>
          <t>Приложение № 1</t>
        </is>
      </c>
    </row>
    <row r="4">
      <c r="B4" s="277" t="inlineStr">
        <is>
          <t>Сравнительная таблица отбора объекта-представителя</t>
        </is>
      </c>
    </row>
    <row r="5" ht="84" customHeight="1" s="241">
      <c r="B5" s="28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1">
      <c r="B6" s="126" t="n"/>
      <c r="C6" s="126" t="n"/>
      <c r="D6" s="126" t="n"/>
    </row>
    <row r="7" ht="64.5" customHeight="1" s="241">
      <c r="B7" s="278" t="inlineStr">
        <is>
          <t>Наименование разрабатываемого показателя УНЦ - Демонтаж трансформаторов напряжения 220 кВ</t>
        </is>
      </c>
    </row>
    <row r="8" ht="31.5" customHeight="1" s="241">
      <c r="B8" s="279" t="inlineStr">
        <is>
          <t>Сопоставимый уровень цен: 4 квартал 2016</t>
        </is>
      </c>
    </row>
    <row r="9" ht="15.75" customHeight="1" s="241">
      <c r="B9" s="279" t="inlineStr">
        <is>
          <t>Единица измерения  — 1 ед.</t>
        </is>
      </c>
    </row>
    <row r="10">
      <c r="B10" s="279" t="n"/>
    </row>
    <row r="11">
      <c r="B11" s="283" t="inlineStr">
        <is>
          <t>№ п/п</t>
        </is>
      </c>
      <c r="C11" s="283" t="inlineStr">
        <is>
          <t>Параметр</t>
        </is>
      </c>
      <c r="D11" s="283" t="inlineStr">
        <is>
          <t xml:space="preserve">Объект-представитель </t>
        </is>
      </c>
      <c r="E11" s="127" t="n"/>
    </row>
    <row r="12" ht="96.75" customHeight="1" s="241">
      <c r="B12" s="283" t="n">
        <v>1</v>
      </c>
      <c r="C12" s="290" t="inlineStr">
        <is>
          <t>Наименование объекта-представителя</t>
        </is>
      </c>
      <c r="D12" s="283" t="inlineStr">
        <is>
          <t>Строительство ПС 220/20/10 кВ "Кожевническая"</t>
        </is>
      </c>
    </row>
    <row r="13">
      <c r="B13" s="283" t="n">
        <v>2</v>
      </c>
      <c r="C13" s="290" t="inlineStr">
        <is>
          <t>Наименование субъекта Российской Федерации</t>
        </is>
      </c>
      <c r="D13" s="283" t="inlineStr">
        <is>
          <t>Москва</t>
        </is>
      </c>
    </row>
    <row r="14">
      <c r="B14" s="283" t="n">
        <v>3</v>
      </c>
      <c r="C14" s="290" t="inlineStr">
        <is>
          <t>Климатический район и подрайон</t>
        </is>
      </c>
      <c r="D14" s="283" t="inlineStr">
        <is>
          <t>IIВ</t>
        </is>
      </c>
    </row>
    <row r="15">
      <c r="B15" s="283" t="n">
        <v>4</v>
      </c>
      <c r="C15" s="290" t="inlineStr">
        <is>
          <t>Мощность объекта</t>
        </is>
      </c>
      <c r="D15" s="283" t="n">
        <v>4</v>
      </c>
    </row>
    <row r="16" ht="166.5" customHeight="1" s="241">
      <c r="B16" s="283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3" t="inlineStr">
        <is>
          <t>Измерительный, каскадный, масляный траснформатор марки  НАМИ-220 УХЛ1 с устройством фундамента
Шкаф защит ШЗН-1Б-73 УХЛ1 - 1 шт.
Ящик цепей напряжения ЯЗН-11-АСКУЭ - 1 шт.
Ящик АВР цепей напряжения ЯАВР2.1-АСКУЭ-220В - 1 шт.</t>
        </is>
      </c>
    </row>
    <row r="17" ht="79.5" customHeight="1" s="241">
      <c r="B17" s="283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8">
        <f>D18+D19</f>
        <v/>
      </c>
      <c r="E17" s="129" t="n"/>
    </row>
    <row r="18">
      <c r="B18" s="130" t="inlineStr">
        <is>
          <t>6.1</t>
        </is>
      </c>
      <c r="C18" s="290" t="inlineStr">
        <is>
          <t>строительно-монтажные работы</t>
        </is>
      </c>
      <c r="D18" s="128">
        <f>'Прил.2 Расч стоим'!F14</f>
        <v/>
      </c>
    </row>
    <row r="19" ht="15.75" customHeight="1" s="241">
      <c r="B19" s="130" t="inlineStr">
        <is>
          <t>6.2</t>
        </is>
      </c>
      <c r="C19" s="290" t="inlineStr">
        <is>
          <t>оборудование и инвентарь</t>
        </is>
      </c>
      <c r="D19" s="128" t="n">
        <v>0</v>
      </c>
    </row>
    <row r="20" ht="16.5" customHeight="1" s="241">
      <c r="B20" s="130" t="inlineStr">
        <is>
          <t>6.3</t>
        </is>
      </c>
      <c r="C20" s="290" t="inlineStr">
        <is>
          <t>пусконаладочные работы</t>
        </is>
      </c>
      <c r="D20" s="128" t="n"/>
    </row>
    <row r="21" ht="35.25" customHeight="1" s="241">
      <c r="B21" s="130" t="inlineStr">
        <is>
          <t>6.4</t>
        </is>
      </c>
      <c r="C21" s="131" t="inlineStr">
        <is>
          <t>прочие и лимитированные затраты</t>
        </is>
      </c>
      <c r="D21" s="128" t="n"/>
    </row>
    <row r="22">
      <c r="B22" s="283" t="n">
        <v>7</v>
      </c>
      <c r="C22" s="131" t="inlineStr">
        <is>
          <t>Сопоставимый уровень цен</t>
        </is>
      </c>
      <c r="D22" s="132" t="inlineStr">
        <is>
          <t>4 квартал 2016</t>
        </is>
      </c>
      <c r="E22" s="133" t="n"/>
    </row>
    <row r="23" ht="78.75" customHeight="1" s="241">
      <c r="B23" s="283" t="n">
        <v>8</v>
      </c>
      <c r="C23" s="13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8">
        <f>D17</f>
        <v/>
      </c>
      <c r="E23" s="129" t="n"/>
    </row>
    <row r="24" ht="31.5" customHeight="1" s="241">
      <c r="B24" s="283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28">
        <f>D17/D15</f>
        <v/>
      </c>
      <c r="E24" s="133" t="n"/>
    </row>
    <row r="25">
      <c r="B25" s="283" t="n">
        <v>10</v>
      </c>
      <c r="C25" s="290" t="inlineStr">
        <is>
          <t>Примечание</t>
        </is>
      </c>
      <c r="D25" s="283" t="n"/>
    </row>
    <row r="26">
      <c r="B26" s="135" t="n"/>
      <c r="C26" s="136" t="n"/>
      <c r="D26" s="136" t="n"/>
    </row>
    <row r="27">
      <c r="B27" s="118" t="n"/>
    </row>
    <row r="28">
      <c r="B28" s="243" t="inlineStr">
        <is>
          <t>Составил ______________________    Д.Ю. Нефедова</t>
        </is>
      </c>
    </row>
    <row r="29">
      <c r="B29" s="118" t="inlineStr">
        <is>
          <t xml:space="preserve">                         (подпись, инициалы, фамилия)</t>
        </is>
      </c>
    </row>
    <row r="31">
      <c r="B31" s="243" t="inlineStr">
        <is>
          <t>Проверил ______________________        А.В. Костянецкая</t>
        </is>
      </c>
    </row>
    <row r="32">
      <c r="B32" s="11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43" min="1" max="1"/>
    <col width="9.140625" customWidth="1" style="243" min="2" max="2"/>
    <col width="35.28515625" customWidth="1" style="243" min="3" max="3"/>
    <col width="13.85546875" customWidth="1" style="243" min="4" max="4"/>
    <col width="24.85546875" customWidth="1" style="243" min="5" max="5"/>
    <col width="15.570312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>
      <c r="B3" s="276" t="inlineStr">
        <is>
          <t>Приложение № 2</t>
        </is>
      </c>
      <c r="K3" s="118" t="n"/>
    </row>
    <row r="4">
      <c r="B4" s="277" t="inlineStr">
        <is>
          <t>Расчет стоимости основных видов работ для выбора объекта-представителя</t>
        </is>
      </c>
    </row>
    <row r="5">
      <c r="B5" s="119" t="n"/>
      <c r="C5" s="119" t="n"/>
      <c r="D5" s="119" t="n"/>
      <c r="E5" s="119" t="n"/>
      <c r="F5" s="119" t="n"/>
      <c r="G5" s="119" t="n"/>
      <c r="H5" s="119" t="n"/>
      <c r="I5" s="119" t="n"/>
      <c r="J5" s="119" t="n"/>
      <c r="K5" s="119" t="n"/>
    </row>
    <row r="6" ht="29.25" customHeight="1" s="241">
      <c r="B6" s="279">
        <f>'Прил.1 Сравнит табл'!B7:D7</f>
        <v/>
      </c>
    </row>
    <row r="7">
      <c r="B7" s="279">
        <f>'Прил.1 Сравнит табл'!B9:D9</f>
        <v/>
      </c>
    </row>
    <row r="8" ht="18.75" customHeight="1" s="241">
      <c r="B8" s="113" t="n"/>
    </row>
    <row r="9" ht="15.75" customHeight="1" s="241">
      <c r="B9" s="283" t="inlineStr">
        <is>
          <t>№ п/п</t>
        </is>
      </c>
      <c r="C9" s="28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3" t="inlineStr">
        <is>
          <t>Объект-представитель 1</t>
        </is>
      </c>
      <c r="E9" s="377" t="n"/>
      <c r="F9" s="377" t="n"/>
      <c r="G9" s="377" t="n"/>
      <c r="H9" s="377" t="n"/>
      <c r="I9" s="377" t="n"/>
      <c r="J9" s="378" t="n"/>
    </row>
    <row r="10" ht="15.75" customHeight="1" s="241">
      <c r="B10" s="379" t="n"/>
      <c r="C10" s="379" t="n"/>
      <c r="D10" s="283" t="inlineStr">
        <is>
          <t>Номер сметы</t>
        </is>
      </c>
      <c r="E10" s="283" t="inlineStr">
        <is>
          <t>Наименование сметы</t>
        </is>
      </c>
      <c r="F10" s="283" t="inlineStr">
        <is>
          <t>Сметная стоимость в уровне цен 4 кв. 2016г., тыс. руб.</t>
        </is>
      </c>
      <c r="G10" s="377" t="n"/>
      <c r="H10" s="377" t="n"/>
      <c r="I10" s="377" t="n"/>
      <c r="J10" s="378" t="n"/>
    </row>
    <row r="11" ht="31.5" customHeight="1" s="241">
      <c r="B11" s="380" t="n"/>
      <c r="C11" s="380" t="n"/>
      <c r="D11" s="380" t="n"/>
      <c r="E11" s="380" t="n"/>
      <c r="F11" s="283" t="inlineStr">
        <is>
          <t>Строительные работы</t>
        </is>
      </c>
      <c r="G11" s="283" t="inlineStr">
        <is>
          <t>Монтажные работы</t>
        </is>
      </c>
      <c r="H11" s="283" t="inlineStr">
        <is>
          <t>Оборудование</t>
        </is>
      </c>
      <c r="I11" s="283" t="inlineStr">
        <is>
          <t>Прочее</t>
        </is>
      </c>
      <c r="J11" s="283" t="inlineStr">
        <is>
          <t>Всего</t>
        </is>
      </c>
    </row>
    <row r="12" ht="15" customHeight="1" s="241">
      <c r="B12" s="283" t="n"/>
      <c r="C12" s="128" t="inlineStr">
        <is>
          <t>Демонтаж трансформаторов напряжения 220 кВ</t>
        </is>
      </c>
      <c r="D12" s="283" t="n"/>
      <c r="E12" s="283" t="n"/>
      <c r="F12" s="283" t="n">
        <v>792.0811136999999</v>
      </c>
      <c r="G12" s="378" t="n"/>
      <c r="H12" s="283" t="n">
        <v>0</v>
      </c>
      <c r="I12" s="283" t="n"/>
      <c r="J12" s="283" t="n">
        <v>792.0811136999999</v>
      </c>
    </row>
    <row r="13" ht="15" customHeight="1" s="241">
      <c r="B13" s="286" t="inlineStr">
        <is>
          <t>Всего по объекту:</t>
        </is>
      </c>
      <c r="C13" s="377" t="n"/>
      <c r="D13" s="377" t="n"/>
      <c r="E13" s="378" t="n"/>
      <c r="F13" s="120" t="n"/>
      <c r="G13" s="120" t="n"/>
      <c r="H13" s="120" t="n"/>
      <c r="I13" s="120" t="n"/>
      <c r="J13" s="120" t="n"/>
    </row>
    <row r="14" ht="15.75" customHeight="1" s="241">
      <c r="B14" s="286" t="inlineStr">
        <is>
          <t>Всего по объекту в сопоставимом уровне цен 4кв. 2016г:</t>
        </is>
      </c>
      <c r="C14" s="377" t="n"/>
      <c r="D14" s="377" t="n"/>
      <c r="E14" s="378" t="n"/>
      <c r="F14" s="381">
        <f>F12</f>
        <v/>
      </c>
      <c r="G14" s="378" t="n"/>
      <c r="H14" s="120">
        <f>H12</f>
        <v/>
      </c>
      <c r="I14" s="120" t="n"/>
      <c r="J14" s="120">
        <f>J12</f>
        <v/>
      </c>
    </row>
    <row r="15" ht="15.75" customHeight="1" s="241">
      <c r="B15" s="243" t="n"/>
      <c r="C15" s="243" t="n"/>
      <c r="D15" s="243" t="n"/>
      <c r="E15" s="243" t="n"/>
      <c r="F15" s="243" t="n"/>
      <c r="G15" s="243" t="n"/>
      <c r="H15" s="243" t="n"/>
      <c r="I15" s="243" t="n"/>
      <c r="J15" s="243" t="n"/>
    </row>
    <row r="16" ht="15.75" customHeight="1" s="241">
      <c r="B16" s="243" t="n"/>
      <c r="C16" s="243" t="n"/>
      <c r="D16" s="243" t="n"/>
      <c r="E16" s="243" t="n"/>
      <c r="F16" s="243" t="n"/>
      <c r="G16" s="243" t="n"/>
      <c r="H16" s="243" t="n"/>
      <c r="I16" s="243" t="n"/>
      <c r="J16" s="243" t="n"/>
    </row>
    <row r="17" ht="15" customHeight="1" s="241"/>
    <row r="18" ht="15" customHeight="1" s="241"/>
    <row r="19" ht="15" customHeight="1" s="241"/>
    <row r="20" ht="15" customHeight="1" s="241">
      <c r="C20" s="240" t="inlineStr">
        <is>
          <t>Составил ______________________     Д.Ю. Нефедова</t>
        </is>
      </c>
      <c r="D20" s="238" t="n"/>
      <c r="E20" s="238" t="n"/>
    </row>
    <row r="21" ht="15" customHeight="1" s="241">
      <c r="C21" s="237" t="inlineStr">
        <is>
          <t xml:space="preserve">                         (подпись, инициалы, фамилия)</t>
        </is>
      </c>
      <c r="D21" s="238" t="n"/>
      <c r="E21" s="238" t="n"/>
    </row>
    <row r="22" ht="15" customHeight="1" s="241">
      <c r="C22" s="240" t="n"/>
      <c r="D22" s="238" t="n"/>
      <c r="E22" s="238" t="n"/>
    </row>
    <row r="23" ht="15" customHeight="1" s="241">
      <c r="C23" s="240" t="inlineStr">
        <is>
          <t>Проверил ______________________        А.В. Костянецкая</t>
        </is>
      </c>
      <c r="D23" s="238" t="n"/>
      <c r="E23" s="238" t="n"/>
    </row>
    <row r="24" ht="15" customHeight="1" s="241">
      <c r="C24" s="237" t="inlineStr">
        <is>
          <t xml:space="preserve">                        (подпись, инициалы, фамилия)</t>
        </is>
      </c>
      <c r="D24" s="238" t="n"/>
      <c r="E24" s="238" t="n"/>
    </row>
    <row r="25" ht="15" customHeight="1" s="241"/>
    <row r="26" ht="15" customHeight="1" s="241"/>
    <row r="27" ht="15" customHeight="1" s="241"/>
    <row r="28" ht="15" customHeight="1" s="241"/>
    <row r="29" ht="15" customHeight="1" s="241"/>
    <row r="30" ht="15" customHeight="1" s="2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88"/>
  <sheetViews>
    <sheetView view="pageBreakPreview" topLeftCell="A69" workbookViewId="0">
      <selection activeCell="C83" sqref="C83"/>
    </sheetView>
  </sheetViews>
  <sheetFormatPr baseColWidth="8" defaultColWidth="9.140625" defaultRowHeight="15.75"/>
  <cols>
    <col width="9.140625" customWidth="1" style="243" min="1" max="1"/>
    <col width="12.5703125" customWidth="1" style="243" min="2" max="2"/>
    <col width="22.42578125" customWidth="1" style="243" min="3" max="3"/>
    <col width="49.7109375" customWidth="1" style="243" min="4" max="4"/>
    <col width="10.140625" customWidth="1" style="243" min="5" max="5"/>
    <col width="20.7109375" customWidth="1" style="243" min="6" max="6"/>
    <col width="20" customWidth="1" style="243" min="7" max="7"/>
    <col width="16.7109375" customWidth="1" style="243" min="8" max="8"/>
    <col width="9.140625" customWidth="1" style="243" min="9" max="9"/>
    <col width="15.5703125" customWidth="1" style="243" min="10" max="10"/>
    <col width="15" customWidth="1" style="243" min="11" max="11"/>
    <col width="9.140625" customWidth="1" style="243" min="12" max="12"/>
  </cols>
  <sheetData>
    <row r="2">
      <c r="A2" s="276" t="inlineStr">
        <is>
          <t xml:space="preserve">Приложение № 3 </t>
        </is>
      </c>
    </row>
    <row r="3">
      <c r="A3" s="277" t="inlineStr">
        <is>
          <t>Объектная ресурсная ведомость</t>
        </is>
      </c>
    </row>
    <row r="4" ht="18.75" customHeight="1" s="241">
      <c r="A4" s="29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79" t="n"/>
    </row>
    <row r="6">
      <c r="A6" s="294" t="inlineStr">
        <is>
          <t>Наименование разрабатываемого показателя УНЦ -  Демонтаж трансформаторов напряжения 220 кВ</t>
        </is>
      </c>
    </row>
    <row r="7" s="241">
      <c r="A7" s="294" t="n"/>
      <c r="B7" s="294" t="n"/>
      <c r="C7" s="294" t="n"/>
      <c r="D7" s="294" t="n"/>
      <c r="E7" s="294" t="n"/>
      <c r="F7" s="294" t="n"/>
      <c r="G7" s="294" t="n"/>
      <c r="H7" s="294" t="n"/>
      <c r="I7" s="243" t="n"/>
      <c r="J7" s="243" t="n"/>
      <c r="K7" s="243" t="n"/>
      <c r="L7" s="243" t="n"/>
    </row>
    <row r="8">
      <c r="A8" s="294" t="n"/>
      <c r="B8" s="294" t="n"/>
      <c r="C8" s="294" t="n"/>
      <c r="D8" s="294" t="n"/>
      <c r="E8" s="294" t="n"/>
      <c r="F8" s="294" t="n"/>
      <c r="G8" s="294" t="n"/>
      <c r="H8" s="294" t="n"/>
    </row>
    <row r="9" ht="38.25" customHeight="1" s="241">
      <c r="A9" s="283" t="inlineStr">
        <is>
          <t>п/п</t>
        </is>
      </c>
      <c r="B9" s="283" t="inlineStr">
        <is>
          <t>№ЛСР</t>
        </is>
      </c>
      <c r="C9" s="283" t="inlineStr">
        <is>
          <t>Код ресурса</t>
        </is>
      </c>
      <c r="D9" s="283" t="inlineStr">
        <is>
          <t>Наименование ресурса</t>
        </is>
      </c>
      <c r="E9" s="283" t="inlineStr">
        <is>
          <t>Ед. изм.</t>
        </is>
      </c>
      <c r="F9" s="283" t="inlineStr">
        <is>
          <t>Кол-во единиц по данным объекта-представителя</t>
        </is>
      </c>
      <c r="G9" s="283" t="inlineStr">
        <is>
          <t>Сметная стоимость в ценах на 01.01.2000 (руб.)</t>
        </is>
      </c>
      <c r="H9" s="378" t="n"/>
    </row>
    <row r="10" ht="40.5" customHeight="1" s="241">
      <c r="A10" s="380" t="n"/>
      <c r="B10" s="380" t="n"/>
      <c r="C10" s="380" t="n"/>
      <c r="D10" s="380" t="n"/>
      <c r="E10" s="380" t="n"/>
      <c r="F10" s="380" t="n"/>
      <c r="G10" s="283" t="inlineStr">
        <is>
          <t>на ед.изм.</t>
        </is>
      </c>
      <c r="H10" s="283" t="inlineStr">
        <is>
          <t>общая</t>
        </is>
      </c>
    </row>
    <row r="11">
      <c r="A11" s="259" t="n">
        <v>1</v>
      </c>
      <c r="B11" s="259" t="n"/>
      <c r="C11" s="259" t="n">
        <v>2</v>
      </c>
      <c r="D11" s="259" t="inlineStr">
        <is>
          <t>З</t>
        </is>
      </c>
      <c r="E11" s="259" t="n">
        <v>4</v>
      </c>
      <c r="F11" s="259" t="n">
        <v>5</v>
      </c>
      <c r="G11" s="259" t="n">
        <v>6</v>
      </c>
      <c r="H11" s="259" t="n">
        <v>7</v>
      </c>
    </row>
    <row r="12" customFormat="1" s="139">
      <c r="A12" s="291" t="inlineStr">
        <is>
          <t>Затраты труда рабочих</t>
        </is>
      </c>
      <c r="B12" s="377" t="n"/>
      <c r="C12" s="377" t="n"/>
      <c r="D12" s="377" t="n"/>
      <c r="E12" s="378" t="n"/>
      <c r="F12" s="382" t="n">
        <v>3802.65905</v>
      </c>
      <c r="G12" s="10" t="n"/>
      <c r="H12" s="382">
        <f>SUM(H13:H19)</f>
        <v/>
      </c>
    </row>
    <row r="13">
      <c r="A13" s="140" t="n">
        <v>1</v>
      </c>
      <c r="B13" s="141" t="n"/>
      <c r="C13" s="197" t="inlineStr">
        <is>
          <t>10-30-1</t>
        </is>
      </c>
      <c r="D13" s="198" t="inlineStr">
        <is>
          <t>Инженер I категории</t>
        </is>
      </c>
      <c r="E13" s="319" t="inlineStr">
        <is>
          <t>чел.час</t>
        </is>
      </c>
      <c r="F13" s="200" t="n">
        <v>359</v>
      </c>
      <c r="G13" s="142" t="n">
        <v>15.49</v>
      </c>
      <c r="H13" s="176">
        <f>ROUND(F13*G13,2)</f>
        <v/>
      </c>
    </row>
    <row r="14">
      <c r="A14" s="140" t="n">
        <v>2</v>
      </c>
      <c r="B14" s="141" t="n"/>
      <c r="C14" s="197" t="inlineStr">
        <is>
          <t>10-30-2</t>
        </is>
      </c>
      <c r="D14" s="198" t="inlineStr">
        <is>
          <t>Инженер II категории</t>
        </is>
      </c>
      <c r="E14" s="319" t="inlineStr">
        <is>
          <t>чел.час</t>
        </is>
      </c>
      <c r="F14" s="200" t="n">
        <v>359</v>
      </c>
      <c r="G14" s="142" t="n">
        <v>14.09</v>
      </c>
      <c r="H14" s="176">
        <f>ROUND(F14*G14,2)</f>
        <v/>
      </c>
    </row>
    <row r="15">
      <c r="A15" s="140" t="n">
        <v>3</v>
      </c>
      <c r="B15" s="141" t="n"/>
      <c r="C15" s="197" t="inlineStr">
        <is>
          <t>1-6-0</t>
        </is>
      </c>
      <c r="D15" s="198" t="inlineStr">
        <is>
          <t>Затраты труда рабочих (средний разряд работы 6,0)</t>
        </is>
      </c>
      <c r="E15" s="319" t="inlineStr">
        <is>
          <t>чел.час</t>
        </is>
      </c>
      <c r="F15" s="200" t="n">
        <v>2607.5825</v>
      </c>
      <c r="G15" s="142" t="n">
        <v>12.92</v>
      </c>
      <c r="H15" s="176">
        <f>ROUND(F15*G15,2)</f>
        <v/>
      </c>
      <c r="I15" s="243" t="n"/>
      <c r="J15" s="243" t="n"/>
      <c r="K15" s="243" t="n"/>
      <c r="L15" s="243" t="n"/>
      <c r="M15" s="224" t="n"/>
    </row>
    <row r="16">
      <c r="A16" s="140" t="n">
        <v>4</v>
      </c>
      <c r="B16" s="141" t="n"/>
      <c r="C16" s="197" t="inlineStr">
        <is>
          <t>1-4-0</t>
        </is>
      </c>
      <c r="D16" s="198" t="inlineStr">
        <is>
          <t>Затраты труда рабочих (средний разряд работы 4,0)</t>
        </is>
      </c>
      <c r="E16" s="319" t="inlineStr">
        <is>
          <t>чел.-ч</t>
        </is>
      </c>
      <c r="F16" s="200" t="n">
        <v>415.49925</v>
      </c>
      <c r="G16" s="142" t="n">
        <v>9.619999999999999</v>
      </c>
      <c r="H16" s="176">
        <f>ROUND(F16*G16,2)</f>
        <v/>
      </c>
      <c r="I16" s="243" t="n"/>
      <c r="J16" s="243" t="n"/>
      <c r="K16" s="243" t="n"/>
      <c r="L16" s="243" t="n"/>
      <c r="M16" s="224" t="n"/>
    </row>
    <row r="17">
      <c r="A17" s="140" t="n">
        <v>5</v>
      </c>
      <c r="B17" s="141" t="n"/>
      <c r="C17" s="197" t="inlineStr">
        <is>
          <t>1-3-8</t>
        </is>
      </c>
      <c r="D17" s="198" t="inlineStr">
        <is>
          <t>Затраты труда рабочих (средний разряд работы 3,8)</t>
        </is>
      </c>
      <c r="E17" s="319" t="inlineStr">
        <is>
          <t>чел.час</t>
        </is>
      </c>
      <c r="F17" s="200" t="n">
        <v>48.28985</v>
      </c>
      <c r="G17" s="142" t="n">
        <v>9.4</v>
      </c>
      <c r="H17" s="176">
        <f>ROUND(F17*G17,2)</f>
        <v/>
      </c>
      <c r="I17" s="243" t="n"/>
      <c r="J17" s="243" t="n"/>
      <c r="K17" s="243" t="n"/>
      <c r="L17" s="243" t="n"/>
      <c r="M17" s="224" t="n"/>
    </row>
    <row r="18">
      <c r="A18" s="140" t="n">
        <v>6</v>
      </c>
      <c r="B18" s="141" t="n"/>
      <c r="C18" s="197" t="inlineStr">
        <is>
          <t>1-3-2</t>
        </is>
      </c>
      <c r="D18" s="198" t="inlineStr">
        <is>
          <t>Затраты труда рабочих (средний разряд работы 3,2)</t>
        </is>
      </c>
      <c r="E18" s="319" t="inlineStr">
        <is>
          <t>чел.час</t>
        </is>
      </c>
      <c r="F18" s="200" t="n">
        <v>8.59775</v>
      </c>
      <c r="G18" s="142" t="n">
        <v>8.74</v>
      </c>
      <c r="H18" s="176">
        <f>ROUND(F18*G18,2)</f>
        <v/>
      </c>
      <c r="I18" s="243" t="n"/>
      <c r="J18" s="243" t="n"/>
      <c r="K18" s="243" t="n"/>
      <c r="L18" s="243" t="n"/>
      <c r="M18" s="224" t="n"/>
    </row>
    <row r="19">
      <c r="A19" s="140" t="n">
        <v>7</v>
      </c>
      <c r="B19" s="141" t="n"/>
      <c r="C19" s="197" t="inlineStr">
        <is>
          <t>1-3-9</t>
        </is>
      </c>
      <c r="D19" s="198" t="inlineStr">
        <is>
          <t>Затраты труда рабочих (средний разряд работы 3,9)</t>
        </is>
      </c>
      <c r="E19" s="319" t="inlineStr">
        <is>
          <t>чел.час</t>
        </is>
      </c>
      <c r="F19" s="200" t="n">
        <v>4.6897</v>
      </c>
      <c r="G19" s="142" t="n">
        <v>9.51</v>
      </c>
      <c r="H19" s="176">
        <f>ROUND(F19*G19,2)</f>
        <v/>
      </c>
      <c r="I19" s="243" t="n"/>
      <c r="J19" s="243" t="n"/>
      <c r="K19" s="243" t="n"/>
    </row>
    <row r="20">
      <c r="A20" s="287" t="inlineStr">
        <is>
          <t>Затраты труда машинистов</t>
        </is>
      </c>
      <c r="B20" s="377" t="n"/>
      <c r="C20" s="377" t="n"/>
      <c r="D20" s="377" t="n"/>
      <c r="E20" s="378" t="n"/>
      <c r="F20" s="291" t="n"/>
      <c r="G20" s="143" t="n"/>
      <c r="H20" s="382">
        <f>H21</f>
        <v/>
      </c>
    </row>
    <row r="21">
      <c r="A21" s="299" t="n">
        <v>8</v>
      </c>
      <c r="B21" s="289" t="n"/>
      <c r="C21" s="201" t="n">
        <v>2</v>
      </c>
      <c r="D21" s="298" t="inlineStr">
        <is>
          <t>Затраты труда машинистов</t>
        </is>
      </c>
      <c r="E21" s="299" t="inlineStr">
        <is>
          <t>чел.-ч</t>
        </is>
      </c>
      <c r="F21" s="300" t="n">
        <v>373.1772</v>
      </c>
      <c r="G21" s="142" t="n"/>
      <c r="H21" s="318" t="n">
        <v>4390.41</v>
      </c>
    </row>
    <row r="22" customFormat="1" s="139">
      <c r="A22" s="291" t="inlineStr">
        <is>
          <t>Машины и механизмы</t>
        </is>
      </c>
      <c r="B22" s="377" t="n"/>
      <c r="C22" s="377" t="n"/>
      <c r="D22" s="377" t="n"/>
      <c r="E22" s="378" t="n"/>
      <c r="F22" s="291" t="n"/>
      <c r="G22" s="143" t="n"/>
      <c r="H22" s="382">
        <f>SUM(H23:H35)</f>
        <v/>
      </c>
    </row>
    <row r="23" ht="25.5" customHeight="1" s="241">
      <c r="A23" s="299" t="n">
        <v>9</v>
      </c>
      <c r="B23" s="289" t="n"/>
      <c r="C23" s="201" t="inlineStr">
        <is>
          <t>91.11.01-012</t>
        </is>
      </c>
      <c r="D23" s="298" t="inlineStr">
        <is>
          <t>Машины монтажные для выполнения работ при прокладке и монтаже кабеля на базе автомобиля</t>
        </is>
      </c>
      <c r="E23" s="299" t="inlineStr">
        <is>
          <t>маш.час</t>
        </is>
      </c>
      <c r="F23" s="299" t="n">
        <v>288</v>
      </c>
      <c r="G23" s="318" t="n">
        <v>110.86</v>
      </c>
      <c r="H23" s="176">
        <f>ROUND(F23*G23,2)</f>
        <v/>
      </c>
      <c r="I23" s="145" t="n"/>
      <c r="J23" s="146" t="n"/>
      <c r="L23" s="145" t="n"/>
    </row>
    <row r="24" customFormat="1" s="139">
      <c r="A24" s="299" t="n">
        <v>10</v>
      </c>
      <c r="B24" s="289" t="n"/>
      <c r="C24" s="201" t="inlineStr">
        <is>
          <t>91.10.01-002</t>
        </is>
      </c>
      <c r="D24" s="298" t="inlineStr">
        <is>
          <t>Агрегаты наполнительно-опрессовочные: до 300 м3/ч</t>
        </is>
      </c>
      <c r="E24" s="299" t="inlineStr">
        <is>
          <t>маш.час</t>
        </is>
      </c>
      <c r="F24" s="299" t="n">
        <v>29.58</v>
      </c>
      <c r="G24" s="318" t="n">
        <v>287.99</v>
      </c>
      <c r="H24" s="176">
        <f>ROUND(F24*G24,2)</f>
        <v/>
      </c>
      <c r="I24" s="145" t="n"/>
      <c r="L24" s="145" t="n"/>
    </row>
    <row r="25" ht="25.5" customHeight="1" s="241">
      <c r="A25" s="299" t="n">
        <v>11</v>
      </c>
      <c r="B25" s="289" t="n"/>
      <c r="C25" s="201" t="inlineStr">
        <is>
          <t>91.05.05-014</t>
        </is>
      </c>
      <c r="D25" s="298" t="inlineStr">
        <is>
          <t>Краны на автомобильном ходу, грузоподъемность 10 т</t>
        </is>
      </c>
      <c r="E25" s="299" t="inlineStr">
        <is>
          <t>маш.час</t>
        </is>
      </c>
      <c r="F25" s="299" t="n">
        <v>60.09</v>
      </c>
      <c r="G25" s="318" t="n">
        <v>111.99</v>
      </c>
      <c r="H25" s="176">
        <f>ROUND(F25*G25,2)</f>
        <v/>
      </c>
      <c r="I25" s="145" t="n"/>
      <c r="L25" s="145" t="n"/>
    </row>
    <row r="26" ht="25.5" customHeight="1" s="241">
      <c r="A26" s="299" t="n">
        <v>12</v>
      </c>
      <c r="B26" s="289" t="n"/>
      <c r="C26" s="201" t="inlineStr">
        <is>
          <t>91.06.03-058</t>
        </is>
      </c>
      <c r="D26" s="298" t="inlineStr">
        <is>
          <t>Лебедки электрические тяговым усилием: 156,96 кН (16 т)</t>
        </is>
      </c>
      <c r="E26" s="299" t="inlineStr">
        <is>
          <t>маш.час</t>
        </is>
      </c>
      <c r="F26" s="299" t="n">
        <v>29.58</v>
      </c>
      <c r="G26" s="318" t="n">
        <v>131.44</v>
      </c>
      <c r="H26" s="176">
        <f>ROUND(F26*G26,2)</f>
        <v/>
      </c>
      <c r="I26" s="145" t="n"/>
      <c r="L26" s="145" t="n"/>
    </row>
    <row r="27">
      <c r="A27" s="299" t="n">
        <v>13</v>
      </c>
      <c r="B27" s="289" t="n"/>
      <c r="C27" s="201" t="inlineStr">
        <is>
          <t>91.14.02-001</t>
        </is>
      </c>
      <c r="D27" s="298" t="inlineStr">
        <is>
          <t>Автомобили бортовые, грузоподъемность: до 5 т</t>
        </is>
      </c>
      <c r="E27" s="299" t="inlineStr">
        <is>
          <t>маш.час</t>
        </is>
      </c>
      <c r="F27" s="299" t="n">
        <v>19.53</v>
      </c>
      <c r="G27" s="318" t="n">
        <v>65.70999999999999</v>
      </c>
      <c r="H27" s="176">
        <f>ROUND(F27*G27,2)</f>
        <v/>
      </c>
      <c r="I27" s="145" t="n"/>
      <c r="L27" s="145" t="n"/>
    </row>
    <row r="28">
      <c r="A28" s="299" t="n">
        <v>14</v>
      </c>
      <c r="B28" s="289" t="n"/>
      <c r="C28" s="201" t="inlineStr">
        <is>
          <t>91.06.06-042</t>
        </is>
      </c>
      <c r="D28" s="298" t="inlineStr">
        <is>
          <t>Подъемники гидравлические высотой подъема: 10 м</t>
        </is>
      </c>
      <c r="E28" s="299" t="inlineStr">
        <is>
          <t>маш.час</t>
        </is>
      </c>
      <c r="F28" s="299" t="n">
        <v>33.12</v>
      </c>
      <c r="G28" s="318" t="n">
        <v>29.6</v>
      </c>
      <c r="H28" s="176">
        <f>ROUND(F28*G28,2)</f>
        <v/>
      </c>
      <c r="I28" s="145" t="n"/>
      <c r="L28" s="145" t="n"/>
    </row>
    <row r="29" ht="25.5" customHeight="1" s="241">
      <c r="A29" s="299" t="n">
        <v>15</v>
      </c>
      <c r="B29" s="289" t="n"/>
      <c r="C29" s="201" t="inlineStr">
        <is>
          <t>91.17.04-233</t>
        </is>
      </c>
      <c r="D29" s="298" t="inlineStr">
        <is>
          <t>Установки для сварки: ручной дуговой (постоянного тока)</t>
        </is>
      </c>
      <c r="E29" s="299" t="inlineStr">
        <is>
          <t>маш.час</t>
        </is>
      </c>
      <c r="F29" s="299" t="n">
        <v>46.74</v>
      </c>
      <c r="G29" s="318" t="n">
        <v>8.1</v>
      </c>
      <c r="H29" s="176">
        <f>ROUND(F29*G29,2)</f>
        <v/>
      </c>
      <c r="I29" s="145" t="n"/>
      <c r="L29" s="145" t="n"/>
    </row>
    <row r="30">
      <c r="A30" s="299" t="n">
        <v>16</v>
      </c>
      <c r="B30" s="289" t="n"/>
      <c r="C30" s="201" t="inlineStr">
        <is>
          <t>91.21.12-002</t>
        </is>
      </c>
      <c r="D30" s="298" t="inlineStr">
        <is>
          <t>Ножницы листовые кривошипные гильотинные</t>
        </is>
      </c>
      <c r="E30" s="299" t="inlineStr">
        <is>
          <t>маш.час</t>
        </is>
      </c>
      <c r="F30" s="299" t="n">
        <v>0.99</v>
      </c>
      <c r="G30" s="318" t="n">
        <v>70</v>
      </c>
      <c r="H30" s="176">
        <f>ROUND(F30*G30,2)</f>
        <v/>
      </c>
      <c r="I30" s="145" t="n"/>
      <c r="L30" s="145" t="n"/>
    </row>
    <row r="31">
      <c r="A31" s="299" t="n">
        <v>17</v>
      </c>
      <c r="B31" s="289" t="n"/>
      <c r="C31" s="201" t="inlineStr">
        <is>
          <t>91.21.16-014</t>
        </is>
      </c>
      <c r="D31" s="298" t="inlineStr">
        <is>
          <t>Пресс: листогибочный кривошипный 1000 кН (100 тс)</t>
        </is>
      </c>
      <c r="E31" s="299" t="inlineStr">
        <is>
          <t>маш.час</t>
        </is>
      </c>
      <c r="F31" s="299" t="n">
        <v>0.99</v>
      </c>
      <c r="G31" s="318" t="n">
        <v>56.24</v>
      </c>
      <c r="H31" s="176">
        <f>ROUND(F31*G31,2)</f>
        <v/>
      </c>
      <c r="I31" s="145" t="n"/>
      <c r="L31" s="145" t="n"/>
    </row>
    <row r="32" ht="25.5" customHeight="1" s="241">
      <c r="A32" s="299" t="n">
        <v>18</v>
      </c>
      <c r="B32" s="289" t="n"/>
      <c r="C32" s="201" t="inlineStr">
        <is>
          <t>91.06.01-003</t>
        </is>
      </c>
      <c r="D32" s="298" t="inlineStr">
        <is>
          <t>Домкраты гидравлические, грузоподъемность 63-100 т</t>
        </is>
      </c>
      <c r="E32" s="299" t="inlineStr">
        <is>
          <t>маш.час</t>
        </is>
      </c>
      <c r="F32" s="299" t="n">
        <v>59.16</v>
      </c>
      <c r="G32" s="318" t="n">
        <v>0.9</v>
      </c>
      <c r="H32" s="176">
        <f>ROUND(F32*G32,2)</f>
        <v/>
      </c>
      <c r="I32" s="145" t="n"/>
      <c r="L32" s="145" t="n"/>
    </row>
    <row r="33">
      <c r="A33" s="299" t="n">
        <v>19</v>
      </c>
      <c r="B33" s="289" t="n"/>
      <c r="C33" s="201" t="inlineStr">
        <is>
          <t>91.21.16-013</t>
        </is>
      </c>
      <c r="D33" s="298" t="inlineStr">
        <is>
          <t>Пресс: кривошипный простого действия 25 кН (2,5 тс)</t>
        </is>
      </c>
      <c r="E33" s="299" t="inlineStr">
        <is>
          <t>маш.час</t>
        </is>
      </c>
      <c r="F33" s="299" t="n">
        <v>0.99</v>
      </c>
      <c r="G33" s="318" t="n">
        <v>16.92</v>
      </c>
      <c r="H33" s="176">
        <f>ROUND(F33*G33,2)</f>
        <v/>
      </c>
      <c r="I33" s="145" t="n"/>
      <c r="L33" s="145" t="n"/>
    </row>
    <row r="34" ht="25.5" customHeight="1" s="241">
      <c r="A34" s="299" t="n">
        <v>20</v>
      </c>
      <c r="B34" s="289" t="n"/>
      <c r="C34" s="201" t="inlineStr">
        <is>
          <t>91.21.01-012</t>
        </is>
      </c>
      <c r="D34" s="298" t="inlineStr">
        <is>
          <t>Агрегаты окрасочные высокого давления для окраски поверхностей конструкций, мощность 1 кВт</t>
        </is>
      </c>
      <c r="E34" s="299" t="inlineStr">
        <is>
          <t>маш.час</t>
        </is>
      </c>
      <c r="F34" s="299" t="n">
        <v>1.32</v>
      </c>
      <c r="G34" s="318" t="n">
        <v>6.82</v>
      </c>
      <c r="H34" s="176">
        <f>ROUND(F34*G34,2)</f>
        <v/>
      </c>
      <c r="I34" s="145" t="n"/>
      <c r="L34" s="145" t="n"/>
    </row>
    <row r="35">
      <c r="A35" s="299" t="n">
        <v>21</v>
      </c>
      <c r="B35" s="289" t="n"/>
      <c r="C35" s="201" t="inlineStr">
        <is>
          <t>91.21.19-031</t>
        </is>
      </c>
      <c r="D35" s="298" t="inlineStr">
        <is>
          <t>Станок: сверлильный</t>
        </is>
      </c>
      <c r="E35" s="299" t="inlineStr">
        <is>
          <t>маш.час</t>
        </is>
      </c>
      <c r="F35" s="299" t="n">
        <v>0.99</v>
      </c>
      <c r="G35" s="318" t="n">
        <v>2.36</v>
      </c>
      <c r="H35" s="176">
        <f>ROUND(F35*G35,2)</f>
        <v/>
      </c>
      <c r="I35" s="145" t="n"/>
      <c r="L35" s="145" t="n"/>
    </row>
    <row r="36" ht="15" customHeight="1" s="241">
      <c r="A36" s="287" t="inlineStr">
        <is>
          <t>Оборудование</t>
        </is>
      </c>
      <c r="B36" s="377" t="n"/>
      <c r="C36" s="377" t="n"/>
      <c r="D36" s="377" t="n"/>
      <c r="E36" s="378" t="n"/>
      <c r="F36" s="10" t="n"/>
      <c r="G36" s="10" t="n"/>
      <c r="H36" s="382">
        <f>SUM(H37:H39)</f>
        <v/>
      </c>
    </row>
    <row r="37">
      <c r="A37" s="140" t="n">
        <v>22</v>
      </c>
      <c r="B37" s="287" t="n"/>
      <c r="C37" s="201" t="inlineStr">
        <is>
          <t>Прайс из СД ОП</t>
        </is>
      </c>
      <c r="D37" s="298" t="inlineStr">
        <is>
          <t>Трансформатор напряжения НАМИ-220 УХЛ1</t>
        </is>
      </c>
      <c r="E37" s="299" t="inlineStr">
        <is>
          <t>шт.</t>
        </is>
      </c>
      <c r="F37" s="383" t="n">
        <v>12</v>
      </c>
      <c r="G37" s="176" t="n"/>
      <c r="H37" s="176">
        <f>ROUND(F37*G37,2)</f>
        <v/>
      </c>
      <c r="I37" s="147" t="n"/>
      <c r="J37" s="384" t="n"/>
    </row>
    <row r="38">
      <c r="A38" s="140" t="n">
        <v>23</v>
      </c>
      <c r="B38" s="287" t="n"/>
      <c r="C38" s="201" t="inlineStr">
        <is>
          <t>Прайс из СД ОП</t>
        </is>
      </c>
      <c r="D38" s="298" t="inlineStr">
        <is>
          <t>Ящик цепей напряжения ЯЗН-11-АСКУЭ</t>
        </is>
      </c>
      <c r="E38" s="299" t="inlineStr">
        <is>
          <t>шт.</t>
        </is>
      </c>
      <c r="F38" s="383" t="n">
        <v>4</v>
      </c>
      <c r="G38" s="176" t="n"/>
      <c r="H38" s="176">
        <f>ROUND(F38*G38,2)</f>
        <v/>
      </c>
      <c r="I38" s="147" t="n"/>
      <c r="J38" s="384" t="n"/>
    </row>
    <row r="39">
      <c r="A39" s="140" t="n">
        <v>24</v>
      </c>
      <c r="B39" s="287" t="n"/>
      <c r="C39" s="201" t="inlineStr">
        <is>
          <t>Прайс из СД ОП</t>
        </is>
      </c>
      <c r="D39" s="298" t="inlineStr">
        <is>
          <t>Ящик АВР цепей напряжения ЯАВР2.1-АСКУЭ-220В</t>
        </is>
      </c>
      <c r="E39" s="299" t="inlineStr">
        <is>
          <t>шт.</t>
        </is>
      </c>
      <c r="F39" s="383" t="n">
        <v>3</v>
      </c>
      <c r="G39" s="176" t="n"/>
      <c r="H39" s="176">
        <f>ROUND(F39*G39,2)</f>
        <v/>
      </c>
      <c r="I39" s="147" t="n"/>
      <c r="J39" s="384" t="n"/>
    </row>
    <row r="40">
      <c r="A40" s="288" t="inlineStr">
        <is>
          <t>Материалы</t>
        </is>
      </c>
      <c r="B40" s="377" t="n"/>
      <c r="C40" s="377" t="n"/>
      <c r="D40" s="377" t="n"/>
      <c r="E40" s="378" t="n"/>
      <c r="F40" s="288" t="n"/>
      <c r="G40" s="149" t="n"/>
      <c r="H40" s="382">
        <f>SUM(H41:H81)</f>
        <v/>
      </c>
    </row>
    <row r="41" ht="25.5" customHeight="1" s="241">
      <c r="A41" s="140" t="n">
        <v>25</v>
      </c>
      <c r="B41" s="289" t="n"/>
      <c r="C41" s="201" t="inlineStr">
        <is>
          <t>07.2.07.04-0004</t>
        </is>
      </c>
      <c r="D41" s="298" t="inlineStr">
        <is>
          <t>Конструкции стальные индивидуальные решетчатые сварные, масса 0,5-1 т</t>
        </is>
      </c>
      <c r="E41" s="299" t="inlineStr">
        <is>
          <t>т</t>
        </is>
      </c>
      <c r="F41" s="299" t="n">
        <v>1.74408</v>
      </c>
      <c r="G41" s="176" t="n">
        <v>10367.82</v>
      </c>
      <c r="H41" s="176">
        <f>ROUND(F41*G41,2)</f>
        <v/>
      </c>
      <c r="I41" s="147" t="n"/>
      <c r="K41" s="145" t="n"/>
    </row>
    <row r="42">
      <c r="A42" s="140" t="n">
        <v>26</v>
      </c>
      <c r="B42" s="289" t="n"/>
      <c r="C42" s="201" t="inlineStr">
        <is>
          <t>05.1.05.16-0221</t>
        </is>
      </c>
      <c r="D42" s="298" t="inlineStr">
        <is>
          <t>Фундаменты сборные железобетонные ВЛ и ОРУ</t>
        </is>
      </c>
      <c r="E42" s="299" t="inlineStr">
        <is>
          <t>м3</t>
        </is>
      </c>
      <c r="F42" s="299" t="n">
        <v>31.2696</v>
      </c>
      <c r="G42" s="176" t="n">
        <v>1597.37</v>
      </c>
      <c r="H42" s="176">
        <f>ROUND(F42*G42,2)</f>
        <v/>
      </c>
      <c r="I42" s="147" t="n"/>
      <c r="K42" s="145" t="n"/>
    </row>
    <row r="43" ht="25.5" customHeight="1" s="241">
      <c r="A43" s="140" t="n">
        <v>27</v>
      </c>
      <c r="B43" s="289" t="n"/>
      <c r="C43" s="201" t="inlineStr">
        <is>
          <t>21.1.06.10-0411</t>
        </is>
      </c>
      <c r="D43" s="298" t="inlineStr">
        <is>
          <t>Кабель силовой с медными жилами ВВГнг(A)-LS 5х16мк(N, РЕ)-1000</t>
        </is>
      </c>
      <c r="E43" s="299" t="inlineStr">
        <is>
          <t>1000 м</t>
        </is>
      </c>
      <c r="F43" s="299" t="n">
        <v>0.132</v>
      </c>
      <c r="G43" s="176" t="n">
        <v>98440.41</v>
      </c>
      <c r="H43" s="176">
        <f>ROUND(F43*G43,2)</f>
        <v/>
      </c>
      <c r="I43" s="147" t="n"/>
      <c r="K43" s="145" t="n"/>
    </row>
    <row r="44">
      <c r="A44" s="140" t="n">
        <v>28</v>
      </c>
      <c r="B44" s="289" t="n"/>
      <c r="C44" s="201" t="inlineStr">
        <is>
          <t>21.1.08.03-0574</t>
        </is>
      </c>
      <c r="D44" s="298" t="inlineStr">
        <is>
          <t>Кабель контрольный КВВГЭнг(А)-LS 4x2,5</t>
        </is>
      </c>
      <c r="E44" s="299" t="inlineStr">
        <is>
          <t>1000 м</t>
        </is>
      </c>
      <c r="F44" s="299" t="n">
        <v>0.216</v>
      </c>
      <c r="G44" s="176" t="n">
        <v>38348.22</v>
      </c>
      <c r="H44" s="176">
        <f>ROUND(F44*G44,2)</f>
        <v/>
      </c>
      <c r="I44" s="147" t="n"/>
    </row>
    <row r="45" ht="51" customHeight="1" s="241">
      <c r="A45" s="140" t="n">
        <v>29</v>
      </c>
      <c r="B45" s="289" t="n"/>
      <c r="C45" s="201" t="inlineStr">
        <is>
          <t>21.2.01.02-0098</t>
        </is>
      </c>
      <c r="D45" s="29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400/51 мм2</t>
        </is>
      </c>
      <c r="E45" s="299" t="inlineStr">
        <is>
          <t>т</t>
        </is>
      </c>
      <c r="F45" s="299" t="n">
        <v>0.07295</v>
      </c>
      <c r="G45" s="176" t="n">
        <v>34500.53</v>
      </c>
      <c r="H45" s="176">
        <f>ROUND(F45*G45,2)</f>
        <v/>
      </c>
      <c r="I45" s="147" t="n"/>
    </row>
    <row r="46" ht="25.5" customHeight="1" s="241">
      <c r="A46" s="140" t="n">
        <v>30</v>
      </c>
      <c r="B46" s="289" t="n"/>
      <c r="C46" s="201" t="inlineStr">
        <is>
          <t>05.1.01.10-0131</t>
        </is>
      </c>
      <c r="D46" s="298" t="inlineStr">
        <is>
          <t>Лотки каналов и тоннелей железобетонные для прокладки коммуникаций</t>
        </is>
      </c>
      <c r="E46" s="299" t="inlineStr">
        <is>
          <t>м3</t>
        </is>
      </c>
      <c r="F46" s="299" t="n">
        <v>1.12</v>
      </c>
      <c r="G46" s="176" t="n">
        <v>1837.28</v>
      </c>
      <c r="H46" s="176">
        <f>ROUND(F46*G46,2)</f>
        <v/>
      </c>
      <c r="I46" s="147" t="n"/>
    </row>
    <row r="47" ht="25.5" customHeight="1" s="241">
      <c r="A47" s="140" t="n">
        <v>31</v>
      </c>
      <c r="B47" s="289" t="n"/>
      <c r="C47" s="201" t="inlineStr">
        <is>
          <t>999-9950</t>
        </is>
      </c>
      <c r="D47" s="298" t="inlineStr">
        <is>
          <t>Вспомогательные ненормируемые ресурсы (2% от Оплаты труда рабочих)</t>
        </is>
      </c>
      <c r="E47" s="299" t="inlineStr">
        <is>
          <t>руб</t>
        </is>
      </c>
      <c r="F47" s="299" t="n">
        <v>1862.094</v>
      </c>
      <c r="G47" s="176" t="n">
        <v>1</v>
      </c>
      <c r="H47" s="176">
        <f>ROUND(F47*G47,2)</f>
        <v/>
      </c>
      <c r="I47" s="147" t="n"/>
    </row>
    <row r="48">
      <c r="A48" s="140" t="n">
        <v>32</v>
      </c>
      <c r="B48" s="289" t="n"/>
      <c r="C48" s="201" t="inlineStr">
        <is>
          <t>20.1.01.02-0067</t>
        </is>
      </c>
      <c r="D48" s="298" t="inlineStr">
        <is>
          <t>Зажим аппаратный прессуемый: А4А-400-2</t>
        </is>
      </c>
      <c r="E48" s="299" t="inlineStr">
        <is>
          <t>100 шт.</t>
        </is>
      </c>
      <c r="F48" s="299" t="n">
        <v>0.24</v>
      </c>
      <c r="G48" s="176" t="n">
        <v>6505</v>
      </c>
      <c r="H48" s="176">
        <f>ROUND(F48*G48,2)</f>
        <v/>
      </c>
      <c r="I48" s="147" t="n"/>
    </row>
    <row r="49">
      <c r="A49" s="140" t="n">
        <v>33</v>
      </c>
      <c r="B49" s="289" t="n"/>
      <c r="C49" s="201" t="inlineStr">
        <is>
          <t>20.2.08.05-0017</t>
        </is>
      </c>
      <c r="D49" s="298" t="inlineStr">
        <is>
          <t>Профиль монтажный</t>
        </is>
      </c>
      <c r="E49" s="299" t="inlineStr">
        <is>
          <t>шт.</t>
        </is>
      </c>
      <c r="F49" s="299" t="n">
        <v>14</v>
      </c>
      <c r="G49" s="176" t="n">
        <v>66.81999999999999</v>
      </c>
      <c r="H49" s="176">
        <f>ROUND(F49*G49,2)</f>
        <v/>
      </c>
      <c r="I49" s="147" t="n"/>
    </row>
    <row r="50">
      <c r="A50" s="140" t="n">
        <v>34</v>
      </c>
      <c r="B50" s="289" t="n"/>
      <c r="C50" s="201" t="inlineStr">
        <is>
          <t>20.1.01.03-0002</t>
        </is>
      </c>
      <c r="D50" s="298" t="inlineStr">
        <is>
          <t>Зажим винтовой ЗВИ-150 16-35 мм2 12 пар</t>
        </is>
      </c>
      <c r="E50" s="299" t="inlineStr">
        <is>
          <t>шт.</t>
        </is>
      </c>
      <c r="F50" s="299" t="n">
        <v>138</v>
      </c>
      <c r="G50" s="176" t="n">
        <v>6.29</v>
      </c>
      <c r="H50" s="176">
        <f>ROUND(F50*G50,2)</f>
        <v/>
      </c>
      <c r="I50" s="147" t="n"/>
    </row>
    <row r="51">
      <c r="A51" s="140" t="n">
        <v>35</v>
      </c>
      <c r="B51" s="289" t="n"/>
      <c r="C51" s="201" t="inlineStr">
        <is>
          <t>01.7.15.03-0042</t>
        </is>
      </c>
      <c r="D51" s="298" t="inlineStr">
        <is>
          <t>Болты с гайками и шайбами строительные</t>
        </is>
      </c>
      <c r="E51" s="299" t="inlineStr">
        <is>
          <t>кг</t>
        </is>
      </c>
      <c r="F51" s="299" t="n">
        <v>90.026</v>
      </c>
      <c r="G51" s="176" t="n">
        <v>9.039999999999999</v>
      </c>
      <c r="H51" s="176">
        <f>ROUND(F51*G51,2)</f>
        <v/>
      </c>
      <c r="I51" s="147" t="n"/>
    </row>
    <row r="52">
      <c r="A52" s="140" t="n">
        <v>36</v>
      </c>
      <c r="B52" s="289" t="n"/>
      <c r="C52" s="201" t="inlineStr">
        <is>
          <t>01.7.17.11-0001</t>
        </is>
      </c>
      <c r="D52" s="298" t="inlineStr">
        <is>
          <t>Бумага шлифовальная</t>
        </is>
      </c>
      <c r="E52" s="299" t="inlineStr">
        <is>
          <t>кг</t>
        </is>
      </c>
      <c r="F52" s="299" t="n">
        <v>16</v>
      </c>
      <c r="G52" s="176" t="n">
        <v>50</v>
      </c>
      <c r="H52" s="176">
        <f>ROUND(F52*G52,2)</f>
        <v/>
      </c>
      <c r="I52" s="147" t="n"/>
    </row>
    <row r="53">
      <c r="A53" s="140" t="n">
        <v>37</v>
      </c>
      <c r="B53" s="289" t="n"/>
      <c r="C53" s="201" t="inlineStr">
        <is>
          <t>02.2.05.04-1777</t>
        </is>
      </c>
      <c r="D53" s="298" t="inlineStr">
        <is>
          <t>Щебень М 800, фракция 20-40 мм, группа 2</t>
        </is>
      </c>
      <c r="E53" s="299" t="inlineStr">
        <is>
          <t>м3</t>
        </is>
      </c>
      <c r="F53" s="299" t="n">
        <v>4.8</v>
      </c>
      <c r="G53" s="176" t="n">
        <v>108.4</v>
      </c>
      <c r="H53" s="176">
        <f>ROUND(F53*G53,2)</f>
        <v/>
      </c>
      <c r="I53" s="147" t="n"/>
    </row>
    <row r="54">
      <c r="A54" s="140" t="n">
        <v>38</v>
      </c>
      <c r="B54" s="289" t="n"/>
      <c r="C54" s="201" t="inlineStr">
        <is>
          <t>20.2.08.07-0072</t>
        </is>
      </c>
      <c r="D54" s="298" t="inlineStr">
        <is>
          <t>Скобы металлические для крепления проводов</t>
        </is>
      </c>
      <c r="E54" s="299" t="inlineStr">
        <is>
          <t>10шт.</t>
        </is>
      </c>
      <c r="F54" s="299" t="n">
        <v>13.8</v>
      </c>
      <c r="G54" s="176" t="n">
        <v>29.4</v>
      </c>
      <c r="H54" s="176">
        <f>ROUND(F54*G54,2)</f>
        <v/>
      </c>
      <c r="I54" s="147" t="n"/>
    </row>
    <row r="55" ht="25.5" customHeight="1" s="241">
      <c r="A55" s="140" t="n">
        <v>39</v>
      </c>
      <c r="B55" s="289" t="n"/>
      <c r="C55" s="201" t="inlineStr">
        <is>
          <t>08.3.08.02-0091</t>
        </is>
      </c>
      <c r="D55" s="298" t="inlineStr">
        <is>
          <t>Сталь угловая, марки Ст3, перфорированная УП 35х35 мм</t>
        </is>
      </c>
      <c r="E55" s="299" t="inlineStr">
        <is>
          <t>м</t>
        </is>
      </c>
      <c r="F55" s="299" t="n">
        <v>20.9</v>
      </c>
      <c r="G55" s="176" t="n">
        <v>15.13</v>
      </c>
      <c r="H55" s="176">
        <f>ROUND(F55*G55,2)</f>
        <v/>
      </c>
      <c r="I55" s="147" t="n"/>
    </row>
    <row r="56">
      <c r="A56" s="140" t="n">
        <v>40</v>
      </c>
      <c r="B56" s="289" t="n"/>
      <c r="C56" s="201" t="inlineStr">
        <is>
          <t>01.7.15.07-0014</t>
        </is>
      </c>
      <c r="D56" s="298" t="inlineStr">
        <is>
          <t>Дюбели распорные полипропиленовые</t>
        </is>
      </c>
      <c r="E56" s="299" t="inlineStr">
        <is>
          <t>100 шт.</t>
        </is>
      </c>
      <c r="F56" s="299" t="n">
        <v>3.483</v>
      </c>
      <c r="G56" s="176" t="n">
        <v>86</v>
      </c>
      <c r="H56" s="176">
        <f>ROUND(F56*G56,2)</f>
        <v/>
      </c>
      <c r="I56" s="147" t="n"/>
    </row>
    <row r="57">
      <c r="A57" s="140" t="n">
        <v>41</v>
      </c>
      <c r="B57" s="289" t="n"/>
      <c r="C57" s="201" t="inlineStr">
        <is>
          <t>14.4.02.09-0301</t>
        </is>
      </c>
      <c r="D57" s="298" t="inlineStr">
        <is>
          <t>Краска "Цинол"</t>
        </is>
      </c>
      <c r="E57" s="299" t="inlineStr">
        <is>
          <t>кг</t>
        </is>
      </c>
      <c r="F57" s="299" t="n">
        <v>1.104</v>
      </c>
      <c r="G57" s="176" t="n">
        <v>238.48</v>
      </c>
      <c r="H57" s="176">
        <f>ROUND(F57*G57,2)</f>
        <v/>
      </c>
      <c r="I57" s="147" t="n"/>
    </row>
    <row r="58">
      <c r="A58" s="140" t="n">
        <v>42</v>
      </c>
      <c r="B58" s="289" t="n"/>
      <c r="C58" s="201" t="inlineStr">
        <is>
          <t>14.4.02.09-0001</t>
        </is>
      </c>
      <c r="D58" s="298" t="inlineStr">
        <is>
          <t>Краска</t>
        </is>
      </c>
      <c r="E58" s="299" t="inlineStr">
        <is>
          <t>кг</t>
        </is>
      </c>
      <c r="F58" s="299" t="n">
        <v>8.640000000000001</v>
      </c>
      <c r="G58" s="176" t="n">
        <v>28.6</v>
      </c>
      <c r="H58" s="176">
        <f>ROUND(F58*G58,2)</f>
        <v/>
      </c>
      <c r="I58" s="147" t="n"/>
    </row>
    <row r="59" ht="25.5" customHeight="1" s="241">
      <c r="A59" s="140" t="n">
        <v>43</v>
      </c>
      <c r="B59" s="289" t="n"/>
      <c r="C59" s="201" t="inlineStr">
        <is>
          <t>08.3.07.01-0076</t>
        </is>
      </c>
      <c r="D59" s="298" t="inlineStr">
        <is>
          <t>Сталь полосовая, марка стали: Ст3сп шириной 50-200 мм толщиной 4-5 мм</t>
        </is>
      </c>
      <c r="E59" s="299" t="inlineStr">
        <is>
          <t>т</t>
        </is>
      </c>
      <c r="F59" s="299" t="n">
        <v>0.0448</v>
      </c>
      <c r="G59" s="176" t="n">
        <v>5000</v>
      </c>
      <c r="H59" s="176">
        <f>ROUND(F59*G59,2)</f>
        <v/>
      </c>
      <c r="I59" s="147" t="n"/>
    </row>
    <row r="60">
      <c r="A60" s="140" t="n">
        <v>44</v>
      </c>
      <c r="B60" s="289" t="n"/>
      <c r="C60" s="201" t="inlineStr">
        <is>
          <t>01.7.11.07-0034</t>
        </is>
      </c>
      <c r="D60" s="298" t="inlineStr">
        <is>
          <t>Электроды диаметром: 4 мм Э42А</t>
        </is>
      </c>
      <c r="E60" s="299" t="inlineStr">
        <is>
          <t>кг</t>
        </is>
      </c>
      <c r="F60" s="299" t="n">
        <v>12.393</v>
      </c>
      <c r="G60" s="176" t="n">
        <v>10.57</v>
      </c>
      <c r="H60" s="176">
        <f>ROUND(F60*G60,2)</f>
        <v/>
      </c>
      <c r="I60" s="147" t="n"/>
    </row>
    <row r="61" ht="25.5" customHeight="1" s="241">
      <c r="A61" s="140" t="n">
        <v>45</v>
      </c>
      <c r="B61" s="289" t="n"/>
      <c r="C61" s="201" t="inlineStr">
        <is>
          <t>08.3.05.02-0052</t>
        </is>
      </c>
      <c r="D61" s="298" t="inlineStr">
        <is>
          <t>Сталь листовая горячекатаная марки Ст3 толщиной: 2-6 мм</t>
        </is>
      </c>
      <c r="E61" s="299" t="inlineStr">
        <is>
          <t>т</t>
        </is>
      </c>
      <c r="F61" s="299" t="n">
        <v>0.022</v>
      </c>
      <c r="G61" s="176" t="n">
        <v>5941.89</v>
      </c>
      <c r="H61" s="176">
        <f>ROUND(F61*G61,2)</f>
        <v/>
      </c>
      <c r="I61" s="147" t="n"/>
    </row>
    <row r="62">
      <c r="A62" s="140" t="n">
        <v>46</v>
      </c>
      <c r="B62" s="289" t="n"/>
      <c r="C62" s="201" t="inlineStr">
        <is>
          <t>01.7.15.07-0031</t>
        </is>
      </c>
      <c r="D62" s="298" t="inlineStr">
        <is>
          <t>Дюбели распорные с гайкой</t>
        </is>
      </c>
      <c r="E62" s="299" t="inlineStr">
        <is>
          <t>100 шт.</t>
        </is>
      </c>
      <c r="F62" s="299" t="n">
        <v>0.9313</v>
      </c>
      <c r="G62" s="176" t="n">
        <v>110</v>
      </c>
      <c r="H62" s="176">
        <f>ROUND(F62*G62,2)</f>
        <v/>
      </c>
      <c r="I62" s="147" t="n"/>
    </row>
    <row r="63" ht="25.5" customHeight="1" s="241">
      <c r="A63" s="140" t="n">
        <v>47</v>
      </c>
      <c r="B63" s="289" t="n"/>
      <c r="C63" s="201" t="inlineStr">
        <is>
          <t>03.2.01.01-0003</t>
        </is>
      </c>
      <c r="D63" s="298" t="inlineStr">
        <is>
          <t>Портландцемент общестроительного назначения бездобавочный, марки: 500</t>
        </is>
      </c>
      <c r="E63" s="299" t="inlineStr">
        <is>
          <t>т</t>
        </is>
      </c>
      <c r="F63" s="299" t="n">
        <v>0.2095</v>
      </c>
      <c r="G63" s="176" t="n">
        <v>480</v>
      </c>
      <c r="H63" s="176">
        <f>ROUND(F63*G63,2)</f>
        <v/>
      </c>
      <c r="I63" s="147" t="n"/>
    </row>
    <row r="64" ht="25.5" customHeight="1" s="241">
      <c r="A64" s="140" t="n">
        <v>48</v>
      </c>
      <c r="B64" s="289" t="n"/>
      <c r="C64" s="201" t="inlineStr">
        <is>
          <t>01.3.01.06-0050</t>
        </is>
      </c>
      <c r="D64" s="298" t="inlineStr">
        <is>
          <t>Смазка универсальная тугоплавкая УТ (консталин жировой)</t>
        </is>
      </c>
      <c r="E64" s="299" t="inlineStr">
        <is>
          <t>т</t>
        </is>
      </c>
      <c r="F64" s="299" t="n">
        <v>0.0029</v>
      </c>
      <c r="G64" s="176" t="n">
        <v>17500</v>
      </c>
      <c r="H64" s="176">
        <f>ROUND(F64*G64,2)</f>
        <v/>
      </c>
      <c r="I64" s="147" t="n"/>
    </row>
    <row r="65">
      <c r="A65" s="140" t="n">
        <v>49</v>
      </c>
      <c r="B65" s="289" t="n"/>
      <c r="C65" s="201" t="inlineStr">
        <is>
          <t>01.7.20.08-0031</t>
        </is>
      </c>
      <c r="D65" s="298" t="inlineStr">
        <is>
          <t>Бязь суровая арт. 6804</t>
        </is>
      </c>
      <c r="E65" s="299" t="inlineStr">
        <is>
          <t>10 м2</t>
        </is>
      </c>
      <c r="F65" s="299" t="n">
        <v>0.6</v>
      </c>
      <c r="G65" s="176" t="n">
        <v>79.09999999999999</v>
      </c>
      <c r="H65" s="176">
        <f>ROUND(F65*G65,2)</f>
        <v/>
      </c>
      <c r="I65" s="147" t="n"/>
    </row>
    <row r="66">
      <c r="A66" s="140" t="n">
        <v>50</v>
      </c>
      <c r="B66" s="289" t="n"/>
      <c r="C66" s="201" t="inlineStr">
        <is>
          <t>14.4.04.09-0017</t>
        </is>
      </c>
      <c r="D66" s="298" t="inlineStr">
        <is>
          <t>Эмаль ХВ-124 защитная, зеленая</t>
        </is>
      </c>
      <c r="E66" s="299" t="inlineStr">
        <is>
          <t>т</t>
        </is>
      </c>
      <c r="F66" s="299" t="n">
        <v>0.0005999999999999999</v>
      </c>
      <c r="G66" s="176" t="n">
        <v>28300.4</v>
      </c>
      <c r="H66" s="176">
        <f>ROUND(F66*G66,2)</f>
        <v/>
      </c>
      <c r="I66" s="147" t="n"/>
    </row>
    <row r="67">
      <c r="A67" s="140" t="n">
        <v>51</v>
      </c>
      <c r="B67" s="289" t="n"/>
      <c r="C67" s="201" t="inlineStr">
        <is>
          <t>20.1.02.23-0082</t>
        </is>
      </c>
      <c r="D67" s="298" t="inlineStr">
        <is>
          <t>Перемычки гибкие, тип ПГС-50</t>
        </is>
      </c>
      <c r="E67" s="299" t="inlineStr">
        <is>
          <t>10 шт.</t>
        </is>
      </c>
      <c r="F67" s="299" t="n">
        <v>0.4</v>
      </c>
      <c r="G67" s="176" t="n">
        <v>39</v>
      </c>
      <c r="H67" s="176">
        <f>ROUND(F67*G67,2)</f>
        <v/>
      </c>
      <c r="I67" s="147" t="n"/>
    </row>
    <row r="68">
      <c r="A68" s="140" t="n">
        <v>52</v>
      </c>
      <c r="B68" s="289" t="n"/>
      <c r="C68" s="201" t="inlineStr">
        <is>
          <t>08.3.07.01-0043</t>
        </is>
      </c>
      <c r="D68" s="298" t="inlineStr">
        <is>
          <t>Сталь полосовая: 40х5 мм, марка Ст3сп</t>
        </is>
      </c>
      <c r="E68" s="299" t="inlineStr">
        <is>
          <t>т</t>
        </is>
      </c>
      <c r="F68" s="299" t="n">
        <v>0.001978</v>
      </c>
      <c r="G68" s="176" t="n">
        <v>6159.22</v>
      </c>
      <c r="H68" s="176">
        <f>ROUND(F68*G68,2)</f>
        <v/>
      </c>
      <c r="I68" s="147" t="n"/>
    </row>
    <row r="69">
      <c r="A69" s="140" t="n">
        <v>53</v>
      </c>
      <c r="B69" s="289" t="n"/>
      <c r="C69" s="201" t="inlineStr">
        <is>
          <t>01.7.15.07-0007</t>
        </is>
      </c>
      <c r="D69" s="298" t="inlineStr">
        <is>
          <t>Дюбели пластмассовые диаметр 14 мм</t>
        </is>
      </c>
      <c r="E69" s="299" t="inlineStr">
        <is>
          <t>100 шт.</t>
        </is>
      </c>
      <c r="F69" s="299" t="n">
        <v>0.44</v>
      </c>
      <c r="G69" s="176" t="n">
        <v>26.6</v>
      </c>
      <c r="H69" s="176">
        <f>ROUND(F69*G69,2)</f>
        <v/>
      </c>
      <c r="I69" s="147" t="n"/>
    </row>
    <row r="70" ht="25.5" customHeight="1" s="241">
      <c r="A70" s="140" t="n">
        <v>54</v>
      </c>
      <c r="B70" s="289" t="n"/>
      <c r="C70" s="201" t="inlineStr">
        <is>
          <t>02.3.01.02-0020</t>
        </is>
      </c>
      <c r="D70" s="298" t="inlineStr">
        <is>
          <t>Песок природный для строительных: растворов средний</t>
        </is>
      </c>
      <c r="E70" s="299" t="inlineStr">
        <is>
          <t>м3</t>
        </is>
      </c>
      <c r="F70" s="299" t="n">
        <v>0.1746</v>
      </c>
      <c r="G70" s="176" t="n">
        <v>59.99</v>
      </c>
      <c r="H70" s="176">
        <f>ROUND(F70*G70,2)</f>
        <v/>
      </c>
      <c r="I70" s="147" t="n"/>
    </row>
    <row r="71">
      <c r="A71" s="140" t="n">
        <v>55</v>
      </c>
      <c r="B71" s="289" t="n"/>
      <c r="C71" s="201" t="inlineStr">
        <is>
          <t>14.4.01.01-0003</t>
        </is>
      </c>
      <c r="D71" s="298" t="inlineStr">
        <is>
          <t>Грунтовка: ГФ-021 красно-коричневая</t>
        </is>
      </c>
      <c r="E71" s="299" t="inlineStr">
        <is>
          <t>т</t>
        </is>
      </c>
      <c r="F71" s="299" t="n">
        <v>0.0005999999999999999</v>
      </c>
      <c r="G71" s="176" t="n">
        <v>15620</v>
      </c>
      <c r="H71" s="176">
        <f>ROUND(F71*G71,2)</f>
        <v/>
      </c>
      <c r="I71" s="147" t="n"/>
    </row>
    <row r="72">
      <c r="A72" s="140" t="n">
        <v>56</v>
      </c>
      <c r="B72" s="289" t="n"/>
      <c r="C72" s="201" t="inlineStr">
        <is>
          <t>01.7.11.07-0032</t>
        </is>
      </c>
      <c r="D72" s="298" t="inlineStr">
        <is>
          <t>Электроды диаметром: 4 мм Э42</t>
        </is>
      </c>
      <c r="E72" s="299" t="inlineStr">
        <is>
          <t>т</t>
        </is>
      </c>
      <c r="F72" s="299" t="n">
        <v>0.0009</v>
      </c>
      <c r="G72" s="176" t="n">
        <v>10315.01</v>
      </c>
      <c r="H72" s="176">
        <f>ROUND(F72*G72,2)</f>
        <v/>
      </c>
      <c r="I72" s="147" t="n"/>
    </row>
    <row r="73">
      <c r="A73" s="140" t="n">
        <v>57</v>
      </c>
      <c r="B73" s="289" t="n"/>
      <c r="C73" s="201" t="inlineStr">
        <is>
          <t>01.7.15.14-0043</t>
        </is>
      </c>
      <c r="D73" s="298" t="inlineStr">
        <is>
          <t>Шуруп самонарезающий: (LN) 3,5/11 мм</t>
        </is>
      </c>
      <c r="E73" s="299" t="inlineStr">
        <is>
          <t>100 шт.</t>
        </is>
      </c>
      <c r="F73" s="299" t="n">
        <v>3.427</v>
      </c>
      <c r="G73" s="176" t="n">
        <v>2</v>
      </c>
      <c r="H73" s="176">
        <f>ROUND(F73*G73,2)</f>
        <v/>
      </c>
      <c r="I73" s="147" t="n"/>
    </row>
    <row r="74" ht="25.5" customHeight="1" s="241">
      <c r="A74" s="140" t="n">
        <v>58</v>
      </c>
      <c r="B74" s="289" t="n"/>
      <c r="C74" s="201" t="inlineStr">
        <is>
          <t>01.7.15.03-0031</t>
        </is>
      </c>
      <c r="D74" s="298" t="inlineStr">
        <is>
          <t>Болты с гайками и шайбами оцинкованные, диаметр: 6 мм</t>
        </is>
      </c>
      <c r="E74" s="299" t="inlineStr">
        <is>
          <t>кг</t>
        </is>
      </c>
      <c r="F74" s="299" t="n">
        <v>0.22</v>
      </c>
      <c r="G74" s="176" t="n">
        <v>28.22</v>
      </c>
      <c r="H74" s="176">
        <f>ROUND(F74*G74,2)</f>
        <v/>
      </c>
      <c r="I74" s="147" t="n"/>
    </row>
    <row r="75">
      <c r="A75" s="140" t="n">
        <v>59</v>
      </c>
      <c r="B75" s="289" t="n"/>
      <c r="C75" s="201" t="inlineStr">
        <is>
          <t>14.5.09.07-0029</t>
        </is>
      </c>
      <c r="D75" s="298" t="inlineStr">
        <is>
          <t>Растворитель марки: Р-4</t>
        </is>
      </c>
      <c r="E75" s="299" t="inlineStr">
        <is>
          <t>т</t>
        </is>
      </c>
      <c r="F75" s="299" t="n">
        <v>0.0005</v>
      </c>
      <c r="G75" s="176" t="n">
        <v>9420</v>
      </c>
      <c r="H75" s="176">
        <f>ROUND(F75*G75,2)</f>
        <v/>
      </c>
      <c r="I75" s="147" t="n"/>
    </row>
    <row r="76" ht="25.5" customHeight="1" s="241">
      <c r="A76" s="140" t="n">
        <v>60</v>
      </c>
      <c r="B76" s="289" t="n"/>
      <c r="C76" s="201" t="inlineStr">
        <is>
          <t>01.7.06.05-0041</t>
        </is>
      </c>
      <c r="D76" s="298" t="inlineStr">
        <is>
          <t>Лента изоляционная прорезиненная односторонняя ширина 20 мм, толщина 0,25-0,35 мм</t>
        </is>
      </c>
      <c r="E76" s="299" t="inlineStr">
        <is>
          <t>кг</t>
        </is>
      </c>
      <c r="F76" s="299" t="n">
        <v>0.048</v>
      </c>
      <c r="G76" s="176" t="n">
        <v>30.4</v>
      </c>
      <c r="H76" s="176">
        <f>ROUND(F76*G76,2)</f>
        <v/>
      </c>
      <c r="I76" s="147" t="n"/>
    </row>
    <row r="77">
      <c r="A77" s="140" t="n">
        <v>61</v>
      </c>
      <c r="B77" s="289" t="n"/>
      <c r="C77" s="201" t="inlineStr">
        <is>
          <t>14.5.09.11-0101</t>
        </is>
      </c>
      <c r="D77" s="298" t="inlineStr">
        <is>
          <t>Уайт-спирит</t>
        </is>
      </c>
      <c r="E77" s="299" t="inlineStr">
        <is>
          <t>т</t>
        </is>
      </c>
      <c r="F77" s="299" t="n">
        <v>0.0002</v>
      </c>
      <c r="G77" s="176" t="n">
        <v>6667</v>
      </c>
      <c r="H77" s="176">
        <f>ROUND(F77*G77,2)</f>
        <v/>
      </c>
      <c r="I77" s="147" t="n"/>
    </row>
    <row r="78">
      <c r="A78" s="140" t="n">
        <v>62</v>
      </c>
      <c r="B78" s="289" t="n"/>
      <c r="C78" s="201" t="inlineStr">
        <is>
          <t>01.3.01.02-0002</t>
        </is>
      </c>
      <c r="D78" s="298" t="inlineStr">
        <is>
          <t>Вазелин технический</t>
        </is>
      </c>
      <c r="E78" s="299" t="inlineStr">
        <is>
          <t>кг</t>
        </is>
      </c>
      <c r="F78" s="299" t="n">
        <v>0.024</v>
      </c>
      <c r="G78" s="176" t="n">
        <v>44.97</v>
      </c>
      <c r="H78" s="176">
        <f>ROUND(F78*G78,2)</f>
        <v/>
      </c>
      <c r="I78" s="147" t="n"/>
    </row>
    <row r="79">
      <c r="A79" s="140" t="n">
        <v>63</v>
      </c>
      <c r="B79" s="289" t="n"/>
      <c r="C79" s="201" t="inlineStr">
        <is>
          <t>14.4.03.17-0011</t>
        </is>
      </c>
      <c r="D79" s="298" t="inlineStr">
        <is>
          <t>Лак электроизоляционный 318</t>
        </is>
      </c>
      <c r="E79" s="299" t="inlineStr">
        <is>
          <t>кг</t>
        </is>
      </c>
      <c r="F79" s="299" t="n">
        <v>0.024</v>
      </c>
      <c r="G79" s="176" t="n">
        <v>35.63</v>
      </c>
      <c r="H79" s="176">
        <f>ROUND(F79*G79,2)</f>
        <v/>
      </c>
      <c r="I79" s="147" t="n"/>
    </row>
    <row r="80">
      <c r="A80" s="140" t="n">
        <v>64</v>
      </c>
      <c r="B80" s="289" t="n"/>
      <c r="C80" s="201" t="inlineStr">
        <is>
          <t>01.7.20.04-0005</t>
        </is>
      </c>
      <c r="D80" s="298" t="inlineStr">
        <is>
          <t>Нитки швейные</t>
        </is>
      </c>
      <c r="E80" s="299" t="inlineStr">
        <is>
          <t>кг</t>
        </is>
      </c>
      <c r="F80" s="299" t="n">
        <v>0.004</v>
      </c>
      <c r="G80" s="176" t="n">
        <v>133.05</v>
      </c>
      <c r="H80" s="176">
        <f>ROUND(F80*G80,2)</f>
        <v/>
      </c>
      <c r="I80" s="147" t="n"/>
    </row>
    <row r="81">
      <c r="A81" s="140" t="n">
        <v>65</v>
      </c>
      <c r="B81" s="289" t="n"/>
      <c r="C81" s="201" t="inlineStr">
        <is>
          <t>01.7.02.09-0002</t>
        </is>
      </c>
      <c r="D81" s="298" t="inlineStr">
        <is>
          <t>Шпагат бумажный</t>
        </is>
      </c>
      <c r="E81" s="299" t="inlineStr">
        <is>
          <t>кг</t>
        </is>
      </c>
      <c r="F81" s="299" t="n">
        <v>0.004</v>
      </c>
      <c r="G81" s="176" t="n">
        <v>11.5</v>
      </c>
      <c r="H81" s="176">
        <f>ROUND(F81*G81,2)</f>
        <v/>
      </c>
      <c r="I81" s="147" t="n"/>
    </row>
    <row r="84">
      <c r="B84" s="243" t="inlineStr">
        <is>
          <t>Составил ______________________     Д.Ю. Нефедова</t>
        </is>
      </c>
    </row>
    <row r="85">
      <c r="B85" s="118" t="inlineStr">
        <is>
          <t xml:space="preserve">                         (подпись, инициалы, фамилия)</t>
        </is>
      </c>
    </row>
    <row r="87">
      <c r="B87" s="243" t="inlineStr">
        <is>
          <t>Проверил ______________________        А.В. Костянецкая</t>
        </is>
      </c>
    </row>
    <row r="88">
      <c r="B88" s="118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E9:E10"/>
    <mergeCell ref="A4:H4"/>
    <mergeCell ref="F9:F10"/>
    <mergeCell ref="A20:E20"/>
    <mergeCell ref="A9:A10"/>
    <mergeCell ref="A12:E12"/>
    <mergeCell ref="A2:H2"/>
    <mergeCell ref="A36:E36"/>
    <mergeCell ref="G9:H9"/>
    <mergeCell ref="A22:E22"/>
    <mergeCell ref="A40:E40"/>
    <mergeCell ref="A6:H6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zoomScale="85" workbookViewId="0">
      <selection activeCell="B42" sqref="B42"/>
    </sheetView>
  </sheetViews>
  <sheetFormatPr baseColWidth="8" defaultColWidth="9.140625" defaultRowHeight="15"/>
  <cols>
    <col width="4.140625" customWidth="1" style="241" min="1" max="1"/>
    <col width="36.28515625" customWidth="1" style="241" min="2" max="2"/>
    <col width="18.85546875" customWidth="1" style="241" min="3" max="3"/>
    <col width="18.28515625" customWidth="1" style="241" min="4" max="4"/>
    <col width="18.85546875" customWidth="1" style="241" min="5" max="5"/>
    <col width="13.42578125" customWidth="1" style="241" min="7" max="7"/>
    <col width="13.5703125" customWidth="1" style="241" min="12" max="12"/>
  </cols>
  <sheetData>
    <row r="1">
      <c r="B1" s="240" t="n"/>
      <c r="C1" s="240" t="n"/>
      <c r="D1" s="240" t="n"/>
      <c r="E1" s="240" t="n"/>
    </row>
    <row r="2">
      <c r="B2" s="240" t="n"/>
      <c r="C2" s="240" t="n"/>
      <c r="D2" s="240" t="n"/>
      <c r="E2" s="314" t="inlineStr">
        <is>
          <t>Приложение № 4</t>
        </is>
      </c>
    </row>
    <row r="3">
      <c r="B3" s="240" t="n"/>
      <c r="C3" s="240" t="n"/>
      <c r="D3" s="240" t="n"/>
      <c r="E3" s="240" t="n"/>
    </row>
    <row r="4">
      <c r="B4" s="240" t="n"/>
      <c r="C4" s="240" t="n"/>
      <c r="D4" s="240" t="n"/>
      <c r="E4" s="240" t="n"/>
    </row>
    <row r="5">
      <c r="B5" s="269" t="inlineStr">
        <is>
          <t>Ресурсная модель</t>
        </is>
      </c>
    </row>
    <row r="6">
      <c r="B6" s="150" t="n"/>
      <c r="C6" s="240" t="n"/>
      <c r="D6" s="240" t="n"/>
      <c r="E6" s="240" t="n"/>
    </row>
    <row r="7" ht="25.5" customHeight="1" s="241">
      <c r="B7" s="296" t="inlineStr">
        <is>
          <t>Наименование разрабатываемого показателя УНЦ — Демонтаж трансформаторов напряжения 220 кВ</t>
        </is>
      </c>
    </row>
    <row r="8">
      <c r="B8" s="297" t="inlineStr">
        <is>
          <t>Единица измерения  — 1 ед.</t>
        </is>
      </c>
    </row>
    <row r="9">
      <c r="B9" s="150" t="n"/>
      <c r="C9" s="240" t="n"/>
      <c r="D9" s="240" t="n"/>
      <c r="E9" s="240" t="n"/>
    </row>
    <row r="10" ht="51" customHeight="1" s="241">
      <c r="B10" s="299" t="inlineStr">
        <is>
          <t>Наименование</t>
        </is>
      </c>
      <c r="C10" s="299" t="inlineStr">
        <is>
          <t>Сметная стоимость в ценах на 01.01.2023
 (руб.)</t>
        </is>
      </c>
      <c r="D10" s="299" t="inlineStr">
        <is>
          <t>Удельный вес, 
(в СМР)</t>
        </is>
      </c>
      <c r="E10" s="29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1">
        <f>'Прил.5 Расчет СМР и ОБ'!J17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1">
        <f>'Прил.5 Расчет СМР и ОБ'!J27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1">
        <f>'Прил.5 Расчет СМР и ОБ'!J39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1">
        <f>'Прил.5 Расчет СМР и ОБ'!J41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1">
        <f>'Прил.5 Расчет СМР и ОБ'!J20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1">
        <f>'Прил.5 Расчет СМР и ОБ'!J50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1">
        <f>'Прил.5 Расчет СМР и ОБ'!J51</f>
        <v/>
      </c>
      <c r="D17" s="26">
        <f>C17/$C$24</f>
        <v/>
      </c>
      <c r="E17" s="26">
        <f>C17/$C$40</f>
        <v/>
      </c>
      <c r="G17" s="384" t="n"/>
    </row>
    <row r="18">
      <c r="B18" s="24" t="inlineStr">
        <is>
          <t>МАТЕРИАЛЫ, ВСЕГО:</t>
        </is>
      </c>
      <c r="C18" s="23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68">
        <f>'Прил.5 Расчет СМР и ОБ'!D57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68">
        <f>'Прил.5 Расчет СМР и ОБ'!D55</f>
        <v/>
      </c>
      <c r="D23" s="26" t="n"/>
      <c r="E23" s="24" t="n"/>
    </row>
    <row r="24">
      <c r="B24" s="24" t="inlineStr">
        <is>
          <t>ВСЕГО СМР с НР и СП</t>
        </is>
      </c>
      <c r="C24" s="231">
        <f>C19+C20+C22</f>
        <v/>
      </c>
      <c r="D24" s="26">
        <f>C24/$C$24</f>
        <v/>
      </c>
      <c r="E24" s="26">
        <f>C24/$C$40</f>
        <v/>
      </c>
    </row>
    <row r="25" ht="25.5" customHeight="1" s="241">
      <c r="B25" s="24" t="inlineStr">
        <is>
          <t>ВСЕГО стоимость оборудования, в том числе</t>
        </is>
      </c>
      <c r="C25" s="231">
        <f>'Прил.5 Расчет СМР и ОБ'!J46</f>
        <v/>
      </c>
      <c r="D25" s="26" t="n"/>
      <c r="E25" s="26">
        <f>C25/$C$40</f>
        <v/>
      </c>
    </row>
    <row r="26" ht="25.5" customHeight="1" s="241">
      <c r="B26" s="24" t="inlineStr">
        <is>
          <t>стоимость оборудования технологического</t>
        </is>
      </c>
      <c r="C26" s="231">
        <f>'Прил.5 Расчет СМР и ОБ'!J47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0">
        <f>'Прил.5 Расчет СМР и ОБ'!J60</f>
        <v/>
      </c>
      <c r="D27" s="26" t="n"/>
      <c r="E27" s="26">
        <f>C27/$C$40</f>
        <v/>
      </c>
      <c r="G27" s="152" t="n"/>
    </row>
    <row r="28" ht="33" customHeight="1" s="24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1">
      <c r="B29" s="24" t="inlineStr">
        <is>
          <t>Временные здания и сооружения - 3,9%</t>
        </is>
      </c>
      <c r="C29" s="170">
        <f>ROUND(C24*3.9%,2)</f>
        <v/>
      </c>
      <c r="D29" s="24" t="n"/>
      <c r="E29" s="26">
        <f>C29/$C$40</f>
        <v/>
      </c>
    </row>
    <row r="30" ht="38.25" customHeight="1" s="24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70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41">
      <c r="B32" s="24" t="inlineStr">
        <is>
          <t>Затраты по перевозке работников к месту работы и обратно</t>
        </is>
      </c>
      <c r="C32" s="170" t="n">
        <v>0</v>
      </c>
      <c r="D32" s="24" t="n"/>
      <c r="E32" s="26">
        <f>C32/$C$40</f>
        <v/>
      </c>
    </row>
    <row r="33" ht="25.5" customHeight="1" s="241">
      <c r="B33" s="24" t="inlineStr">
        <is>
          <t>Затраты, связанные с осуществлением работ вахтовым методом</t>
        </is>
      </c>
      <c r="C33" s="170">
        <f>ROUND(C27*0%,2)</f>
        <v/>
      </c>
      <c r="D33" s="24" t="n"/>
      <c r="E33" s="26">
        <f>C33/$C$40</f>
        <v/>
      </c>
    </row>
    <row r="34" ht="68.25" customHeight="1" s="24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0" t="n">
        <v>0</v>
      </c>
      <c r="D34" s="24" t="n"/>
      <c r="E34" s="26">
        <f>C34/$C$40</f>
        <v/>
      </c>
    </row>
    <row r="35" ht="88.5" customHeight="1" s="24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0">
        <f>ROUND(C27*0%,2)</f>
        <v/>
      </c>
      <c r="D35" s="24" t="n"/>
      <c r="E35" s="26">
        <f>C35/$C$40</f>
        <v/>
      </c>
    </row>
    <row r="36" ht="25.5" customHeight="1" s="241">
      <c r="B36" s="24" t="inlineStr">
        <is>
          <t>Строительный контроль и содержание службы заказчика - 2,14%</t>
        </is>
      </c>
      <c r="C36" s="170">
        <f>ROUND((C27+C32+C33+C34+C35+C29+C31+C30)*2.14%,2)</f>
        <v/>
      </c>
      <c r="D36" s="24" t="n"/>
      <c r="E36" s="26">
        <f>C36/$C$40</f>
        <v/>
      </c>
      <c r="G36" s="153" t="n"/>
      <c r="L36" s="152" t="n"/>
    </row>
    <row r="37">
      <c r="B37" s="24" t="inlineStr">
        <is>
          <t>Авторский надзор - 0,2%</t>
        </is>
      </c>
      <c r="C37" s="170">
        <f>ROUND((C27+C32+C33+C34+C35+C29+C31+C30)*0.2%,2)</f>
        <v/>
      </c>
      <c r="D37" s="24" t="n"/>
      <c r="E37" s="26">
        <f>C37/$C$40</f>
        <v/>
      </c>
      <c r="G37" s="154" t="n"/>
      <c r="L37" s="152" t="n"/>
    </row>
    <row r="38" ht="38.25" customHeight="1" s="241">
      <c r="B38" s="24" t="inlineStr">
        <is>
          <t>ИТОГО (СМР+ОБОРУДОВАНИЕ+ПРОЧ. ЗАТР., УЧТЕННЫЕ ПОКАЗАТЕЛЕМ)</t>
        </is>
      </c>
      <c r="C38" s="231">
        <f>C27+C32+C33+C34+C35+C29+C31+C30+C36+C37</f>
        <v/>
      </c>
      <c r="D38" s="24" t="n"/>
      <c r="E38" s="26">
        <f>C38/$C$40</f>
        <v/>
      </c>
    </row>
    <row r="39" ht="13.5" customHeight="1" s="241">
      <c r="B39" s="24" t="inlineStr">
        <is>
          <t>Непредвиденные расходы</t>
        </is>
      </c>
      <c r="C39" s="23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1">
        <f>C40/'Прил.5 Расчет СМР и ОБ'!E61</f>
        <v/>
      </c>
      <c r="D41" s="24" t="n"/>
      <c r="E41" s="24" t="n"/>
    </row>
    <row r="42">
      <c r="B42" s="233" t="n"/>
      <c r="C42" s="240" t="n"/>
      <c r="D42" s="240" t="n"/>
      <c r="E42" s="240" t="n"/>
    </row>
    <row r="43">
      <c r="B43" s="233" t="inlineStr">
        <is>
          <t>Составил ____________________________  Д.Ю. Нефедова</t>
        </is>
      </c>
      <c r="C43" s="240" t="n"/>
      <c r="D43" s="240" t="n"/>
      <c r="E43" s="240" t="n"/>
    </row>
    <row r="44">
      <c r="B44" s="233" t="inlineStr">
        <is>
          <t xml:space="preserve">(должность, подпись, инициалы, фамилия) </t>
        </is>
      </c>
      <c r="C44" s="240" t="n"/>
      <c r="D44" s="240" t="n"/>
      <c r="E44" s="240" t="n"/>
    </row>
    <row r="45">
      <c r="B45" s="233" t="n"/>
      <c r="C45" s="240" t="n"/>
      <c r="D45" s="240" t="n"/>
      <c r="E45" s="240" t="n"/>
    </row>
    <row r="46">
      <c r="B46" s="233" t="inlineStr">
        <is>
          <t>Проверил ____________________________ А.В. Костянецкая</t>
        </is>
      </c>
      <c r="C46" s="240" t="n"/>
      <c r="D46" s="240" t="n"/>
      <c r="E46" s="240" t="n"/>
    </row>
    <row r="47">
      <c r="B47" s="297" t="inlineStr">
        <is>
          <t>(должность, подпись, инициалы, фамилия)</t>
        </is>
      </c>
      <c r="D47" s="240" t="n"/>
      <c r="E47" s="240" t="n"/>
    </row>
    <row r="49">
      <c r="B49" s="240" t="n"/>
      <c r="C49" s="240" t="n"/>
      <c r="D49" s="240" t="n"/>
      <c r="E49" s="240" t="n"/>
    </row>
    <row r="50">
      <c r="B50" s="240" t="n"/>
      <c r="C50" s="240" t="n"/>
      <c r="D50" s="240" t="n"/>
      <c r="E50" s="24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67"/>
  <sheetViews>
    <sheetView view="pageBreakPreview" topLeftCell="A31" zoomScale="60" workbookViewId="0">
      <selection activeCell="B62" sqref="B62"/>
    </sheetView>
  </sheetViews>
  <sheetFormatPr baseColWidth="8" defaultColWidth="9.140625" defaultRowHeight="15" outlineLevelRow="1"/>
  <cols>
    <col width="5.7109375" customWidth="1" style="238" min="1" max="1"/>
    <col width="22.5703125" customWidth="1" style="238" min="2" max="2"/>
    <col width="39.140625" customWidth="1" style="238" min="3" max="3"/>
    <col width="13.5703125" customWidth="1" style="238" min="4" max="4"/>
    <col width="12.7109375" customWidth="1" style="238" min="5" max="5"/>
    <col width="14.5703125" customWidth="1" style="238" min="6" max="6"/>
    <col width="15.85546875" customWidth="1" style="238" min="7" max="7"/>
    <col width="12.7109375" customWidth="1" style="238" min="8" max="8"/>
    <col width="15.85546875" customWidth="1" style="238" min="9" max="9"/>
    <col width="17.5703125" customWidth="1" style="238" min="10" max="10"/>
    <col width="10.85546875" customWidth="1" style="238" min="11" max="11"/>
    <col width="13.85546875" customWidth="1" style="238" min="12" max="12"/>
  </cols>
  <sheetData>
    <row r="1">
      <c r="M1" s="238" t="n"/>
    </row>
    <row r="2" ht="15.75" customHeight="1" s="241">
      <c r="H2" s="309" t="inlineStr">
        <is>
          <t>Приложение №5</t>
        </is>
      </c>
      <c r="M2" s="238" t="n"/>
    </row>
    <row r="3">
      <c r="M3" s="238" t="n"/>
    </row>
    <row r="4" ht="12.75" customFormat="1" customHeight="1" s="240">
      <c r="A4" s="269" t="inlineStr">
        <is>
          <t>Расчет стоимости СМР и оборудования</t>
        </is>
      </c>
    </row>
    <row r="5" ht="12.75" customFormat="1" customHeight="1" s="240">
      <c r="A5" s="269" t="n"/>
      <c r="B5" s="269" t="n"/>
      <c r="C5" s="321" t="n"/>
      <c r="D5" s="269" t="n"/>
      <c r="E5" s="269" t="n"/>
      <c r="F5" s="269" t="n"/>
      <c r="G5" s="269" t="n"/>
      <c r="H5" s="269" t="n"/>
      <c r="I5" s="269" t="n"/>
      <c r="J5" s="269" t="n"/>
    </row>
    <row r="6" ht="12.75" customFormat="1" customHeight="1" s="240">
      <c r="A6" s="156" t="inlineStr">
        <is>
          <t>Наименование разрабатываемого показателя УНЦ</t>
        </is>
      </c>
      <c r="B6" s="157" t="n"/>
      <c r="C6" s="157" t="n"/>
      <c r="D6" s="272" t="inlineStr">
        <is>
          <t>Демонтаж трансформаторов напряжения 220 кВ</t>
        </is>
      </c>
    </row>
    <row r="7" ht="12.75" customFormat="1" customHeight="1" s="240">
      <c r="A7" s="272" t="inlineStr">
        <is>
          <t>Единица измерения  — 1 ед.</t>
        </is>
      </c>
      <c r="I7" s="296" t="n"/>
      <c r="J7" s="296" t="n"/>
    </row>
    <row r="8" ht="13.5" customFormat="1" customHeight="1" s="240">
      <c r="A8" s="272" t="n"/>
    </row>
    <row r="9" ht="27" customHeight="1" s="241">
      <c r="A9" s="299" t="inlineStr">
        <is>
          <t>№ пп.</t>
        </is>
      </c>
      <c r="B9" s="299" t="inlineStr">
        <is>
          <t>Код ресурса</t>
        </is>
      </c>
      <c r="C9" s="299" t="inlineStr">
        <is>
          <t>Наименование</t>
        </is>
      </c>
      <c r="D9" s="299" t="inlineStr">
        <is>
          <t>Ед. изм.</t>
        </is>
      </c>
      <c r="E9" s="299" t="inlineStr">
        <is>
          <t>Кол-во единиц по проектным данным</t>
        </is>
      </c>
      <c r="F9" s="299" t="inlineStr">
        <is>
          <t>Сметная стоимость в ценах на 01.01.2000 (руб.)</t>
        </is>
      </c>
      <c r="G9" s="378" t="n"/>
      <c r="H9" s="299" t="inlineStr">
        <is>
          <t>Удельный вес, %</t>
        </is>
      </c>
      <c r="I9" s="299" t="inlineStr">
        <is>
          <t>Сметная стоимость в ценах на 01.01.2023 (руб.)</t>
        </is>
      </c>
      <c r="J9" s="378" t="n"/>
      <c r="M9" s="238" t="n"/>
    </row>
    <row r="10" ht="28.5" customHeight="1" s="241">
      <c r="A10" s="380" t="n"/>
      <c r="B10" s="380" t="n"/>
      <c r="C10" s="380" t="n"/>
      <c r="D10" s="380" t="n"/>
      <c r="E10" s="380" t="n"/>
      <c r="F10" s="299" t="inlineStr">
        <is>
          <t>на ед. изм.</t>
        </is>
      </c>
      <c r="G10" s="299" t="inlineStr">
        <is>
          <t>общая</t>
        </is>
      </c>
      <c r="H10" s="380" t="n"/>
      <c r="I10" s="299" t="inlineStr">
        <is>
          <t>на ед. изм.</t>
        </is>
      </c>
      <c r="J10" s="299" t="inlineStr">
        <is>
          <t>общая</t>
        </is>
      </c>
      <c r="M10" s="238" t="n"/>
    </row>
    <row r="11">
      <c r="A11" s="299" t="n">
        <v>1</v>
      </c>
      <c r="B11" s="299" t="n">
        <v>2</v>
      </c>
      <c r="C11" s="299" t="n">
        <v>3</v>
      </c>
      <c r="D11" s="299" t="n">
        <v>4</v>
      </c>
      <c r="E11" s="299" t="n">
        <v>5</v>
      </c>
      <c r="F11" s="299" t="n">
        <v>6</v>
      </c>
      <c r="G11" s="299" t="n">
        <v>7</v>
      </c>
      <c r="H11" s="299" t="n">
        <v>8</v>
      </c>
      <c r="I11" s="312" t="n">
        <v>9</v>
      </c>
      <c r="J11" s="312" t="n">
        <v>10</v>
      </c>
      <c r="M11" s="238" t="n"/>
    </row>
    <row r="12">
      <c r="A12" s="299" t="n"/>
      <c r="B12" s="287" t="inlineStr">
        <is>
          <t>Затраты труда рабочих-строителей</t>
        </is>
      </c>
      <c r="C12" s="377" t="n"/>
      <c r="D12" s="377" t="n"/>
      <c r="E12" s="377" t="n"/>
      <c r="F12" s="377" t="n"/>
      <c r="G12" s="377" t="n"/>
      <c r="H12" s="378" t="n"/>
      <c r="I12" s="163" t="n"/>
      <c r="J12" s="163" t="n"/>
    </row>
    <row r="13" ht="25.5" customHeight="1" s="241">
      <c r="A13" s="299" t="n">
        <v>1</v>
      </c>
      <c r="B13" s="201" t="inlineStr">
        <is>
          <t>1-5-7</t>
        </is>
      </c>
      <c r="C13" s="298" t="inlineStr">
        <is>
          <t>Затраты труда рабочих (средний разряд работы 5,7)</t>
        </is>
      </c>
      <c r="D13" s="299" t="inlineStr">
        <is>
          <t>чел.-ч.</t>
        </is>
      </c>
      <c r="E13" s="383">
        <f>G13/F13</f>
        <v/>
      </c>
      <c r="F13" s="176" t="n">
        <v>12.37</v>
      </c>
      <c r="G13" s="176">
        <f>SUM(Прил.3!H15:H19)</f>
        <v/>
      </c>
      <c r="H13" s="302">
        <f>G13/$G$16</f>
        <v/>
      </c>
      <c r="I13" s="176">
        <f>ФОТр.тек.!E13</f>
        <v/>
      </c>
      <c r="J13" s="176">
        <f>ROUND(I13*E13,2)</f>
        <v/>
      </c>
    </row>
    <row r="14">
      <c r="A14" s="299" t="n">
        <v>2</v>
      </c>
      <c r="B14" s="201" t="inlineStr">
        <is>
          <t>10-30-1</t>
        </is>
      </c>
      <c r="C14" s="298" t="inlineStr">
        <is>
          <t>Инженер I категории</t>
        </is>
      </c>
      <c r="D14" s="299" t="inlineStr">
        <is>
          <t>чел.-ч.</t>
        </is>
      </c>
      <c r="E14" s="383" t="n">
        <v>359</v>
      </c>
      <c r="F14" s="176" t="n">
        <v>15.49</v>
      </c>
      <c r="G14" s="176">
        <f>Прил.3!H13</f>
        <v/>
      </c>
      <c r="H14" s="302">
        <f>G14/$G$16</f>
        <v/>
      </c>
      <c r="I14" s="176">
        <f>ФОТр.тек.!E21</f>
        <v/>
      </c>
      <c r="J14" s="176">
        <f>ROUND(I14*E14,2)</f>
        <v/>
      </c>
    </row>
    <row r="15">
      <c r="A15" s="299" t="n">
        <v>3</v>
      </c>
      <c r="B15" s="201" t="inlineStr">
        <is>
          <t>10-30-2</t>
        </is>
      </c>
      <c r="C15" s="298" t="inlineStr">
        <is>
          <t>Инженер II категории</t>
        </is>
      </c>
      <c r="D15" s="299" t="inlineStr">
        <is>
          <t>чел.-ч.</t>
        </is>
      </c>
      <c r="E15" s="383" t="n">
        <v>359</v>
      </c>
      <c r="F15" s="176" t="n">
        <v>14.09</v>
      </c>
      <c r="G15" s="176">
        <f>Прил.3!H14</f>
        <v/>
      </c>
      <c r="H15" s="302">
        <f>G15/$G$16</f>
        <v/>
      </c>
      <c r="I15" s="176">
        <f>ФОТр.тек.!E29</f>
        <v/>
      </c>
      <c r="J15" s="176">
        <f>ROUND(I15*E15,2)</f>
        <v/>
      </c>
    </row>
    <row r="16" ht="25.5" customFormat="1" customHeight="1" s="238">
      <c r="A16" s="299" t="n"/>
      <c r="B16" s="299" t="n"/>
      <c r="C16" s="287" t="inlineStr">
        <is>
          <t>Итого по разделу "Затраты труда рабочих-строителей"</t>
        </is>
      </c>
      <c r="D16" s="299" t="inlineStr">
        <is>
          <t>чел.-ч.</t>
        </is>
      </c>
      <c r="E16" s="383">
        <f>SUM(E13:E15)</f>
        <v/>
      </c>
      <c r="F16" s="176" t="n"/>
      <c r="G16" s="176">
        <f>SUM(G13:G15)</f>
        <v/>
      </c>
      <c r="H16" s="303" t="n">
        <v>1</v>
      </c>
      <c r="I16" s="163" t="n"/>
      <c r="J16" s="176">
        <f>SUM(J13:J15)</f>
        <v/>
      </c>
      <c r="K16" s="385" t="n"/>
    </row>
    <row r="17" ht="38.25" customFormat="1" customHeight="1" s="238">
      <c r="A17" s="299" t="n"/>
      <c r="B17" s="299" t="n"/>
      <c r="C17" s="287" t="inlineStr">
        <is>
          <t>Итого по разделу "Затраты труда рабочих-строителей" 
(с коэффициентом на демонтаж 0,7)</t>
        </is>
      </c>
      <c r="D17" s="299" t="inlineStr">
        <is>
          <t>чел.-ч.</t>
        </is>
      </c>
      <c r="E17" s="300" t="n"/>
      <c r="F17" s="301" t="n"/>
      <c r="G17" s="176">
        <f>SUM(G16)*0.7</f>
        <v/>
      </c>
      <c r="H17" s="303" t="n">
        <v>1</v>
      </c>
      <c r="I17" s="163" t="n"/>
      <c r="J17" s="176">
        <f>SUM(J16)*0.7</f>
        <v/>
      </c>
    </row>
    <row r="18" ht="14.25" customFormat="1" customHeight="1" s="238">
      <c r="A18" s="299" t="n"/>
      <c r="B18" s="298" t="inlineStr">
        <is>
          <t>Затраты труда машинистов</t>
        </is>
      </c>
      <c r="C18" s="377" t="n"/>
      <c r="D18" s="377" t="n"/>
      <c r="E18" s="377" t="n"/>
      <c r="F18" s="377" t="n"/>
      <c r="G18" s="377" t="n"/>
      <c r="H18" s="378" t="n"/>
      <c r="I18" s="163" t="n"/>
      <c r="J18" s="163" t="n"/>
    </row>
    <row r="19" ht="14.25" customFormat="1" customHeight="1" s="238">
      <c r="A19" s="299" t="n">
        <v>4</v>
      </c>
      <c r="B19" s="299" t="n">
        <v>2</v>
      </c>
      <c r="C19" s="298" t="inlineStr">
        <is>
          <t>Затраты труда машинистов</t>
        </is>
      </c>
      <c r="D19" s="299" t="inlineStr">
        <is>
          <t>чел.-ч.</t>
        </is>
      </c>
      <c r="E19" s="383">
        <f>Прил.3!F21</f>
        <v/>
      </c>
      <c r="F19" s="176">
        <f>G19/E19</f>
        <v/>
      </c>
      <c r="G19" s="176">
        <f>Прил.3!H20</f>
        <v/>
      </c>
      <c r="H19" s="303" t="n">
        <v>1</v>
      </c>
      <c r="I19" s="176">
        <f>ROUND(F19*Прил.10!D11,2)</f>
        <v/>
      </c>
      <c r="J19" s="176">
        <f>ROUND(I19*E19,2)</f>
        <v/>
      </c>
    </row>
    <row r="20" ht="25.5" customFormat="1" customHeight="1" s="238">
      <c r="A20" s="299" t="n"/>
      <c r="B20" s="299" t="n"/>
      <c r="C20" s="172" t="inlineStr">
        <is>
          <t>Затраты труда машинистов 
(с коэффициентом на демонтаж 0,7)</t>
        </is>
      </c>
      <c r="D20" s="166" t="n"/>
      <c r="E20" s="166" t="n"/>
      <c r="F20" s="166" t="n"/>
      <c r="G20" s="170">
        <f>G19*0.7</f>
        <v/>
      </c>
      <c r="H20" s="168">
        <f>H19</f>
        <v/>
      </c>
      <c r="I20" s="169" t="n"/>
      <c r="J20" s="170">
        <f>J19*0.7</f>
        <v/>
      </c>
    </row>
    <row r="21" ht="14.25" customFormat="1" customHeight="1" s="238">
      <c r="A21" s="299" t="n"/>
      <c r="B21" s="287" t="inlineStr">
        <is>
          <t>Машины и механизмы</t>
        </is>
      </c>
      <c r="C21" s="377" t="n"/>
      <c r="D21" s="377" t="n"/>
      <c r="E21" s="377" t="n"/>
      <c r="F21" s="377" t="n"/>
      <c r="G21" s="377" t="n"/>
      <c r="H21" s="378" t="n"/>
      <c r="I21" s="163" t="n"/>
      <c r="J21" s="163" t="n"/>
    </row>
    <row r="22" ht="14.25" customFormat="1" customHeight="1" s="238">
      <c r="A22" s="299" t="n"/>
      <c r="B22" s="298" t="inlineStr">
        <is>
          <t>Основные машины и механизмы</t>
        </is>
      </c>
      <c r="C22" s="377" t="n"/>
      <c r="D22" s="377" t="n"/>
      <c r="E22" s="377" t="n"/>
      <c r="F22" s="377" t="n"/>
      <c r="G22" s="377" t="n"/>
      <c r="H22" s="378" t="n"/>
      <c r="I22" s="163" t="n"/>
      <c r="J22" s="163" t="n"/>
    </row>
    <row r="23" ht="38.25" customFormat="1" customHeight="1" s="238">
      <c r="A23" s="299" t="n">
        <v>5</v>
      </c>
      <c r="B23" s="201" t="inlineStr">
        <is>
          <t>91.11.01-012</t>
        </is>
      </c>
      <c r="C23" s="298" t="inlineStr">
        <is>
          <t>Машины монтажные для выполнения работ при прокладке и монтаже кабеля на базе автомобиля</t>
        </is>
      </c>
      <c r="D23" s="299" t="inlineStr">
        <is>
          <t>маш.час</t>
        </is>
      </c>
      <c r="E23" s="383" t="n">
        <v>288</v>
      </c>
      <c r="F23" s="301" t="n">
        <v>110.86</v>
      </c>
      <c r="G23" s="176">
        <f>ROUND(E23*F23,2)</f>
        <v/>
      </c>
      <c r="H23" s="302">
        <f>G23/$G$40</f>
        <v/>
      </c>
      <c r="I23" s="176">
        <f>ROUND(F23*Прил.10!$D$12,2)</f>
        <v/>
      </c>
      <c r="J23" s="176">
        <f>ROUND(I23*E23,2)</f>
        <v/>
      </c>
    </row>
    <row r="24" ht="25.5" customFormat="1" customHeight="1" s="238">
      <c r="A24" s="299" t="n">
        <v>6</v>
      </c>
      <c r="B24" s="201" t="inlineStr">
        <is>
          <t>91.10.01-002</t>
        </is>
      </c>
      <c r="C24" s="298" t="inlineStr">
        <is>
          <t>Агрегаты наполнительно-опрессовочные: до 300 м3/ч</t>
        </is>
      </c>
      <c r="D24" s="299" t="inlineStr">
        <is>
          <t>маш.час</t>
        </is>
      </c>
      <c r="E24" s="383" t="n">
        <v>29.58</v>
      </c>
      <c r="F24" s="301" t="n">
        <v>287.99</v>
      </c>
      <c r="G24" s="176">
        <f>ROUND(E24*F24,2)</f>
        <v/>
      </c>
      <c r="H24" s="302">
        <f>G24/$G$40</f>
        <v/>
      </c>
      <c r="I24" s="176">
        <f>ROUND(F24*Прил.10!$D$12,2)</f>
        <v/>
      </c>
      <c r="J24" s="176">
        <f>ROUND(I24*E24,2)</f>
        <v/>
      </c>
    </row>
    <row r="25" ht="25.5" customFormat="1" customHeight="1" s="238">
      <c r="A25" s="299" t="n">
        <v>7</v>
      </c>
      <c r="B25" s="201" t="inlineStr">
        <is>
          <t>91.05.05-014</t>
        </is>
      </c>
      <c r="C25" s="298" t="inlineStr">
        <is>
          <t>Краны на автомобильном ходу, грузоподъемность 10 т</t>
        </is>
      </c>
      <c r="D25" s="299" t="inlineStr">
        <is>
          <t>маш.час</t>
        </is>
      </c>
      <c r="E25" s="383" t="n">
        <v>60.09</v>
      </c>
      <c r="F25" s="301" t="n">
        <v>111.99</v>
      </c>
      <c r="G25" s="176">
        <f>ROUND(E25*F25,2)</f>
        <v/>
      </c>
      <c r="H25" s="302">
        <f>G25/$G$40</f>
        <v/>
      </c>
      <c r="I25" s="176">
        <f>ROUND(F25*Прил.10!$D$12,2)</f>
        <v/>
      </c>
      <c r="J25" s="176">
        <f>ROUND(I25*E25,2)</f>
        <v/>
      </c>
    </row>
    <row r="26" ht="14.25" customFormat="1" customHeight="1" s="238">
      <c r="A26" s="299" t="n"/>
      <c r="B26" s="299" t="n"/>
      <c r="C26" s="298" t="inlineStr">
        <is>
          <t>Итого основные машины и механизмы</t>
        </is>
      </c>
      <c r="D26" s="299" t="n"/>
      <c r="E26" s="383" t="n"/>
      <c r="F26" s="176" t="n"/>
      <c r="G26" s="176">
        <f>SUM(G23:G25)</f>
        <v/>
      </c>
      <c r="H26" s="303">
        <f>G26/G40</f>
        <v/>
      </c>
      <c r="I26" s="171" t="n"/>
      <c r="J26" s="176">
        <f>SUM(J23:J25)</f>
        <v/>
      </c>
    </row>
    <row r="27" ht="25.5" customFormat="1" customHeight="1" s="238">
      <c r="A27" s="299" t="n"/>
      <c r="B27" s="299" t="n"/>
      <c r="C27" s="172" t="inlineStr">
        <is>
          <t>Итого основные машины и механизмы 
(с коэффициентом на демонтаж 0,7)</t>
        </is>
      </c>
      <c r="D27" s="299" t="n"/>
      <c r="E27" s="386" t="n"/>
      <c r="F27" s="300" t="n"/>
      <c r="G27" s="176">
        <f>G26*0.7</f>
        <v/>
      </c>
      <c r="H27" s="302">
        <f>G27/G41</f>
        <v/>
      </c>
      <c r="I27" s="176" t="n"/>
      <c r="J27" s="176">
        <f>J26*0.7</f>
        <v/>
      </c>
    </row>
    <row r="28" outlineLevel="1" ht="25.5" customFormat="1" customHeight="1" s="238">
      <c r="A28" s="299" t="n">
        <v>8</v>
      </c>
      <c r="B28" s="201" t="inlineStr">
        <is>
          <t>91.06.03-058</t>
        </is>
      </c>
      <c r="C28" s="298" t="inlineStr">
        <is>
          <t>Лебедки электрические тяговым усилием: 156,96 кН (16 т)</t>
        </is>
      </c>
      <c r="D28" s="299" t="inlineStr">
        <is>
          <t>маш.час</t>
        </is>
      </c>
      <c r="E28" s="383" t="n">
        <v>29.58</v>
      </c>
      <c r="F28" s="301" t="n">
        <v>131.44</v>
      </c>
      <c r="G28" s="176">
        <f>ROUND(E28*F28,2)</f>
        <v/>
      </c>
      <c r="H28" s="302">
        <f>G28/$G$40</f>
        <v/>
      </c>
      <c r="I28" s="176">
        <f>ROUND(F28*Прил.10!$D$12,2)</f>
        <v/>
      </c>
      <c r="J28" s="176">
        <f>ROUND(I28*E28,2)</f>
        <v/>
      </c>
    </row>
    <row r="29" outlineLevel="1" ht="25.5" customFormat="1" customHeight="1" s="238">
      <c r="A29" s="299" t="n">
        <v>9</v>
      </c>
      <c r="B29" s="201" t="inlineStr">
        <is>
          <t>91.14.02-001</t>
        </is>
      </c>
      <c r="C29" s="298" t="inlineStr">
        <is>
          <t>Автомобили бортовые, грузоподъемность: до 5 т</t>
        </is>
      </c>
      <c r="D29" s="299" t="inlineStr">
        <is>
          <t>маш.час</t>
        </is>
      </c>
      <c r="E29" s="383" t="n">
        <v>19.53</v>
      </c>
      <c r="F29" s="301" t="n">
        <v>65.70999999999999</v>
      </c>
      <c r="G29" s="176">
        <f>ROUND(E29*F29,2)</f>
        <v/>
      </c>
      <c r="H29" s="302">
        <f>G29/$G$40</f>
        <v/>
      </c>
      <c r="I29" s="176">
        <f>ROUND(F29*Прил.10!$D$12,2)</f>
        <v/>
      </c>
      <c r="J29" s="176">
        <f>ROUND(I29*E29,2)</f>
        <v/>
      </c>
    </row>
    <row r="30" outlineLevel="1" ht="25.5" customFormat="1" customHeight="1" s="238">
      <c r="A30" s="299" t="n">
        <v>10</v>
      </c>
      <c r="B30" s="201" t="inlineStr">
        <is>
          <t>91.06.06-042</t>
        </is>
      </c>
      <c r="C30" s="298" t="inlineStr">
        <is>
          <t>Подъемники гидравлические высотой подъема: 10 м</t>
        </is>
      </c>
      <c r="D30" s="299" t="inlineStr">
        <is>
          <t>маш.час</t>
        </is>
      </c>
      <c r="E30" s="383" t="n">
        <v>33.12</v>
      </c>
      <c r="F30" s="301" t="n">
        <v>29.6</v>
      </c>
      <c r="G30" s="176">
        <f>ROUND(E30*F30,2)</f>
        <v/>
      </c>
      <c r="H30" s="302">
        <f>G30/$G$40</f>
        <v/>
      </c>
      <c r="I30" s="176">
        <f>ROUND(F30*Прил.10!$D$12,2)</f>
        <v/>
      </c>
      <c r="J30" s="176">
        <f>ROUND(I30*E30,2)</f>
        <v/>
      </c>
    </row>
    <row r="31" outlineLevel="1" ht="25.5" customFormat="1" customHeight="1" s="238">
      <c r="A31" s="299" t="n">
        <v>11</v>
      </c>
      <c r="B31" s="201" t="inlineStr">
        <is>
          <t>91.17.04-233</t>
        </is>
      </c>
      <c r="C31" s="298" t="inlineStr">
        <is>
          <t>Установки для сварки: ручной дуговой (постоянного тока)</t>
        </is>
      </c>
      <c r="D31" s="299" t="inlineStr">
        <is>
          <t>маш.час</t>
        </is>
      </c>
      <c r="E31" s="383" t="n">
        <v>46.74</v>
      </c>
      <c r="F31" s="301" t="n">
        <v>8.1</v>
      </c>
      <c r="G31" s="176">
        <f>ROUND(E31*F31,2)</f>
        <v/>
      </c>
      <c r="H31" s="302">
        <f>G31/$G$40</f>
        <v/>
      </c>
      <c r="I31" s="176">
        <f>ROUND(F31*Прил.10!$D$12,2)</f>
        <v/>
      </c>
      <c r="J31" s="176">
        <f>ROUND(I31*E31,2)</f>
        <v/>
      </c>
    </row>
    <row r="32" outlineLevel="1" ht="25.5" customFormat="1" customHeight="1" s="238">
      <c r="A32" s="299" t="n">
        <v>12</v>
      </c>
      <c r="B32" s="201" t="inlineStr">
        <is>
          <t>91.21.12-002</t>
        </is>
      </c>
      <c r="C32" s="298" t="inlineStr">
        <is>
          <t>Ножницы листовые кривошипные гильотинные</t>
        </is>
      </c>
      <c r="D32" s="299" t="inlineStr">
        <is>
          <t>маш.час</t>
        </is>
      </c>
      <c r="E32" s="383" t="n">
        <v>0.99</v>
      </c>
      <c r="F32" s="301" t="n">
        <v>70</v>
      </c>
      <c r="G32" s="176">
        <f>ROUND(E32*F32,2)</f>
        <v/>
      </c>
      <c r="H32" s="302">
        <f>G32/$G$40</f>
        <v/>
      </c>
      <c r="I32" s="176">
        <f>ROUND(F32*Прил.10!$D$12,2)</f>
        <v/>
      </c>
      <c r="J32" s="176">
        <f>ROUND(I32*E32,2)</f>
        <v/>
      </c>
    </row>
    <row r="33" outlineLevel="1" ht="25.5" customFormat="1" customHeight="1" s="238">
      <c r="A33" s="299" t="n">
        <v>13</v>
      </c>
      <c r="B33" s="201" t="inlineStr">
        <is>
          <t>91.21.16-014</t>
        </is>
      </c>
      <c r="C33" s="298" t="inlineStr">
        <is>
          <t>Пресс: листогибочный кривошипный 1000 кН (100 тс)</t>
        </is>
      </c>
      <c r="D33" s="299" t="inlineStr">
        <is>
          <t>маш.час</t>
        </is>
      </c>
      <c r="E33" s="383" t="n">
        <v>0.99</v>
      </c>
      <c r="F33" s="301" t="n">
        <v>56.24</v>
      </c>
      <c r="G33" s="176">
        <f>ROUND(E33*F33,2)</f>
        <v/>
      </c>
      <c r="H33" s="302">
        <f>G33/$G$40</f>
        <v/>
      </c>
      <c r="I33" s="176">
        <f>ROUND(F33*Прил.10!$D$12,2)</f>
        <v/>
      </c>
      <c r="J33" s="176">
        <f>ROUND(I33*E33,2)</f>
        <v/>
      </c>
    </row>
    <row r="34" outlineLevel="1" ht="25.5" customFormat="1" customHeight="1" s="238">
      <c r="A34" s="299" t="n">
        <v>14</v>
      </c>
      <c r="B34" s="201" t="inlineStr">
        <is>
          <t>91.06.01-003</t>
        </is>
      </c>
      <c r="C34" s="298" t="inlineStr">
        <is>
          <t>Домкраты гидравлические, грузоподъемность 63-100 т</t>
        </is>
      </c>
      <c r="D34" s="299" t="inlineStr">
        <is>
          <t>маш.час</t>
        </is>
      </c>
      <c r="E34" s="383" t="n">
        <v>59.16</v>
      </c>
      <c r="F34" s="301" t="n">
        <v>0.9</v>
      </c>
      <c r="G34" s="176">
        <f>ROUND(E34*F34,2)</f>
        <v/>
      </c>
      <c r="H34" s="302">
        <f>G34/$G$40</f>
        <v/>
      </c>
      <c r="I34" s="176">
        <f>ROUND(F34*Прил.10!$D$12,2)</f>
        <v/>
      </c>
      <c r="J34" s="176">
        <f>ROUND(I34*E34,2)</f>
        <v/>
      </c>
    </row>
    <row r="35" outlineLevel="1" ht="25.5" customFormat="1" customHeight="1" s="238">
      <c r="A35" s="299" t="n">
        <v>15</v>
      </c>
      <c r="B35" s="201" t="inlineStr">
        <is>
          <t>91.21.16-013</t>
        </is>
      </c>
      <c r="C35" s="298" t="inlineStr">
        <is>
          <t>Пресс: кривошипный простого действия 25 кН (2,5 тс)</t>
        </is>
      </c>
      <c r="D35" s="299" t="inlineStr">
        <is>
          <t>маш.час</t>
        </is>
      </c>
      <c r="E35" s="383" t="n">
        <v>0.99</v>
      </c>
      <c r="F35" s="301" t="n">
        <v>16.92</v>
      </c>
      <c r="G35" s="176">
        <f>ROUND(E35*F35,2)</f>
        <v/>
      </c>
      <c r="H35" s="302">
        <f>G35/$G$40</f>
        <v/>
      </c>
      <c r="I35" s="176">
        <f>ROUND(F35*Прил.10!$D$12,2)</f>
        <v/>
      </c>
      <c r="J35" s="176">
        <f>ROUND(I35*E35,2)</f>
        <v/>
      </c>
    </row>
    <row r="36" outlineLevel="1" ht="38.25" customFormat="1" customHeight="1" s="238">
      <c r="A36" s="299" t="n">
        <v>16</v>
      </c>
      <c r="B36" s="201" t="inlineStr">
        <is>
          <t>91.21.01-012</t>
        </is>
      </c>
      <c r="C36" s="298" t="inlineStr">
        <is>
          <t>Агрегаты окрасочные высокого давления для окраски поверхностей конструкций, мощность 1 кВт</t>
        </is>
      </c>
      <c r="D36" s="299" t="inlineStr">
        <is>
          <t>маш.час</t>
        </is>
      </c>
      <c r="E36" s="383" t="n">
        <v>1.32</v>
      </c>
      <c r="F36" s="301" t="n">
        <v>6.82</v>
      </c>
      <c r="G36" s="176">
        <f>ROUND(E36*F36,2)</f>
        <v/>
      </c>
      <c r="H36" s="302">
        <f>G36/$G$40</f>
        <v/>
      </c>
      <c r="I36" s="176">
        <f>ROUND(F36*Прил.10!$D$12,2)</f>
        <v/>
      </c>
      <c r="J36" s="176">
        <f>ROUND(I36*E36,2)</f>
        <v/>
      </c>
    </row>
    <row r="37" outlineLevel="1" ht="14.25" customFormat="1" customHeight="1" s="238">
      <c r="A37" s="299" t="n">
        <v>17</v>
      </c>
      <c r="B37" s="201" t="inlineStr">
        <is>
          <t>91.21.19-031</t>
        </is>
      </c>
      <c r="C37" s="298" t="inlineStr">
        <is>
          <t>Станок: сверлильный</t>
        </is>
      </c>
      <c r="D37" s="299" t="inlineStr">
        <is>
          <t>маш.час</t>
        </is>
      </c>
      <c r="E37" s="383" t="n">
        <v>0.99</v>
      </c>
      <c r="F37" s="301" t="n">
        <v>2.36</v>
      </c>
      <c r="G37" s="176">
        <f>ROUND(E37*F37,2)</f>
        <v/>
      </c>
      <c r="H37" s="302">
        <f>G37/$G$40</f>
        <v/>
      </c>
      <c r="I37" s="176">
        <f>ROUND(F37*Прил.10!$D$12,2)</f>
        <v/>
      </c>
      <c r="J37" s="176">
        <f>ROUND(I37*E37,2)</f>
        <v/>
      </c>
    </row>
    <row r="38" ht="14.25" customFormat="1" customHeight="1" s="238">
      <c r="A38" s="299" t="n"/>
      <c r="B38" s="299" t="n"/>
      <c r="C38" s="298" t="inlineStr">
        <is>
          <t>Итого прочие машины и механизмы</t>
        </is>
      </c>
      <c r="D38" s="299" t="n"/>
      <c r="E38" s="300" t="n"/>
      <c r="F38" s="176" t="n"/>
      <c r="G38" s="171">
        <f>SUM(G28:G37)</f>
        <v/>
      </c>
      <c r="H38" s="302">
        <f>G38/G40</f>
        <v/>
      </c>
      <c r="I38" s="176" t="n"/>
      <c r="J38" s="171">
        <f>SUM(J28:J37)</f>
        <v/>
      </c>
    </row>
    <row r="39" ht="25.5" customFormat="1" customHeight="1" s="238">
      <c r="A39" s="299" t="n"/>
      <c r="B39" s="299" t="n"/>
      <c r="C39" s="172" t="inlineStr">
        <is>
          <t>Итого прочие машины и механизмы 
(с коэффициентом на демонтаж 0,7)</t>
        </is>
      </c>
      <c r="D39" s="299" t="n"/>
      <c r="E39" s="300" t="n"/>
      <c r="F39" s="176" t="n"/>
      <c r="G39" s="176">
        <f>G38*0.7</f>
        <v/>
      </c>
      <c r="H39" s="302">
        <f>G39/G41</f>
        <v/>
      </c>
      <c r="I39" s="176" t="n"/>
      <c r="J39" s="176">
        <f>J38*0.7</f>
        <v/>
      </c>
    </row>
    <row r="40" ht="25.5" customFormat="1" customHeight="1" s="238">
      <c r="A40" s="299" t="n"/>
      <c r="B40" s="299" t="n"/>
      <c r="C40" s="287" t="inlineStr">
        <is>
          <t>Итого по разделу «Машины и механизмы»</t>
        </is>
      </c>
      <c r="D40" s="299" t="n"/>
      <c r="E40" s="300" t="n"/>
      <c r="F40" s="176" t="n"/>
      <c r="G40" s="176">
        <f>G38+G26</f>
        <v/>
      </c>
      <c r="H40" s="187" t="n">
        <v>1</v>
      </c>
      <c r="I40" s="188" t="n"/>
      <c r="J40" s="186">
        <f>J38+J26</f>
        <v/>
      </c>
    </row>
    <row r="41" ht="38.25" customFormat="1" customHeight="1" s="238">
      <c r="A41" s="299" t="n"/>
      <c r="B41" s="299" t="n"/>
      <c r="C41" s="183" t="inlineStr">
        <is>
          <t>Итого по разделу «Машины и механизмы»  
(с коэффициентом на демонтаж 0,7)</t>
        </is>
      </c>
      <c r="D41" s="313" t="n"/>
      <c r="E41" s="185" t="n"/>
      <c r="F41" s="186" t="n"/>
      <c r="G41" s="186">
        <f>G27+G39</f>
        <v/>
      </c>
      <c r="H41" s="187" t="n">
        <v>1</v>
      </c>
      <c r="I41" s="188" t="n"/>
      <c r="J41" s="186">
        <f>J27+J39</f>
        <v/>
      </c>
    </row>
    <row r="42" ht="14.25" customFormat="1" customHeight="1" s="238">
      <c r="A42" s="299" t="n"/>
      <c r="B42" s="287" t="inlineStr">
        <is>
          <t>Оборудование</t>
        </is>
      </c>
      <c r="C42" s="377" t="n"/>
      <c r="D42" s="377" t="n"/>
      <c r="E42" s="377" t="n"/>
      <c r="F42" s="377" t="n"/>
      <c r="G42" s="377" t="n"/>
      <c r="H42" s="378" t="n"/>
      <c r="I42" s="163" t="n"/>
      <c r="J42" s="163" t="n"/>
    </row>
    <row r="43">
      <c r="A43" s="299" t="n"/>
      <c r="B43" s="298" t="inlineStr">
        <is>
          <t>Основное оборудование</t>
        </is>
      </c>
      <c r="C43" s="377" t="n"/>
      <c r="D43" s="377" t="n"/>
      <c r="E43" s="377" t="n"/>
      <c r="F43" s="377" t="n"/>
      <c r="G43" s="377" t="n"/>
      <c r="H43" s="378" t="n"/>
      <c r="I43" s="163" t="n"/>
      <c r="J43" s="163" t="n"/>
    </row>
    <row r="44">
      <c r="A44" s="299" t="n"/>
      <c r="B44" s="299" t="n"/>
      <c r="C44" s="298" t="inlineStr">
        <is>
          <t>Итого основное оборудование</t>
        </is>
      </c>
      <c r="D44" s="299" t="n"/>
      <c r="E44" s="383" t="n"/>
      <c r="F44" s="301" t="n"/>
      <c r="G44" s="176" t="n">
        <v>0</v>
      </c>
      <c r="H44" s="303" t="n">
        <v>0</v>
      </c>
      <c r="I44" s="171" t="n"/>
      <c r="J44" s="176" t="n">
        <v>0</v>
      </c>
    </row>
    <row r="45">
      <c r="A45" s="299" t="n"/>
      <c r="B45" s="299" t="n"/>
      <c r="C45" s="298" t="inlineStr">
        <is>
          <t>Итого прочее оборудование</t>
        </is>
      </c>
      <c r="D45" s="299" t="n"/>
      <c r="E45" s="383" t="n"/>
      <c r="F45" s="301" t="n"/>
      <c r="G45" s="176" t="n">
        <v>0</v>
      </c>
      <c r="H45" s="302" t="n">
        <v>0</v>
      </c>
      <c r="I45" s="171" t="n"/>
      <c r="J45" s="176" t="n">
        <v>0</v>
      </c>
    </row>
    <row r="46">
      <c r="A46" s="299" t="n"/>
      <c r="B46" s="299" t="n"/>
      <c r="C46" s="287" t="inlineStr">
        <is>
          <t>Итого по разделу «Оборудование»</t>
        </is>
      </c>
      <c r="D46" s="299" t="n"/>
      <c r="E46" s="300" t="n"/>
      <c r="F46" s="301" t="n"/>
      <c r="G46" s="176">
        <f>G45+G44</f>
        <v/>
      </c>
      <c r="H46" s="303">
        <f>H45+H44</f>
        <v/>
      </c>
      <c r="I46" s="171" t="n"/>
      <c r="J46" s="176">
        <f>J45+J44</f>
        <v/>
      </c>
    </row>
    <row r="47" ht="25.5" customHeight="1" s="241">
      <c r="A47" s="299" t="n"/>
      <c r="B47" s="299" t="n"/>
      <c r="C47" s="298" t="inlineStr">
        <is>
          <t>в том числе технологическое оборудование</t>
        </is>
      </c>
      <c r="D47" s="299" t="n"/>
      <c r="E47" s="386" t="n"/>
      <c r="F47" s="301" t="n"/>
      <c r="G47" s="176" t="n">
        <v>0</v>
      </c>
      <c r="H47" s="303" t="n"/>
      <c r="I47" s="171" t="n"/>
      <c r="J47" s="176">
        <f>J46</f>
        <v/>
      </c>
    </row>
    <row r="48" ht="14.25" customFormat="1" customHeight="1" s="238">
      <c r="A48" s="299" t="n"/>
      <c r="B48" s="287" t="inlineStr">
        <is>
          <t>Материалы</t>
        </is>
      </c>
      <c r="C48" s="377" t="n"/>
      <c r="D48" s="377" t="n"/>
      <c r="E48" s="377" t="n"/>
      <c r="F48" s="377" t="n"/>
      <c r="G48" s="377" t="n"/>
      <c r="H48" s="378" t="n"/>
      <c r="I48" s="190" t="n"/>
      <c r="J48" s="190" t="n"/>
    </row>
    <row r="49" ht="14.25" customFormat="1" customHeight="1" s="238">
      <c r="A49" s="299" t="n"/>
      <c r="B49" s="298" t="inlineStr">
        <is>
          <t>Основные материалы</t>
        </is>
      </c>
      <c r="C49" s="377" t="n"/>
      <c r="D49" s="377" t="n"/>
      <c r="E49" s="377" t="n"/>
      <c r="F49" s="377" t="n"/>
      <c r="G49" s="377" t="n"/>
      <c r="H49" s="378" t="n"/>
      <c r="I49" s="190" t="n"/>
      <c r="J49" s="190" t="n"/>
    </row>
    <row r="50" ht="14.25" customFormat="1" customHeight="1" s="238">
      <c r="A50" s="299" t="n"/>
      <c r="B50" s="201" t="n"/>
      <c r="C50" s="298" t="inlineStr">
        <is>
          <t>Итого основные материалы</t>
        </is>
      </c>
      <c r="D50" s="299" t="n"/>
      <c r="E50" s="383" t="n"/>
      <c r="F50" s="176" t="n"/>
      <c r="G50" s="176" t="n">
        <v>0</v>
      </c>
      <c r="H50" s="302" t="n">
        <v>0</v>
      </c>
      <c r="I50" s="176" t="n"/>
      <c r="J50" s="176" t="n">
        <v>0</v>
      </c>
    </row>
    <row r="51" ht="14.25" customFormat="1" customHeight="1" s="238">
      <c r="A51" s="299" t="n"/>
      <c r="B51" s="299" t="n"/>
      <c r="C51" s="298" t="inlineStr">
        <is>
          <t>Итого прочие материалы</t>
        </is>
      </c>
      <c r="D51" s="299" t="n"/>
      <c r="E51" s="300" t="n"/>
      <c r="F51" s="301" t="n"/>
      <c r="G51" s="176" t="n">
        <v>0</v>
      </c>
      <c r="H51" s="302" t="n">
        <v>0</v>
      </c>
      <c r="I51" s="176" t="n"/>
      <c r="J51" s="176" t="n">
        <v>0</v>
      </c>
    </row>
    <row r="52" ht="14.25" customFormat="1" customHeight="1" s="238">
      <c r="A52" s="299" t="n"/>
      <c r="B52" s="299" t="n"/>
      <c r="C52" s="287" t="inlineStr">
        <is>
          <t>Итого по разделу «Материалы»</t>
        </is>
      </c>
      <c r="D52" s="299" t="n"/>
      <c r="E52" s="300" t="n"/>
      <c r="F52" s="301" t="n"/>
      <c r="G52" s="176">
        <f>G50+G51</f>
        <v/>
      </c>
      <c r="H52" s="302" t="n">
        <v>0</v>
      </c>
      <c r="I52" s="176" t="n"/>
      <c r="J52" s="176">
        <f>J50+J51</f>
        <v/>
      </c>
    </row>
    <row r="53" ht="14.25" customFormat="1" customHeight="1" s="238">
      <c r="A53" s="299" t="n"/>
      <c r="B53" s="299" t="n"/>
      <c r="C53" s="298" t="inlineStr">
        <is>
          <t>ИТОГО ПО РМ</t>
        </is>
      </c>
      <c r="D53" s="299" t="n"/>
      <c r="E53" s="300" t="n"/>
      <c r="F53" s="301" t="n"/>
      <c r="G53" s="176">
        <f>G16+G40</f>
        <v/>
      </c>
      <c r="H53" s="302" t="n"/>
      <c r="I53" s="176" t="n"/>
      <c r="J53" s="176">
        <f>J16+J40+J52</f>
        <v/>
      </c>
    </row>
    <row r="54" ht="25.5" customFormat="1" customHeight="1" s="238">
      <c r="A54" s="299" t="n"/>
      <c r="B54" s="299" t="n"/>
      <c r="C54" s="298" t="inlineStr">
        <is>
          <t>ИТОГО ПО РМ
(с коэффициентом на демонтаж 0,7)</t>
        </is>
      </c>
      <c r="D54" s="299" t="n"/>
      <c r="E54" s="300" t="n"/>
      <c r="F54" s="301" t="n"/>
      <c r="G54" s="176">
        <f>G17+G41</f>
        <v/>
      </c>
      <c r="H54" s="302" t="n"/>
      <c r="I54" s="176" t="n"/>
      <c r="J54" s="176">
        <f>J16*0.7+J40*0.7+J52</f>
        <v/>
      </c>
    </row>
    <row r="55" ht="14.25" customFormat="1" customHeight="1" s="238">
      <c r="A55" s="299" t="n"/>
      <c r="B55" s="299" t="n"/>
      <c r="C55" s="298" t="inlineStr">
        <is>
          <t>Накладные расходы</t>
        </is>
      </c>
      <c r="D55" s="193">
        <f>ROUND(G55/(G$19+$G$16),2)</f>
        <v/>
      </c>
      <c r="E55" s="300" t="n"/>
      <c r="F55" s="301" t="n"/>
      <c r="G55" s="176" t="n">
        <v>48476.03</v>
      </c>
      <c r="H55" s="303" t="n"/>
      <c r="I55" s="176" t="n"/>
      <c r="J55" s="176">
        <f>ROUND(D55*(J16+J19),2)</f>
        <v/>
      </c>
    </row>
    <row r="56" ht="25.5" customFormat="1" customHeight="1" s="238">
      <c r="A56" s="299" t="n"/>
      <c r="B56" s="299" t="n"/>
      <c r="C56" s="298" t="inlineStr">
        <is>
          <t>Накладные расходы 
(с коэффициентом на демонтаж 0,7)</t>
        </is>
      </c>
      <c r="D56" s="194">
        <f>ROUND(G56/(G$20+$G$17),2)</f>
        <v/>
      </c>
      <c r="E56" s="300" t="n"/>
      <c r="F56" s="301" t="n"/>
      <c r="G56" s="176">
        <f>G55*0.7</f>
        <v/>
      </c>
      <c r="H56" s="303" t="n"/>
      <c r="I56" s="176" t="n"/>
      <c r="J56" s="176">
        <f>ROUND(D56*(J17+J20),2)</f>
        <v/>
      </c>
    </row>
    <row r="57" ht="14.25" customFormat="1" customHeight="1" s="238">
      <c r="A57" s="299" t="n"/>
      <c r="B57" s="299" t="n"/>
      <c r="C57" s="298" t="inlineStr">
        <is>
          <t>Сметная прибыль</t>
        </is>
      </c>
      <c r="D57" s="193">
        <f>ROUND(G57/(G$16+G$19),2)</f>
        <v/>
      </c>
      <c r="E57" s="300" t="n"/>
      <c r="F57" s="301" t="n"/>
      <c r="G57" s="176" t="n">
        <v>33560.33</v>
      </c>
      <c r="H57" s="303" t="n"/>
      <c r="I57" s="176" t="n"/>
      <c r="J57" s="176">
        <f>ROUND(D57*(J16+J19),2)</f>
        <v/>
      </c>
    </row>
    <row r="58" ht="25.5" customFormat="1" customHeight="1" s="238">
      <c r="A58" s="299" t="n"/>
      <c r="B58" s="299" t="n"/>
      <c r="C58" s="298" t="inlineStr">
        <is>
          <t>Сметная прибыль 
(с коэффициентом на демонтаж 0,7)</t>
        </is>
      </c>
      <c r="D58" s="194">
        <f>ROUND(G58/(G$17+G$20),2)</f>
        <v/>
      </c>
      <c r="E58" s="300" t="n"/>
      <c r="F58" s="301" t="n"/>
      <c r="G58" s="176">
        <f>G57*0.7</f>
        <v/>
      </c>
      <c r="H58" s="303" t="n"/>
      <c r="I58" s="176" t="n"/>
      <c r="J58" s="176">
        <f>ROUND(D58*(J17+J20),2)</f>
        <v/>
      </c>
    </row>
    <row r="59" ht="25.5" customFormat="1" customHeight="1" s="238">
      <c r="A59" s="299" t="n"/>
      <c r="B59" s="299" t="n"/>
      <c r="C59" s="298" t="inlineStr">
        <is>
          <t>Итого СМР (с НР и СП) 
(с коэффициентом на демонтаж 0,7)</t>
        </is>
      </c>
      <c r="D59" s="299" t="n"/>
      <c r="E59" s="300" t="n"/>
      <c r="F59" s="301" t="n"/>
      <c r="G59" s="176">
        <f>G54+G56+G58</f>
        <v/>
      </c>
      <c r="H59" s="303" t="n"/>
      <c r="I59" s="176" t="n"/>
      <c r="J59" s="176">
        <f>ROUND((J54+J56+J58),2)</f>
        <v/>
      </c>
    </row>
    <row r="60" ht="25.5" customFormat="1" customHeight="1" s="238">
      <c r="A60" s="299" t="n"/>
      <c r="B60" s="299" t="n"/>
      <c r="C60" s="298" t="inlineStr">
        <is>
          <t>ВСЕГО СМР + ОБОРУДОВАНИЕ 
(с коэффициентом на демонтаж 0,7)</t>
        </is>
      </c>
      <c r="D60" s="299" t="n"/>
      <c r="E60" s="300" t="n"/>
      <c r="F60" s="301" t="n"/>
      <c r="G60" s="176">
        <f>G59</f>
        <v/>
      </c>
      <c r="H60" s="303" t="n"/>
      <c r="I60" s="176" t="n"/>
      <c r="J60" s="176">
        <f>J59</f>
        <v/>
      </c>
    </row>
    <row r="61" ht="34.5" customFormat="1" customHeight="1" s="238">
      <c r="A61" s="299" t="n"/>
      <c r="B61" s="299" t="n"/>
      <c r="C61" s="298" t="inlineStr">
        <is>
          <t>ИТОГО ПОКАЗАТЕЛЬ НА ЕД. ИЗМ.</t>
        </is>
      </c>
      <c r="D61" s="299" t="inlineStr">
        <is>
          <t>1 ед.</t>
        </is>
      </c>
      <c r="E61" s="300" t="n">
        <v>4</v>
      </c>
      <c r="F61" s="301" t="n"/>
      <c r="G61" s="176">
        <f>G60/E61</f>
        <v/>
      </c>
      <c r="H61" s="303" t="n"/>
      <c r="I61" s="176" t="n"/>
      <c r="J61" s="186">
        <f>J60/E61</f>
        <v/>
      </c>
    </row>
    <row r="63" ht="14.25" customFormat="1" customHeight="1" s="238">
      <c r="A63" s="240" t="inlineStr">
        <is>
          <t>Составил ______________________     Д.Ю. Нефедова</t>
        </is>
      </c>
    </row>
    <row r="64" ht="14.25" customFormat="1" customHeight="1" s="238">
      <c r="A64" s="237" t="inlineStr">
        <is>
          <t xml:space="preserve">                         (подпись, инициалы, фамилия)</t>
        </is>
      </c>
    </row>
    <row r="65" ht="14.25" customFormat="1" customHeight="1" s="238">
      <c r="A65" s="240" t="n"/>
    </row>
    <row r="66" ht="14.25" customFormat="1" customHeight="1" s="238">
      <c r="A66" s="240" t="inlineStr">
        <is>
          <t>Проверил ______________________        А.В. Костянецкая</t>
        </is>
      </c>
    </row>
    <row r="67" ht="14.25" customFormat="1" customHeight="1" s="238">
      <c r="A67" s="237" t="inlineStr">
        <is>
          <t xml:space="preserve">                        (подпись, инициалы, фамилия)</t>
        </is>
      </c>
    </row>
  </sheetData>
  <mergeCells count="21">
    <mergeCell ref="H9:H10"/>
    <mergeCell ref="B49:H49"/>
    <mergeCell ref="A4:J4"/>
    <mergeCell ref="H2:J2"/>
    <mergeCell ref="C9:C10"/>
    <mergeCell ref="E9:E10"/>
    <mergeCell ref="A7:H7"/>
    <mergeCell ref="B22:H22"/>
    <mergeCell ref="B9:B10"/>
    <mergeCell ref="D9:D10"/>
    <mergeCell ref="B18:H18"/>
    <mergeCell ref="B21:H21"/>
    <mergeCell ref="B43:H43"/>
    <mergeCell ref="B12:H12"/>
    <mergeCell ref="D6:J6"/>
    <mergeCell ref="B48:H48"/>
    <mergeCell ref="B42:H42"/>
    <mergeCell ref="A8:H8"/>
    <mergeCell ref="F9:G9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1" min="1" max="1"/>
    <col width="17.5703125" customWidth="1" style="241" min="2" max="2"/>
    <col width="39.140625" customWidth="1" style="241" min="3" max="3"/>
    <col width="10.7109375" customWidth="1" style="320" min="4" max="4"/>
    <col width="13.85546875" customWidth="1" style="241" min="5" max="5"/>
    <col width="13.28515625" customWidth="1" style="241" min="6" max="6"/>
    <col width="14.140625" customWidth="1" style="241" min="7" max="7"/>
  </cols>
  <sheetData>
    <row r="1">
      <c r="A1" s="314" t="inlineStr">
        <is>
          <t>Приложение №6</t>
        </is>
      </c>
    </row>
    <row r="2" ht="21.75" customHeight="1" s="241">
      <c r="A2" s="314" t="n"/>
      <c r="B2" s="314" t="n"/>
      <c r="C2" s="314" t="n"/>
      <c r="D2" s="322" t="n"/>
      <c r="E2" s="314" t="n"/>
      <c r="F2" s="314" t="n"/>
      <c r="G2" s="314" t="n"/>
    </row>
    <row r="3">
      <c r="A3" s="269" t="inlineStr">
        <is>
          <t>Расчет стоимости оборудования</t>
        </is>
      </c>
    </row>
    <row r="4" ht="25.5" customHeight="1" s="241">
      <c r="A4" s="272" t="inlineStr">
        <is>
          <t>Наименование разрабатываемого показателя УНЦ — Демонтаж трансформаторов напряжения 220 кВ</t>
        </is>
      </c>
    </row>
    <row r="5">
      <c r="A5" s="240" t="n"/>
      <c r="B5" s="240" t="n"/>
      <c r="C5" s="240" t="n"/>
      <c r="D5" s="322" t="n"/>
      <c r="E5" s="240" t="n"/>
      <c r="F5" s="240" t="n"/>
      <c r="G5" s="240" t="n"/>
    </row>
    <row r="6" ht="30" customHeight="1" s="241">
      <c r="A6" s="319" t="inlineStr">
        <is>
          <t>№ пп.</t>
        </is>
      </c>
      <c r="B6" s="319" t="inlineStr">
        <is>
          <t>Код ресурса</t>
        </is>
      </c>
      <c r="C6" s="319" t="inlineStr">
        <is>
          <t>Наименование</t>
        </is>
      </c>
      <c r="D6" s="319" t="inlineStr">
        <is>
          <t>Ед. изм.</t>
        </is>
      </c>
      <c r="E6" s="299" t="inlineStr">
        <is>
          <t>Кол-во единиц по проектным данным</t>
        </is>
      </c>
      <c r="F6" s="319" t="inlineStr">
        <is>
          <t>Сметная стоимость в ценах на 01.01.2000 (руб.)</t>
        </is>
      </c>
      <c r="G6" s="378" t="n"/>
    </row>
    <row r="7">
      <c r="A7" s="380" t="n"/>
      <c r="B7" s="380" t="n"/>
      <c r="C7" s="380" t="n"/>
      <c r="D7" s="380" t="n"/>
      <c r="E7" s="380" t="n"/>
      <c r="F7" s="299" t="inlineStr">
        <is>
          <t>на ед. изм.</t>
        </is>
      </c>
      <c r="G7" s="299" t="inlineStr">
        <is>
          <t>общая</t>
        </is>
      </c>
    </row>
    <row r="8">
      <c r="A8" s="299" t="n">
        <v>1</v>
      </c>
      <c r="B8" s="299" t="n">
        <v>2</v>
      </c>
      <c r="C8" s="299" t="n">
        <v>3</v>
      </c>
      <c r="D8" s="299" t="n">
        <v>4</v>
      </c>
      <c r="E8" s="299" t="n">
        <v>5</v>
      </c>
      <c r="F8" s="299" t="n">
        <v>6</v>
      </c>
      <c r="G8" s="299" t="n">
        <v>7</v>
      </c>
    </row>
    <row r="9" ht="15" customHeight="1" s="241">
      <c r="A9" s="24" t="n"/>
      <c r="B9" s="298" t="inlineStr">
        <is>
          <t>ИНЖЕНЕРНОЕ ОБОРУДОВАНИЕ</t>
        </is>
      </c>
      <c r="C9" s="377" t="n"/>
      <c r="D9" s="377" t="n"/>
      <c r="E9" s="377" t="n"/>
      <c r="F9" s="377" t="n"/>
      <c r="G9" s="378" t="n"/>
    </row>
    <row r="10" ht="27" customHeight="1" s="241">
      <c r="A10" s="299" t="n"/>
      <c r="B10" s="287" t="n"/>
      <c r="C10" s="298" t="inlineStr">
        <is>
          <t>ИТОГО ИНЖЕНЕРНОЕ ОБОРУДОВАНИЕ</t>
        </is>
      </c>
      <c r="D10" s="304" t="n"/>
      <c r="E10" s="207" t="n"/>
      <c r="F10" s="301" t="n"/>
      <c r="G10" s="301" t="n">
        <v>0</v>
      </c>
    </row>
    <row r="11">
      <c r="A11" s="299" t="n"/>
      <c r="B11" s="298" t="inlineStr">
        <is>
          <t>ТЕХНОЛОГИЧЕСКОЕ ОБОРУДОВАНИЕ</t>
        </is>
      </c>
      <c r="C11" s="377" t="n"/>
      <c r="D11" s="377" t="n"/>
      <c r="E11" s="377" t="n"/>
      <c r="F11" s="377" t="n"/>
      <c r="G11" s="378" t="n"/>
    </row>
    <row r="12" ht="25.5" customHeight="1" s="241">
      <c r="A12" s="299" t="n"/>
      <c r="B12" s="298" t="n"/>
      <c r="C12" s="298" t="inlineStr">
        <is>
          <t>ИТОГО ТЕХНОЛОГИЧЕСКОЕ ОБОРУДОВАНИЕ</t>
        </is>
      </c>
      <c r="D12" s="299" t="n"/>
      <c r="E12" s="318" t="n"/>
      <c r="F12" s="301" t="n"/>
      <c r="G12" s="176" t="n">
        <v>0</v>
      </c>
    </row>
    <row r="13" ht="19.5" customHeight="1" s="241">
      <c r="A13" s="299" t="n"/>
      <c r="B13" s="298" t="n"/>
      <c r="C13" s="298" t="inlineStr">
        <is>
          <t>Всего по разделу «Оборудование»</t>
        </is>
      </c>
      <c r="D13" s="299" t="n"/>
      <c r="E13" s="318" t="n"/>
      <c r="F13" s="301" t="n"/>
      <c r="G13" s="176">
        <f>G10+G12</f>
        <v/>
      </c>
    </row>
    <row r="14">
      <c r="A14" s="239" t="n"/>
      <c r="B14" s="235" t="n"/>
      <c r="C14" s="239" t="n"/>
      <c r="D14" s="209" t="n"/>
      <c r="E14" s="239" t="n"/>
      <c r="F14" s="239" t="n"/>
      <c r="G14" s="239" t="n"/>
    </row>
    <row r="15">
      <c r="A15" s="365" t="inlineStr">
        <is>
          <t>Составил ______________________    Д.Ю. Нефедова</t>
        </is>
      </c>
      <c r="B15" s="238" t="n"/>
      <c r="C15" s="238" t="n"/>
      <c r="D15" s="209" t="n"/>
      <c r="E15" s="239" t="n"/>
      <c r="F15" s="239" t="n"/>
      <c r="G15" s="239" t="n"/>
    </row>
    <row r="16">
      <c r="A16" s="237" t="inlineStr">
        <is>
          <t xml:space="preserve">                         (подпись, инициалы, фамилия)</t>
        </is>
      </c>
      <c r="B16" s="238" t="n"/>
      <c r="C16" s="238" t="n"/>
      <c r="D16" s="209" t="n"/>
      <c r="E16" s="239" t="n"/>
      <c r="F16" s="239" t="n"/>
      <c r="G16" s="239" t="n"/>
    </row>
    <row r="17">
      <c r="A17" s="240" t="n"/>
      <c r="B17" s="238" t="n"/>
      <c r="C17" s="238" t="n"/>
      <c r="D17" s="209" t="n"/>
      <c r="E17" s="239" t="n"/>
      <c r="F17" s="239" t="n"/>
      <c r="G17" s="239" t="n"/>
    </row>
    <row r="18">
      <c r="A18" s="240" t="inlineStr">
        <is>
          <t>Проверил ______________________        А.В. Костянецкая</t>
        </is>
      </c>
      <c r="B18" s="238" t="n"/>
      <c r="C18" s="238" t="n"/>
      <c r="D18" s="209" t="n"/>
      <c r="E18" s="239" t="n"/>
      <c r="F18" s="239" t="n"/>
      <c r="G18" s="239" t="n"/>
    </row>
    <row r="19">
      <c r="A19" s="237" t="inlineStr">
        <is>
          <t xml:space="preserve">                        (подпись, инициалы, фамилия)</t>
        </is>
      </c>
      <c r="B19" s="238" t="n"/>
      <c r="C19" s="238" t="n"/>
      <c r="D19" s="209" t="n"/>
      <c r="E19" s="239" t="n"/>
      <c r="F19" s="239" t="n"/>
      <c r="G19" s="2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41" min="1" max="1"/>
    <col width="29.7109375" customWidth="1" style="241" min="2" max="2"/>
    <col width="38.140625" customWidth="1" style="241" min="3" max="3"/>
    <col width="32.28515625" customWidth="1" style="241" min="4" max="4"/>
  </cols>
  <sheetData>
    <row r="1">
      <c r="B1" s="240" t="n"/>
      <c r="C1" s="240" t="n"/>
      <c r="D1" s="314" t="inlineStr">
        <is>
          <t>Приложение №7</t>
        </is>
      </c>
    </row>
    <row r="2">
      <c r="A2" s="314" t="n"/>
      <c r="B2" s="314" t="n"/>
      <c r="C2" s="314" t="n"/>
      <c r="D2" s="314" t="n"/>
    </row>
    <row r="3" ht="24.75" customHeight="1" s="241">
      <c r="A3" s="269" t="inlineStr">
        <is>
          <t>Расчет показателя УНЦ</t>
        </is>
      </c>
    </row>
    <row r="4" ht="24.75" customHeight="1" s="241">
      <c r="A4" s="269" t="n"/>
      <c r="B4" s="269" t="n"/>
      <c r="C4" s="269" t="n"/>
      <c r="D4" s="269" t="n"/>
    </row>
    <row r="5" ht="49.5" customHeight="1" s="24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9.9" customHeight="1" s="241">
      <c r="A6" s="272" t="inlineStr">
        <is>
          <t>Единица измерения  — 1 ед.</t>
        </is>
      </c>
      <c r="D6" s="272" t="n"/>
    </row>
    <row r="7">
      <c r="A7" s="240" t="n"/>
      <c r="B7" s="240" t="n"/>
      <c r="C7" s="240" t="n"/>
      <c r="D7" s="240" t="n"/>
    </row>
    <row r="8" ht="14.45" customHeight="1" s="241">
      <c r="A8" s="283" t="inlineStr">
        <is>
          <t>Код показателя</t>
        </is>
      </c>
      <c r="B8" s="283" t="inlineStr">
        <is>
          <t>Наименование показателя</t>
        </is>
      </c>
      <c r="C8" s="283" t="inlineStr">
        <is>
          <t>Наименование РМ, входящих в состав показателя</t>
        </is>
      </c>
      <c r="D8" s="283" t="inlineStr">
        <is>
          <t>Норматив цены на 01.01.2023, тыс.руб.</t>
        </is>
      </c>
    </row>
    <row r="9" ht="15" customHeight="1" s="241">
      <c r="A9" s="380" t="n"/>
      <c r="B9" s="380" t="n"/>
      <c r="C9" s="380" t="n"/>
      <c r="D9" s="380" t="n"/>
    </row>
    <row r="10">
      <c r="A10" s="299" t="n">
        <v>1</v>
      </c>
      <c r="B10" s="299" t="n">
        <v>2</v>
      </c>
      <c r="C10" s="299" t="n">
        <v>3</v>
      </c>
      <c r="D10" s="299" t="n">
        <v>4</v>
      </c>
    </row>
    <row r="11" ht="41.45" customHeight="1" s="241">
      <c r="A11" s="299" t="inlineStr">
        <is>
          <t>М6-10-4</t>
        </is>
      </c>
      <c r="B11" s="299" t="inlineStr">
        <is>
          <t>УНЦ на демонтажные работы ПС</t>
        </is>
      </c>
      <c r="C11" s="231" t="inlineStr">
        <is>
          <t>Демонтаж трансформаторов напряжения 220 кВ</t>
        </is>
      </c>
      <c r="D11" s="232">
        <f>'Прил.4 РМ'!C41/1000</f>
        <v/>
      </c>
      <c r="E11" s="233" t="n"/>
    </row>
    <row r="12">
      <c r="A12" s="239" t="n"/>
      <c r="B12" s="235" t="n"/>
      <c r="C12" s="239" t="n"/>
      <c r="D12" s="239" t="n"/>
    </row>
    <row r="13">
      <c r="A13" s="240" t="inlineStr">
        <is>
          <t>Составил ______________________      Д.Ю. Нефедова</t>
        </is>
      </c>
      <c r="B13" s="238" t="n"/>
      <c r="C13" s="238" t="n"/>
      <c r="D13" s="239" t="n"/>
    </row>
    <row r="14">
      <c r="A14" s="237" t="inlineStr">
        <is>
          <t xml:space="preserve">                         (подпись, инициалы, фамилия)</t>
        </is>
      </c>
      <c r="B14" s="238" t="n"/>
      <c r="C14" s="238" t="n"/>
      <c r="D14" s="239" t="n"/>
    </row>
    <row r="15">
      <c r="A15" s="240" t="n"/>
      <c r="B15" s="238" t="n"/>
      <c r="C15" s="238" t="n"/>
      <c r="D15" s="239" t="n"/>
    </row>
    <row r="16">
      <c r="A16" s="240" t="inlineStr">
        <is>
          <t>Проверил ______________________        А.В. Костянецкая</t>
        </is>
      </c>
      <c r="B16" s="238" t="n"/>
      <c r="C16" s="238" t="n"/>
      <c r="D16" s="239" t="n"/>
    </row>
    <row r="17">
      <c r="A17" s="237" t="inlineStr">
        <is>
          <t xml:space="preserve">                        (подпись, инициалы, фамилия)</t>
        </is>
      </c>
      <c r="B17" s="238" t="n"/>
      <c r="C17" s="238" t="n"/>
      <c r="D17" s="23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1" min="2" max="2"/>
    <col width="37" customWidth="1" style="241" min="3" max="3"/>
    <col width="32" customWidth="1" style="241" min="4" max="4"/>
  </cols>
  <sheetData>
    <row r="4" ht="15.75" customHeight="1" s="241">
      <c r="B4" s="276" t="inlineStr">
        <is>
          <t>Приложение № 10</t>
        </is>
      </c>
    </row>
    <row r="5" ht="18.75" customHeight="1" s="241">
      <c r="B5" s="112" t="n"/>
    </row>
    <row r="6" ht="15.75" customHeight="1" s="241">
      <c r="B6" s="277" t="inlineStr">
        <is>
          <t>Используемые индексы изменений сметной стоимости и нормы сопутствующих затрат</t>
        </is>
      </c>
    </row>
    <row r="7">
      <c r="B7" s="320" t="n"/>
    </row>
    <row r="8">
      <c r="B8" s="320" t="n"/>
      <c r="C8" s="320" t="n"/>
      <c r="D8" s="320" t="n"/>
      <c r="E8" s="320" t="n"/>
    </row>
    <row r="9" ht="47.25" customHeight="1" s="241">
      <c r="B9" s="283" t="inlineStr">
        <is>
          <t>Наименование индекса / норм сопутствующих затрат</t>
        </is>
      </c>
      <c r="C9" s="283" t="inlineStr">
        <is>
          <t>Дата применения и обоснование индекса / норм сопутствующих затрат</t>
        </is>
      </c>
      <c r="D9" s="283" t="inlineStr">
        <is>
          <t>Размер индекса / норма сопутствующих затрат</t>
        </is>
      </c>
    </row>
    <row r="10" ht="15.75" customHeight="1" s="241">
      <c r="B10" s="283" t="n">
        <v>1</v>
      </c>
      <c r="C10" s="283" t="n">
        <v>2</v>
      </c>
      <c r="D10" s="283" t="n">
        <v>3</v>
      </c>
    </row>
    <row r="11" ht="45" customHeight="1" s="241">
      <c r="B11" s="283" t="inlineStr">
        <is>
          <t xml:space="preserve">Индекс изменения сметной стоимости на 1 квартал 2023 года. ОЗП </t>
        </is>
      </c>
      <c r="C11" s="283" t="inlineStr">
        <is>
          <t>Письмо Минстроя России от 30.03.2023г. №17106-ИФ/09  прил.1</t>
        </is>
      </c>
      <c r="D11" s="283" t="n">
        <v>44.29</v>
      </c>
    </row>
    <row r="12" ht="29.25" customHeight="1" s="241">
      <c r="B12" s="283" t="inlineStr">
        <is>
          <t>Индекс изменения сметной стоимости на 1 квартал 2023 года. ЭМ</t>
        </is>
      </c>
      <c r="C12" s="283" t="inlineStr">
        <is>
          <t>Письмо Минстроя России от 30.03.2023г. №17106-ИФ/09  прил.1</t>
        </is>
      </c>
      <c r="D12" s="283" t="n">
        <v>13.47</v>
      </c>
    </row>
    <row r="13" ht="29.25" customHeight="1" s="241">
      <c r="B13" s="283" t="inlineStr">
        <is>
          <t>Индекс изменения сметной стоимости на 1 квартал 2023 года. МАТ</t>
        </is>
      </c>
      <c r="C13" s="283" t="inlineStr">
        <is>
          <t>Письмо Минстроя России от 30.03.2023г. №17106-ИФ/09  прил.1</t>
        </is>
      </c>
      <c r="D13" s="283" t="n">
        <v>8.039999999999999</v>
      </c>
    </row>
    <row r="14" ht="30.75" customHeight="1" s="241">
      <c r="B14" s="283" t="inlineStr">
        <is>
          <t>Индекс изменения сметной стоимости на 1 квартал 2023 года. ОБ</t>
        </is>
      </c>
      <c r="C14" s="110" t="inlineStr">
        <is>
          <t>Письмо Минстроя России от 23.02.2023г. №9791-ИФ/09 прил.6</t>
        </is>
      </c>
      <c r="D14" s="283" t="n">
        <v>6.26</v>
      </c>
    </row>
    <row r="15" ht="89.25" customHeight="1" s="241">
      <c r="B15" s="283" t="inlineStr">
        <is>
          <t>Временные здания и сооружения</t>
        </is>
      </c>
      <c r="C15" s="28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41">
      <c r="B16" s="283" t="inlineStr">
        <is>
          <t>Дополнительные затраты при производстве строительно-монтажных работ в зимнее время</t>
        </is>
      </c>
      <c r="C16" s="28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31.5" customHeight="1" s="241">
      <c r="B17" s="283" t="inlineStr">
        <is>
          <t>Строительный контроль</t>
        </is>
      </c>
      <c r="C17" s="283" t="inlineStr">
        <is>
          <t>Постановление Правительства РФ от 21.06.10 г. № 468</t>
        </is>
      </c>
      <c r="D17" s="115" t="n">
        <v>0.0214</v>
      </c>
    </row>
    <row r="18" ht="31.5" customHeight="1" s="241">
      <c r="B18" s="283" t="inlineStr">
        <is>
          <t>Авторский надзор - 0,2%</t>
        </is>
      </c>
      <c r="C18" s="283" t="inlineStr">
        <is>
          <t>Приказ от 4.08.2020 № 421/пр п.173</t>
        </is>
      </c>
      <c r="D18" s="115" t="n">
        <v>0.002</v>
      </c>
    </row>
    <row r="19" ht="24" customHeight="1" s="241">
      <c r="B19" s="283" t="inlineStr">
        <is>
          <t>Непредвиденные расходы</t>
        </is>
      </c>
      <c r="C19" s="283" t="inlineStr">
        <is>
          <t>Приказ от 4.08.2020 № 421/пр п.179</t>
        </is>
      </c>
      <c r="D19" s="115" t="n">
        <v>0.03</v>
      </c>
    </row>
    <row r="20" ht="18.75" customHeight="1" s="241">
      <c r="B20" s="113" t="n"/>
    </row>
    <row r="21" ht="18.75" customHeight="1" s="241">
      <c r="B21" s="113" t="n"/>
    </row>
    <row r="22" ht="18.75" customHeight="1" s="241">
      <c r="B22" s="113" t="n"/>
    </row>
    <row r="23" ht="18.75" customHeight="1" s="241">
      <c r="B23" s="113" t="n"/>
    </row>
    <row r="26">
      <c r="B26" s="240" t="inlineStr">
        <is>
          <t>Составил ______________________        Д.Ю. Нефедова</t>
        </is>
      </c>
      <c r="C26" s="238" t="n"/>
    </row>
    <row r="27">
      <c r="B27" s="237" t="inlineStr">
        <is>
          <t xml:space="preserve">                         (подпись, инициалы, фамилия)</t>
        </is>
      </c>
      <c r="C27" s="238" t="n"/>
    </row>
    <row r="28">
      <c r="B28" s="240" t="n"/>
      <c r="C28" s="238" t="n"/>
    </row>
    <row r="29">
      <c r="B29" s="240" t="inlineStr">
        <is>
          <t>Проверил ______________________        А.В. Костянецкая</t>
        </is>
      </c>
      <c r="C29" s="238" t="n"/>
    </row>
    <row r="30">
      <c r="B30" s="237" t="inlineStr">
        <is>
          <t xml:space="preserve">                        (подпись, инициалы, фамилия)</t>
        </is>
      </c>
      <c r="C30" s="2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1" min="2" max="2"/>
    <col width="13" customWidth="1" style="241" min="3" max="3"/>
    <col width="22.85546875" customWidth="1" style="241" min="4" max="4"/>
    <col width="21.5703125" customWidth="1" style="241" min="5" max="5"/>
    <col width="43.85546875" customWidth="1" style="241" min="6" max="6"/>
  </cols>
  <sheetData>
    <row r="1" s="241"/>
    <row r="2" ht="17.25" customHeight="1" s="241">
      <c r="A2" s="277" t="inlineStr">
        <is>
          <t>Расчет размера средств на оплату труда рабочих-строителей в текущем уровне цен (ФОТр.тек.)</t>
        </is>
      </c>
    </row>
    <row r="3" s="241"/>
    <row r="4" ht="18" customHeight="1" s="241">
      <c r="A4" s="242" t="inlineStr">
        <is>
          <t>Составлен в уровне цен на 01.01.2023 г.</t>
        </is>
      </c>
      <c r="B4" s="243" t="n"/>
      <c r="C4" s="243" t="n"/>
      <c r="D4" s="243" t="n"/>
      <c r="E4" s="243" t="n"/>
      <c r="F4" s="243" t="n"/>
      <c r="G4" s="243" t="n"/>
    </row>
    <row r="5" ht="15.75" customHeight="1" s="241">
      <c r="A5" s="244" t="inlineStr">
        <is>
          <t>№ пп.</t>
        </is>
      </c>
      <c r="B5" s="244" t="inlineStr">
        <is>
          <t>Наименование элемента</t>
        </is>
      </c>
      <c r="C5" s="244" t="inlineStr">
        <is>
          <t>Обозначение</t>
        </is>
      </c>
      <c r="D5" s="244" t="inlineStr">
        <is>
          <t>Формула</t>
        </is>
      </c>
      <c r="E5" s="244" t="inlineStr">
        <is>
          <t>Величина элемента</t>
        </is>
      </c>
      <c r="F5" s="244" t="inlineStr">
        <is>
          <t>Наименования обосновывающих документов</t>
        </is>
      </c>
      <c r="G5" s="243" t="n"/>
    </row>
    <row r="6" ht="15.75" customHeight="1" s="241">
      <c r="A6" s="244" t="n">
        <v>1</v>
      </c>
      <c r="B6" s="244" t="n">
        <v>2</v>
      </c>
      <c r="C6" s="244" t="n">
        <v>3</v>
      </c>
      <c r="D6" s="244" t="n">
        <v>4</v>
      </c>
      <c r="E6" s="244" t="n">
        <v>5</v>
      </c>
      <c r="F6" s="244" t="n">
        <v>6</v>
      </c>
      <c r="G6" s="243" t="n"/>
    </row>
    <row r="7" ht="110.25" customHeight="1" s="241">
      <c r="A7" s="245" t="inlineStr">
        <is>
          <t>1.1</t>
        </is>
      </c>
      <c r="B7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3" t="inlineStr">
        <is>
          <t>С1ср</t>
        </is>
      </c>
      <c r="D7" s="283" t="inlineStr">
        <is>
          <t>-</t>
        </is>
      </c>
      <c r="E7" s="248" t="n">
        <v>47872.94</v>
      </c>
      <c r="F7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3" t="n"/>
    </row>
    <row r="8" ht="31.5" customHeight="1" s="241">
      <c r="A8" s="245" t="inlineStr">
        <is>
          <t>1.2</t>
        </is>
      </c>
      <c r="B8" s="250" t="inlineStr">
        <is>
          <t>Среднегодовое нормативное число часов работы одного рабочего в месяц, часы (ч.)</t>
        </is>
      </c>
      <c r="C8" s="283" t="inlineStr">
        <is>
          <t>tср</t>
        </is>
      </c>
      <c r="D8" s="283" t="inlineStr">
        <is>
          <t>1973ч/12мес.</t>
        </is>
      </c>
      <c r="E8" s="249">
        <f>1973/12</f>
        <v/>
      </c>
      <c r="F8" s="250" t="inlineStr">
        <is>
          <t>Производственный календарь 2023 год
(40-часов.неделя)</t>
        </is>
      </c>
      <c r="G8" s="252" t="n"/>
    </row>
    <row r="9" ht="15.75" customHeight="1" s="241">
      <c r="A9" s="245" t="inlineStr">
        <is>
          <t>1.3</t>
        </is>
      </c>
      <c r="B9" s="250" t="inlineStr">
        <is>
          <t>Коэффициент увеличения</t>
        </is>
      </c>
      <c r="C9" s="283" t="inlineStr">
        <is>
          <t>Кув</t>
        </is>
      </c>
      <c r="D9" s="283" t="inlineStr">
        <is>
          <t>-</t>
        </is>
      </c>
      <c r="E9" s="249" t="n">
        <v>1</v>
      </c>
      <c r="F9" s="250" t="n"/>
      <c r="G9" s="252" t="n"/>
    </row>
    <row r="10" ht="15.75" customHeight="1" s="241">
      <c r="A10" s="245" t="inlineStr">
        <is>
          <t>1.4</t>
        </is>
      </c>
      <c r="B10" s="250" t="inlineStr">
        <is>
          <t>Средний разряд работ</t>
        </is>
      </c>
      <c r="C10" s="283" t="n"/>
      <c r="D10" s="283" t="n"/>
      <c r="E10" s="253" t="n">
        <v>5.7</v>
      </c>
      <c r="F10" s="250" t="inlineStr">
        <is>
          <t>РТМ</t>
        </is>
      </c>
      <c r="G10" s="252" t="n"/>
    </row>
    <row r="11" ht="78.75" customHeight="1" s="241">
      <c r="A11" s="245" t="inlineStr">
        <is>
          <t>1.5</t>
        </is>
      </c>
      <c r="B11" s="250" t="inlineStr">
        <is>
          <t>Тарифный коэффициент среднего разряда работ</t>
        </is>
      </c>
      <c r="C11" s="283" t="inlineStr">
        <is>
          <t>КТ</t>
        </is>
      </c>
      <c r="D11" s="283" t="inlineStr">
        <is>
          <t>-</t>
        </is>
      </c>
      <c r="E11" s="254" t="n">
        <v>1.721</v>
      </c>
      <c r="F11" s="2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3" t="n"/>
    </row>
    <row r="12" ht="78.75" customHeight="1" s="241">
      <c r="A12" s="258" t="inlineStr">
        <is>
          <t>1.6</t>
        </is>
      </c>
      <c r="B12" s="366" t="inlineStr">
        <is>
          <t>Коэффициент инфляции, определяемый поквартально</t>
        </is>
      </c>
      <c r="C12" s="259" t="inlineStr">
        <is>
          <t>Кинф</t>
        </is>
      </c>
      <c r="D12" s="259" t="inlineStr">
        <is>
          <t>-</t>
        </is>
      </c>
      <c r="E12" s="387" t="n">
        <v>1.139</v>
      </c>
      <c r="F12" s="36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2" t="n"/>
    </row>
    <row r="13" ht="63" customHeight="1" s="241">
      <c r="A13" s="372" t="inlineStr">
        <is>
          <t>1.7</t>
        </is>
      </c>
      <c r="B13" s="373" t="inlineStr">
        <is>
          <t>Размер средств на оплату труда рабочих-строителей в текущем уровне цен (ФОТр.тек.), руб/чел.-ч</t>
        </is>
      </c>
      <c r="C13" s="374" t="inlineStr">
        <is>
          <t>ФОТр.тек.</t>
        </is>
      </c>
      <c r="D13" s="374" t="inlineStr">
        <is>
          <t>(С1ср/tср*КТ*Т*Кув)*Кинф</t>
        </is>
      </c>
      <c r="E13" s="375">
        <f>((E7*E9/E8)*E11)*E12</f>
        <v/>
      </c>
      <c r="F13" s="37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3" t="n"/>
    </row>
    <row r="14" ht="15.75" customHeight="1" s="241">
      <c r="A14" s="369" t="n"/>
      <c r="B14" s="370" t="inlineStr">
        <is>
          <t>Инженер I категории</t>
        </is>
      </c>
      <c r="C14" s="370" t="n"/>
      <c r="D14" s="370" t="n"/>
      <c r="E14" s="370" t="n"/>
      <c r="F14" s="371" t="n"/>
    </row>
    <row r="15" ht="110.25" customHeight="1" s="241">
      <c r="A15" s="245" t="inlineStr">
        <is>
          <t>1.1</t>
        </is>
      </c>
      <c r="B15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83" t="inlineStr">
        <is>
          <t>С1ср</t>
        </is>
      </c>
      <c r="D15" s="283" t="inlineStr">
        <is>
          <t>-</t>
        </is>
      </c>
      <c r="E15" s="248" t="n">
        <v>47872.94</v>
      </c>
      <c r="F15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43" t="n"/>
    </row>
    <row r="16" ht="31.5" customHeight="1" s="241">
      <c r="A16" s="245" t="inlineStr">
        <is>
          <t>1.2</t>
        </is>
      </c>
      <c r="B16" s="250" t="inlineStr">
        <is>
          <t>Среднегодовое нормативное число часов работы одного рабочего в месяц, часы (ч.)</t>
        </is>
      </c>
      <c r="C16" s="283" t="inlineStr">
        <is>
          <t>tср</t>
        </is>
      </c>
      <c r="D16" s="283" t="inlineStr">
        <is>
          <t>1973ч/12мес.</t>
        </is>
      </c>
      <c r="E16" s="249">
        <f>1973/12</f>
        <v/>
      </c>
      <c r="F16" s="250" t="inlineStr">
        <is>
          <t>Производственный календарь 2023 год
(40-часов.неделя)</t>
        </is>
      </c>
      <c r="G16" s="252" t="n"/>
    </row>
    <row r="17" ht="15.75" customHeight="1" s="241">
      <c r="A17" s="245" t="inlineStr">
        <is>
          <t>1.3</t>
        </is>
      </c>
      <c r="B17" s="250" t="inlineStr">
        <is>
          <t>Коэффициент увеличения</t>
        </is>
      </c>
      <c r="C17" s="283" t="inlineStr">
        <is>
          <t>Кув</t>
        </is>
      </c>
      <c r="D17" s="283" t="inlineStr">
        <is>
          <t>-</t>
        </is>
      </c>
      <c r="E17" s="249" t="n">
        <v>1</v>
      </c>
      <c r="F17" s="250" t="n"/>
      <c r="G17" s="252" t="n"/>
    </row>
    <row r="18" ht="15.75" customHeight="1" s="241">
      <c r="A18" s="245" t="inlineStr">
        <is>
          <t>1.4</t>
        </is>
      </c>
      <c r="B18" s="250" t="inlineStr">
        <is>
          <t>Средний разряд работ</t>
        </is>
      </c>
      <c r="C18" s="283" t="n"/>
      <c r="D18" s="283" t="n"/>
      <c r="E18" s="253" t="inlineStr">
        <is>
          <t>Инженер I категории</t>
        </is>
      </c>
      <c r="F18" s="250" t="inlineStr">
        <is>
          <t>РТМ</t>
        </is>
      </c>
      <c r="G18" s="252" t="n"/>
    </row>
    <row r="19" ht="78.75" customHeight="1" s="241">
      <c r="A19" s="258" t="inlineStr">
        <is>
          <t>1.5</t>
        </is>
      </c>
      <c r="B19" s="260" t="inlineStr">
        <is>
          <t>Тарифный коэффициент среднего разряда работ</t>
        </is>
      </c>
      <c r="C19" s="259" t="inlineStr">
        <is>
          <t>КТ</t>
        </is>
      </c>
      <c r="D19" s="259" t="inlineStr">
        <is>
          <t>-</t>
        </is>
      </c>
      <c r="E19" s="264" t="n">
        <v>2.15</v>
      </c>
      <c r="F19" s="26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43" t="n"/>
    </row>
    <row r="20" ht="78.75" customHeight="1" s="241">
      <c r="A20" s="245" t="inlineStr">
        <is>
          <t>1.6</t>
        </is>
      </c>
      <c r="B20" s="290" t="inlineStr">
        <is>
          <t>Коэффициент инфляции, определяемый поквартально</t>
        </is>
      </c>
      <c r="C20" s="283" t="inlineStr">
        <is>
          <t>Кинф</t>
        </is>
      </c>
      <c r="D20" s="283" t="inlineStr">
        <is>
          <t>-</t>
        </is>
      </c>
      <c r="E20" s="388" t="n">
        <v>1.139</v>
      </c>
      <c r="F20" s="2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52" t="n"/>
    </row>
    <row r="21" ht="63" customHeight="1" s="241">
      <c r="A21" s="245" t="inlineStr">
        <is>
          <t>1.7</t>
        </is>
      </c>
      <c r="B21" s="265" t="inlineStr">
        <is>
          <t>Размер средств на оплату труда рабочих-строителей в текущем уровне цен (ФОТр.тек.), руб/чел.-ч</t>
        </is>
      </c>
      <c r="C21" s="283" t="inlineStr">
        <is>
          <t>ФОТр.тек.</t>
        </is>
      </c>
      <c r="D21" s="283" t="inlineStr">
        <is>
          <t>(С1ср/tср*КТ*Т*Кув)*Кинф</t>
        </is>
      </c>
      <c r="E21" s="266">
        <f>((E15*E17/E16)*E19)*E20</f>
        <v/>
      </c>
      <c r="F21" s="2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43" t="n"/>
    </row>
    <row r="22" ht="15.75" customHeight="1" s="241">
      <c r="A22" s="261" t="n"/>
      <c r="B22" s="262" t="inlineStr">
        <is>
          <t>Инженер II категории</t>
        </is>
      </c>
      <c r="C22" s="262" t="n"/>
      <c r="D22" s="262" t="n"/>
      <c r="E22" s="262" t="n"/>
      <c r="F22" s="263" t="n"/>
    </row>
    <row r="23" ht="110.25" customHeight="1" s="241">
      <c r="A23" s="245" t="inlineStr">
        <is>
          <t>1.1</t>
        </is>
      </c>
      <c r="B23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83" t="inlineStr">
        <is>
          <t>С1ср</t>
        </is>
      </c>
      <c r="D23" s="283" t="inlineStr">
        <is>
          <t>-</t>
        </is>
      </c>
      <c r="E23" s="248" t="n">
        <v>47872.94</v>
      </c>
      <c r="F23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43" t="n"/>
    </row>
    <row r="24" ht="31.5" customHeight="1" s="241">
      <c r="A24" s="245" t="inlineStr">
        <is>
          <t>1.2</t>
        </is>
      </c>
      <c r="B24" s="250" t="inlineStr">
        <is>
          <t>Среднегодовое нормативное число часов работы одного рабочего в месяц, часы (ч.)</t>
        </is>
      </c>
      <c r="C24" s="283" t="inlineStr">
        <is>
          <t>tср</t>
        </is>
      </c>
      <c r="D24" s="283" t="inlineStr">
        <is>
          <t>1973ч/12мес.</t>
        </is>
      </c>
      <c r="E24" s="249">
        <f>1973/12</f>
        <v/>
      </c>
      <c r="F24" s="250" t="inlineStr">
        <is>
          <t>Производственный календарь 2023 год
(40-часов.неделя)</t>
        </is>
      </c>
      <c r="G24" s="252" t="n"/>
    </row>
    <row r="25" ht="15.75" customHeight="1" s="241">
      <c r="A25" s="245" t="inlineStr">
        <is>
          <t>1.3</t>
        </is>
      </c>
      <c r="B25" s="250" t="inlineStr">
        <is>
          <t>Коэффициент увеличения</t>
        </is>
      </c>
      <c r="C25" s="283" t="inlineStr">
        <is>
          <t>Кув</t>
        </is>
      </c>
      <c r="D25" s="283" t="inlineStr">
        <is>
          <t>-</t>
        </is>
      </c>
      <c r="E25" s="249" t="n">
        <v>1</v>
      </c>
      <c r="F25" s="250" t="n"/>
      <c r="G25" s="252" t="n"/>
    </row>
    <row r="26" ht="15.75" customHeight="1" s="241">
      <c r="A26" s="245" t="inlineStr">
        <is>
          <t>1.4</t>
        </is>
      </c>
      <c r="B26" s="250" t="inlineStr">
        <is>
          <t>Средний разряд работ</t>
        </is>
      </c>
      <c r="C26" s="283" t="n"/>
      <c r="D26" s="283" t="n"/>
      <c r="E26" s="253" t="inlineStr">
        <is>
          <t>Инженер II категории</t>
        </is>
      </c>
      <c r="F26" s="250" t="inlineStr">
        <is>
          <t>РТМ</t>
        </is>
      </c>
      <c r="G26" s="252" t="n"/>
    </row>
    <row r="27" ht="78.75" customHeight="1" s="241">
      <c r="A27" s="258" t="inlineStr">
        <is>
          <t>1.5</t>
        </is>
      </c>
      <c r="B27" s="260" t="inlineStr">
        <is>
          <t>Тарифный коэффициент среднего разряда работ</t>
        </is>
      </c>
      <c r="C27" s="259" t="inlineStr">
        <is>
          <t>КТ</t>
        </is>
      </c>
      <c r="D27" s="259" t="inlineStr">
        <is>
          <t>-</t>
        </is>
      </c>
      <c r="E27" s="264" t="n">
        <v>1.96</v>
      </c>
      <c r="F27" s="26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43" t="n"/>
    </row>
    <row r="28" ht="78.75" customHeight="1" s="241">
      <c r="A28" s="245" t="inlineStr">
        <is>
          <t>1.6</t>
        </is>
      </c>
      <c r="B28" s="290" t="inlineStr">
        <is>
          <t>Коэффициент инфляции, определяемый поквартально</t>
        </is>
      </c>
      <c r="C28" s="283" t="inlineStr">
        <is>
          <t>Кинф</t>
        </is>
      </c>
      <c r="D28" s="283" t="inlineStr">
        <is>
          <t>-</t>
        </is>
      </c>
      <c r="E28" s="388" t="n">
        <v>1.139</v>
      </c>
      <c r="F28" s="2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52" t="n"/>
    </row>
    <row r="29" ht="63" customHeight="1" s="241">
      <c r="A29" s="245" t="inlineStr">
        <is>
          <t>1.7</t>
        </is>
      </c>
      <c r="B29" s="265" t="inlineStr">
        <is>
          <t>Размер средств на оплату труда рабочих-строителей в текущем уровне цен (ФОТр.тек.), руб/чел.-ч</t>
        </is>
      </c>
      <c r="C29" s="283" t="inlineStr">
        <is>
          <t>ФОТр.тек.</t>
        </is>
      </c>
      <c r="D29" s="283" t="inlineStr">
        <is>
          <t>(С1ср/tср*КТ*Т*Кув)*Кинф</t>
        </is>
      </c>
      <c r="E29" s="266">
        <f>((E23*E25/E24)*E27)*E28</f>
        <v/>
      </c>
      <c r="F29" s="2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2025-01-24T12:12:03Z</dcterms:modified>
  <cp:lastModifiedBy>Nikolay Ivanov</cp:lastModifiedBy>
  <cp:lastPrinted>2023-11-29T09:17:41Z</cp:lastPrinted>
</cp:coreProperties>
</file>