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'Прил.3'!$A$1:$H$124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6" fillId="0" borderId="0" pivotButton="0" quotePrefix="0" xfId="0"/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76" t="inlineStr">
        <is>
          <t>Приложение № 1</t>
        </is>
      </c>
    </row>
    <row r="4">
      <c r="B4" s="277" t="inlineStr">
        <is>
          <t>Сравнительная таблица отбора объекта-представителя</t>
        </is>
      </c>
    </row>
    <row r="5" ht="84" customHeight="1" s="241">
      <c r="B5" s="28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6" t="n"/>
      <c r="C6" s="126" t="n"/>
      <c r="D6" s="126" t="n"/>
    </row>
    <row r="7" ht="64.5" customHeight="1" s="241">
      <c r="B7" s="278" t="inlineStr">
        <is>
          <t>Наименование разрабатываемого показателя УНЦ - Демонтаж трансформаторов напряжения 330 кВ</t>
        </is>
      </c>
    </row>
    <row r="8" ht="31.5" customHeight="1" s="241">
      <c r="B8" s="279" t="inlineStr">
        <is>
          <t>Сопоставимый уровень цен: 4 квартал 2017</t>
        </is>
      </c>
    </row>
    <row r="9" ht="15.75" customHeight="1" s="241">
      <c r="B9" s="279" t="inlineStr">
        <is>
          <t>Единица измерения  — 1 ед.</t>
        </is>
      </c>
    </row>
    <row r="10">
      <c r="B10" s="279" t="n"/>
    </row>
    <row r="11">
      <c r="B11" s="283" t="inlineStr">
        <is>
          <t>№ п/п</t>
        </is>
      </c>
      <c r="C11" s="283" t="inlineStr">
        <is>
          <t>Параметр</t>
        </is>
      </c>
      <c r="D11" s="283" t="inlineStr">
        <is>
          <t xml:space="preserve">Объект-представитель </t>
        </is>
      </c>
      <c r="E11" s="127" t="n"/>
    </row>
    <row r="12" ht="96.75" customHeight="1" s="241">
      <c r="B12" s="283" t="n">
        <v>1</v>
      </c>
      <c r="C12" s="292" t="inlineStr">
        <is>
          <t>Наименование объекта-представителя</t>
        </is>
      </c>
      <c r="D12" s="283" t="inlineStr">
        <is>
          <t>ПС Губкин (МЭС Центра)</t>
        </is>
      </c>
    </row>
    <row r="13">
      <c r="B13" s="283" t="n">
        <v>2</v>
      </c>
      <c r="C13" s="292" t="inlineStr">
        <is>
          <t>Наименование субъекта Российской Федерации</t>
        </is>
      </c>
      <c r="D13" s="283" t="inlineStr">
        <is>
          <t>Белгородская область</t>
        </is>
      </c>
    </row>
    <row r="14">
      <c r="B14" s="283" t="n">
        <v>3</v>
      </c>
      <c r="C14" s="292" t="inlineStr">
        <is>
          <t>Климатический район и подрайон</t>
        </is>
      </c>
      <c r="D14" s="283" t="inlineStr">
        <is>
          <t>IIВ</t>
        </is>
      </c>
    </row>
    <row r="15">
      <c r="B15" s="283" t="n">
        <v>4</v>
      </c>
      <c r="C15" s="292" t="inlineStr">
        <is>
          <t>Мощность объекта</t>
        </is>
      </c>
      <c r="D15" s="283" t="n">
        <v>1</v>
      </c>
    </row>
    <row r="16" ht="94.5" customHeight="1" s="241">
      <c r="B16" s="28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3" t="inlineStr">
        <is>
          <t>Измерительный, каскадный, масляный траснформатор марки  НАМИ-330 с устройством фундамента
Шкаф ЯЗН-11-АСКУЭ - 1 шт.
Шкаф догрузочных резисторов - 1 шт.</t>
        </is>
      </c>
    </row>
    <row r="17" ht="79.5" customHeight="1" s="241">
      <c r="B17" s="28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92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41">
      <c r="B19" s="130" t="inlineStr">
        <is>
          <t>6.2</t>
        </is>
      </c>
      <c r="C19" s="292" t="inlineStr">
        <is>
          <t>оборудование и инвентарь</t>
        </is>
      </c>
      <c r="D19" s="128" t="n">
        <v>0</v>
      </c>
    </row>
    <row r="20" ht="16.5" customHeight="1" s="241">
      <c r="B20" s="130" t="inlineStr">
        <is>
          <t>6.3</t>
        </is>
      </c>
      <c r="C20" s="292" t="inlineStr">
        <is>
          <t>пусконаладочные работы</t>
        </is>
      </c>
      <c r="D20" s="128" t="n"/>
    </row>
    <row r="21" ht="35.25" customHeight="1" s="241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83" t="n">
        <v>7</v>
      </c>
      <c r="C22" s="131" t="inlineStr">
        <is>
          <t>Сопоставимый уровень цен</t>
        </is>
      </c>
      <c r="D22" s="132" t="inlineStr">
        <is>
          <t>4 квартал 2017</t>
        </is>
      </c>
      <c r="E22" s="133" t="n"/>
    </row>
    <row r="23" ht="123" customHeight="1" s="241">
      <c r="B23" s="283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60.75" customHeight="1" s="241">
      <c r="B24" s="28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 ht="48" customHeight="1" s="241">
      <c r="B25" s="283" t="n">
        <v>10</v>
      </c>
      <c r="C25" s="292" t="inlineStr">
        <is>
          <t>Примечание</t>
        </is>
      </c>
      <c r="D25" s="283" t="n"/>
    </row>
    <row r="26">
      <c r="B26" s="135" t="n"/>
      <c r="C26" s="136" t="n"/>
      <c r="D26" s="136" t="n"/>
    </row>
    <row r="27" ht="37.5" customHeight="1" s="241">
      <c r="B27" s="118" t="n"/>
    </row>
    <row r="28">
      <c r="B28" s="243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6" t="inlineStr">
        <is>
          <t>Приложение № 2</t>
        </is>
      </c>
      <c r="K3" s="118" t="n"/>
    </row>
    <row r="4">
      <c r="B4" s="277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41">
      <c r="B6" s="279">
        <f>'Прил.1 Сравнит табл'!B7:D7</f>
        <v/>
      </c>
    </row>
    <row r="7">
      <c r="B7" s="279">
        <f>'Прил.1 Сравнит табл'!B9:D9</f>
        <v/>
      </c>
    </row>
    <row r="8" ht="18.75" customHeight="1" s="241">
      <c r="B8" s="113" t="n"/>
    </row>
    <row r="9" ht="15.75" customHeight="1" s="241">
      <c r="B9" s="283" t="inlineStr">
        <is>
          <t>№ п/п</t>
        </is>
      </c>
      <c r="C9" s="28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3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41">
      <c r="B10" s="379" t="n"/>
      <c r="C10" s="379" t="n"/>
      <c r="D10" s="283" t="inlineStr">
        <is>
          <t>Номер сметы</t>
        </is>
      </c>
      <c r="E10" s="283" t="inlineStr">
        <is>
          <t>Наименование сметы</t>
        </is>
      </c>
      <c r="F10" s="283" t="inlineStr">
        <is>
          <t>Сметная стоимость в уровне цен 4 кв. 2017г., тыс. руб.</t>
        </is>
      </c>
      <c r="G10" s="377" t="n"/>
      <c r="H10" s="377" t="n"/>
      <c r="I10" s="377" t="n"/>
      <c r="J10" s="378" t="n"/>
    </row>
    <row r="11" ht="31.5" customHeight="1" s="241">
      <c r="B11" s="380" t="n"/>
      <c r="C11" s="380" t="n"/>
      <c r="D11" s="380" t="n"/>
      <c r="E11" s="380" t="n"/>
      <c r="F11" s="283" t="inlineStr">
        <is>
          <t>Строительные работы</t>
        </is>
      </c>
      <c r="G11" s="283" t="inlineStr">
        <is>
          <t>Монтажные работы</t>
        </is>
      </c>
      <c r="H11" s="283" t="inlineStr">
        <is>
          <t>Оборудование</t>
        </is>
      </c>
      <c r="I11" s="283" t="inlineStr">
        <is>
          <t>Прочее</t>
        </is>
      </c>
      <c r="J11" s="283" t="inlineStr">
        <is>
          <t>Всего</t>
        </is>
      </c>
    </row>
    <row r="12" ht="15" customHeight="1" s="241">
      <c r="B12" s="283" t="n"/>
      <c r="C12" s="128" t="inlineStr">
        <is>
          <t>Демонтаж трансформаторов напряжения 330 кВ</t>
        </is>
      </c>
      <c r="D12" s="283" t="n"/>
      <c r="E12" s="283" t="n"/>
      <c r="F12" s="283" t="n">
        <v>246.4955218</v>
      </c>
      <c r="G12" s="378" t="n"/>
      <c r="H12" s="283" t="n">
        <v>0</v>
      </c>
      <c r="I12" s="283" t="n"/>
      <c r="J12" s="283" t="n">
        <v>246.4955218</v>
      </c>
    </row>
    <row r="13" ht="15" customHeight="1" s="241">
      <c r="B13" s="286" t="inlineStr">
        <is>
          <t>Всего по объекту:</t>
        </is>
      </c>
      <c r="C13" s="377" t="n"/>
      <c r="D13" s="377" t="n"/>
      <c r="E13" s="378" t="n"/>
      <c r="F13" s="120" t="n"/>
      <c r="G13" s="120" t="n"/>
      <c r="H13" s="120" t="n"/>
      <c r="I13" s="120" t="n"/>
      <c r="J13" s="120" t="n"/>
    </row>
    <row r="14" ht="15.75" customHeight="1" s="241">
      <c r="B14" s="286" t="inlineStr">
        <is>
          <t>Всего по объекту в сопоставимом уровне цен 4кв. 2017г:</t>
        </is>
      </c>
      <c r="C14" s="377" t="n"/>
      <c r="D14" s="377" t="n"/>
      <c r="E14" s="378" t="n"/>
      <c r="F14" s="381">
        <f>F12</f>
        <v/>
      </c>
      <c r="G14" s="378" t="n"/>
      <c r="H14" s="120">
        <f>H12</f>
        <v/>
      </c>
      <c r="I14" s="120" t="n"/>
      <c r="J14" s="120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/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>
      <c r="C23" s="240" t="inlineStr">
        <is>
          <t>Проверил ______________________        А.В. Костянецкая</t>
        </is>
      </c>
      <c r="D23" s="238" t="n"/>
      <c r="E23" s="238" t="n"/>
    </row>
    <row r="24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6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24"/>
  <sheetViews>
    <sheetView view="pageBreakPreview" topLeftCell="A100" zoomScale="70" workbookViewId="0">
      <selection activeCell="C120" sqref="C12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6" t="inlineStr">
        <is>
          <t xml:space="preserve">Приложение № 3 </t>
        </is>
      </c>
    </row>
    <row r="3">
      <c r="A3" s="277" t="inlineStr">
        <is>
          <t>Объектная ресурсная ведомость</t>
        </is>
      </c>
    </row>
    <row r="4" ht="18.75" customHeight="1" s="241">
      <c r="A4" s="2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9" t="n"/>
    </row>
    <row r="6">
      <c r="A6" s="287" t="inlineStr">
        <is>
          <t>Наименование разрабатываемого показателя УНЦ -  Демонтаж трансформаторов напряжения 330 кВ</t>
        </is>
      </c>
    </row>
    <row r="7" s="241">
      <c r="A7" s="287" t="n"/>
      <c r="B7" s="287" t="n"/>
      <c r="C7" s="287" t="n"/>
      <c r="D7" s="287" t="n"/>
      <c r="E7" s="287" t="n"/>
      <c r="F7" s="287" t="n"/>
      <c r="G7" s="287" t="n"/>
      <c r="H7" s="287" t="n"/>
      <c r="I7" s="243" t="n"/>
      <c r="J7" s="243" t="n"/>
      <c r="K7" s="243" t="n"/>
      <c r="L7" s="243" t="n"/>
    </row>
    <row r="8">
      <c r="A8" s="287" t="n"/>
      <c r="B8" s="287" t="n"/>
      <c r="C8" s="287" t="n"/>
      <c r="D8" s="287" t="n"/>
      <c r="E8" s="287" t="n"/>
      <c r="F8" s="287" t="n"/>
      <c r="G8" s="287" t="n"/>
      <c r="H8" s="287" t="n"/>
    </row>
    <row r="9" ht="38.25" customHeight="1" s="241">
      <c r="A9" s="283" t="inlineStr">
        <is>
          <t>п/п</t>
        </is>
      </c>
      <c r="B9" s="283" t="inlineStr">
        <is>
          <t>№ЛСР</t>
        </is>
      </c>
      <c r="C9" s="283" t="inlineStr">
        <is>
          <t>Код ресурса</t>
        </is>
      </c>
      <c r="D9" s="283" t="inlineStr">
        <is>
          <t>Наименование ресурса</t>
        </is>
      </c>
      <c r="E9" s="283" t="inlineStr">
        <is>
          <t>Ед. изм.</t>
        </is>
      </c>
      <c r="F9" s="283" t="inlineStr">
        <is>
          <t>Кол-во единиц по данным объекта-представителя</t>
        </is>
      </c>
      <c r="G9" s="283" t="inlineStr">
        <is>
          <t>Сметная стоимость в ценах на 01.01.2000 (руб.)</t>
        </is>
      </c>
      <c r="H9" s="378" t="n"/>
    </row>
    <row r="10" ht="40.5" customHeight="1" s="241">
      <c r="A10" s="380" t="n"/>
      <c r="B10" s="380" t="n"/>
      <c r="C10" s="380" t="n"/>
      <c r="D10" s="380" t="n"/>
      <c r="E10" s="380" t="n"/>
      <c r="F10" s="380" t="n"/>
      <c r="G10" s="283" t="inlineStr">
        <is>
          <t>на ед.изм.</t>
        </is>
      </c>
      <c r="H10" s="283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139">
      <c r="A12" s="293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1500.59258</v>
      </c>
      <c r="G12" s="10" t="n"/>
      <c r="H12" s="382">
        <f>SUM(H13:H24)</f>
        <v/>
      </c>
    </row>
    <row r="13">
      <c r="A13" s="140" t="n">
        <v>1</v>
      </c>
      <c r="B13" s="141" t="n"/>
      <c r="C13" s="197" t="inlineStr">
        <is>
          <t>10-30-1</t>
        </is>
      </c>
      <c r="D13" s="198" t="inlineStr">
        <is>
          <t>Инженер I категории</t>
        </is>
      </c>
      <c r="E13" s="319" t="inlineStr">
        <is>
          <t>чел.-ч.</t>
        </is>
      </c>
      <c r="F13" s="200" t="n">
        <v>210.5</v>
      </c>
      <c r="G13" s="142" t="n">
        <v>15.49</v>
      </c>
      <c r="H13" s="176">
        <f>ROUND(F13*G13,2)</f>
        <v/>
      </c>
    </row>
    <row r="14">
      <c r="A14" s="140" t="n">
        <v>2</v>
      </c>
      <c r="B14" s="141" t="n"/>
      <c r="C14" s="197" t="inlineStr">
        <is>
          <t>10-30-2</t>
        </is>
      </c>
      <c r="D14" s="198" t="inlineStr">
        <is>
          <t>Инженер II категории</t>
        </is>
      </c>
      <c r="E14" s="319" t="inlineStr">
        <is>
          <t>чел.-ч.</t>
        </is>
      </c>
      <c r="F14" s="200" t="n">
        <v>210.5</v>
      </c>
      <c r="G14" s="142" t="n">
        <v>14.09</v>
      </c>
      <c r="H14" s="176">
        <f>ROUND(F14*G14,2)</f>
        <v/>
      </c>
    </row>
    <row r="15">
      <c r="A15" s="140" t="n">
        <v>3</v>
      </c>
      <c r="B15" s="141" t="n"/>
      <c r="C15" s="197" t="inlineStr">
        <is>
          <t>1-4-0</t>
        </is>
      </c>
      <c r="D15" s="198" t="inlineStr">
        <is>
          <t>Затраты труда рабочих (средний разряд работы 4,0)</t>
        </is>
      </c>
      <c r="E15" s="319" t="inlineStr">
        <is>
          <t>чел.час</t>
        </is>
      </c>
      <c r="F15" s="200" t="n">
        <v>570.9278</v>
      </c>
      <c r="G15" s="142" t="n">
        <v>9.619999999999999</v>
      </c>
      <c r="H15" s="176">
        <f>ROUND(F15*G15,2)</f>
        <v/>
      </c>
      <c r="I15" s="243" t="n"/>
      <c r="J15" s="243" t="n"/>
      <c r="K15" s="243" t="n"/>
      <c r="L15" s="243" t="n"/>
      <c r="M15" s="224" t="n"/>
    </row>
    <row r="16">
      <c r="A16" s="140" t="n">
        <v>4</v>
      </c>
      <c r="B16" s="141" t="n"/>
      <c r="C16" s="197" t="inlineStr">
        <is>
          <t>1-3-5</t>
        </is>
      </c>
      <c r="D16" s="198" t="inlineStr">
        <is>
          <t>Затраты труда рабочих (средний разряд работы 3,5)</t>
        </is>
      </c>
      <c r="E16" s="319" t="inlineStr">
        <is>
          <t>чел.час</t>
        </is>
      </c>
      <c r="F16" s="200" t="n">
        <v>311.06378</v>
      </c>
      <c r="G16" s="142" t="n">
        <v>9.07</v>
      </c>
      <c r="H16" s="176">
        <f>ROUND(F16*G16,2)</f>
        <v/>
      </c>
      <c r="I16" s="243" t="n"/>
      <c r="J16" s="243" t="n"/>
      <c r="K16" s="243" t="n"/>
      <c r="L16" s="243" t="n"/>
      <c r="M16" s="224" t="n"/>
    </row>
    <row r="17">
      <c r="A17" s="140" t="n">
        <v>5</v>
      </c>
      <c r="B17" s="141" t="n"/>
      <c r="C17" s="197" t="inlineStr">
        <is>
          <t>1-2-9</t>
        </is>
      </c>
      <c r="D17" s="198" t="inlineStr">
        <is>
          <t>Затраты труда рабочих (средний разряд работы 2,9)</t>
        </is>
      </c>
      <c r="E17" s="319" t="inlineStr">
        <is>
          <t>чел.час</t>
        </is>
      </c>
      <c r="F17" s="200" t="n">
        <v>69.9931</v>
      </c>
      <c r="G17" s="142" t="n">
        <v>8.460000000000001</v>
      </c>
      <c r="H17" s="176">
        <f>ROUND(F17*G17,2)</f>
        <v/>
      </c>
      <c r="I17" s="243" t="n"/>
      <c r="J17" s="243" t="n"/>
      <c r="K17" s="243" t="n"/>
      <c r="L17" s="243" t="n"/>
      <c r="M17" s="224" t="n"/>
    </row>
    <row r="18">
      <c r="A18" s="140" t="n">
        <v>6</v>
      </c>
      <c r="B18" s="141" t="n"/>
      <c r="C18" s="197" t="inlineStr">
        <is>
          <t>1-1-5</t>
        </is>
      </c>
      <c r="D18" s="198" t="inlineStr">
        <is>
          <t>Затраты труда рабочих (средний разряд работы 1,5)</t>
        </is>
      </c>
      <c r="E18" s="319" t="inlineStr">
        <is>
          <t>чел.час</t>
        </is>
      </c>
      <c r="F18" s="200" t="n">
        <v>63.3371</v>
      </c>
      <c r="G18" s="142" t="n">
        <v>7.5</v>
      </c>
      <c r="H18" s="176">
        <f>ROUND(F18*G18,2)</f>
        <v/>
      </c>
      <c r="I18" s="243" t="n"/>
      <c r="J18" s="243" t="n"/>
      <c r="K18" s="243" t="n"/>
      <c r="L18" s="243" t="n"/>
      <c r="M18" s="224" t="n"/>
    </row>
    <row r="19">
      <c r="A19" s="140" t="n">
        <v>7</v>
      </c>
      <c r="B19" s="141" t="n"/>
      <c r="C19" s="197" t="inlineStr">
        <is>
          <t>1-2-8</t>
        </is>
      </c>
      <c r="D19" s="198" t="inlineStr">
        <is>
          <t>Затраты труда рабочих (средний разряд работы 2,8)</t>
        </is>
      </c>
      <c r="E19" s="319" t="inlineStr">
        <is>
          <t>чел.час</t>
        </is>
      </c>
      <c r="F19" s="200" t="n">
        <v>31.1415</v>
      </c>
      <c r="G19" s="142" t="n">
        <v>8.380000000000001</v>
      </c>
      <c r="H19" s="176">
        <f>ROUND(F19*G19,2)</f>
        <v/>
      </c>
      <c r="I19" s="243" t="n"/>
      <c r="J19" s="243" t="n"/>
      <c r="K19" s="243" t="n"/>
      <c r="L19" s="243" t="n"/>
    </row>
    <row r="20">
      <c r="A20" s="140" t="n">
        <v>8</v>
      </c>
      <c r="B20" s="141" t="n"/>
      <c r="C20" s="197" t="inlineStr">
        <is>
          <t>1-3-9</t>
        </is>
      </c>
      <c r="D20" s="198" t="inlineStr">
        <is>
          <t>Затраты труда рабочих (средний разряд работы 3,9)</t>
        </is>
      </c>
      <c r="E20" s="319" t="inlineStr">
        <is>
          <t>чел.час</t>
        </is>
      </c>
      <c r="F20" s="200" t="n">
        <v>16.7855</v>
      </c>
      <c r="G20" s="142" t="n">
        <v>9.51</v>
      </c>
      <c r="H20" s="176">
        <f>ROUND(F20*G20,2)</f>
        <v/>
      </c>
      <c r="I20" s="243" t="n"/>
      <c r="J20" s="243" t="n"/>
      <c r="K20" s="243" t="n"/>
      <c r="L20" s="243" t="n"/>
    </row>
    <row r="21">
      <c r="A21" s="140" t="n">
        <v>9</v>
      </c>
      <c r="B21" s="141" t="n"/>
      <c r="C21" s="197" t="inlineStr">
        <is>
          <t>1-3-8</t>
        </is>
      </c>
      <c r="D21" s="198" t="inlineStr">
        <is>
          <t>Затраты труда рабочих (средний разряд работы 3,8)</t>
        </is>
      </c>
      <c r="E21" s="319" t="inlineStr">
        <is>
          <t>чел.час</t>
        </is>
      </c>
      <c r="F21" s="200" t="n">
        <v>8.222099999999999</v>
      </c>
      <c r="G21" s="142" t="n">
        <v>9.4</v>
      </c>
      <c r="H21" s="176">
        <f>ROUND(F21*G21,2)</f>
        <v/>
      </c>
      <c r="I21" s="243" t="n"/>
      <c r="J21" s="243" t="n"/>
      <c r="K21" s="243" t="n"/>
      <c r="L21" s="243" t="n"/>
    </row>
    <row r="22">
      <c r="A22" s="140" t="n">
        <v>10</v>
      </c>
      <c r="B22" s="141" t="n"/>
      <c r="C22" s="197" t="inlineStr">
        <is>
          <t>1-3-4</t>
        </is>
      </c>
      <c r="D22" s="198" t="inlineStr">
        <is>
          <t>Затраты труда рабочих (средний разряд работы 3,4)</t>
        </is>
      </c>
      <c r="E22" s="319" t="inlineStr">
        <is>
          <t>чел.час</t>
        </is>
      </c>
      <c r="F22" s="200" t="n">
        <v>5.12</v>
      </c>
      <c r="G22" s="142" t="n">
        <v>8.970000000000001</v>
      </c>
      <c r="H22" s="176">
        <f>ROUND(F22*G22,2)</f>
        <v/>
      </c>
      <c r="I22" s="243" t="n"/>
      <c r="J22" s="243" t="n"/>
      <c r="K22" s="243" t="n"/>
      <c r="L22" s="243" t="n"/>
    </row>
    <row r="23">
      <c r="A23" s="140" t="n">
        <v>11</v>
      </c>
      <c r="B23" s="141" t="n"/>
      <c r="C23" s="197" t="inlineStr">
        <is>
          <t>1-2-0</t>
        </is>
      </c>
      <c r="D23" s="198" t="inlineStr">
        <is>
          <t>Затраты труда рабочих (средний разряд работы 2,0)</t>
        </is>
      </c>
      <c r="E23" s="319" t="inlineStr">
        <is>
          <t>чел.час</t>
        </is>
      </c>
      <c r="F23" s="200" t="n">
        <v>1.7368</v>
      </c>
      <c r="G23" s="142" t="n">
        <v>7.8</v>
      </c>
      <c r="H23" s="176">
        <f>ROUND(F23*G23,2)</f>
        <v/>
      </c>
      <c r="I23" s="243" t="n"/>
      <c r="J23" s="243" t="n"/>
      <c r="K23" s="243" t="n"/>
      <c r="L23" s="243" t="n"/>
    </row>
    <row r="24">
      <c r="A24" s="140" t="n">
        <v>12</v>
      </c>
      <c r="B24" s="141" t="n"/>
      <c r="C24" s="197" t="inlineStr">
        <is>
          <t>1-3-2</t>
        </is>
      </c>
      <c r="D24" s="198" t="inlineStr">
        <is>
          <t>Затраты труда рабочих (средний разряд работы 3,2)</t>
        </is>
      </c>
      <c r="E24" s="319" t="inlineStr">
        <is>
          <t>чел.час</t>
        </is>
      </c>
      <c r="F24" s="200" t="n">
        <v>1.2649</v>
      </c>
      <c r="G24" s="142" t="n">
        <v>8.74</v>
      </c>
      <c r="H24" s="176">
        <f>ROUND(F24*G24,2)</f>
        <v/>
      </c>
      <c r="I24" s="243" t="n"/>
      <c r="J24" s="243" t="n"/>
      <c r="K24" s="243" t="n"/>
      <c r="L24" s="243" t="n"/>
    </row>
    <row r="25">
      <c r="A25" s="289" t="inlineStr">
        <is>
          <t>Затраты труда машинистов</t>
        </is>
      </c>
      <c r="B25" s="377" t="n"/>
      <c r="C25" s="377" t="n"/>
      <c r="D25" s="377" t="n"/>
      <c r="E25" s="378" t="n"/>
      <c r="F25" s="293" t="n"/>
      <c r="G25" s="143" t="n"/>
      <c r="H25" s="382">
        <f>H26</f>
        <v/>
      </c>
    </row>
    <row r="26">
      <c r="A26" s="301" t="n">
        <v>13</v>
      </c>
      <c r="B26" s="291" t="n"/>
      <c r="C26" s="201" t="n">
        <v>2</v>
      </c>
      <c r="D26" s="304" t="inlineStr">
        <is>
          <t>Затраты труда машинистов</t>
        </is>
      </c>
      <c r="E26" s="301" t="inlineStr">
        <is>
          <t>чел.-ч</t>
        </is>
      </c>
      <c r="F26" s="305" t="n">
        <v>145.3908</v>
      </c>
      <c r="G26" s="142" t="n"/>
      <c r="H26" s="318" t="n">
        <v>1746.89</v>
      </c>
    </row>
    <row r="27" customFormat="1" s="139">
      <c r="A27" s="293" t="inlineStr">
        <is>
          <t>Машины и механизмы</t>
        </is>
      </c>
      <c r="B27" s="377" t="n"/>
      <c r="C27" s="377" t="n"/>
      <c r="D27" s="377" t="n"/>
      <c r="E27" s="378" t="n"/>
      <c r="F27" s="293" t="n"/>
      <c r="G27" s="143" t="n"/>
      <c r="H27" s="382">
        <f>SUM(H28:H54)</f>
        <v/>
      </c>
    </row>
    <row r="28" ht="25.5" customHeight="1" s="241">
      <c r="A28" s="301" t="n">
        <v>14</v>
      </c>
      <c r="B28" s="291" t="n"/>
      <c r="C28" s="201" t="inlineStr">
        <is>
          <t>91.11.01-012</t>
        </is>
      </c>
      <c r="D28" s="304" t="inlineStr">
        <is>
          <t>Машины монтажные для выполнения работ при прокладке и монтаже кабеля на базе автомобиля</t>
        </is>
      </c>
      <c r="E28" s="301" t="inlineStr">
        <is>
          <t>маш.час</t>
        </is>
      </c>
      <c r="F28" s="301" t="n">
        <v>48</v>
      </c>
      <c r="G28" s="318" t="n">
        <v>110.86</v>
      </c>
      <c r="H28" s="176">
        <f>ROUND(F28*G28,2)</f>
        <v/>
      </c>
      <c r="I28" s="145" t="n"/>
      <c r="J28" s="146" t="n"/>
      <c r="L28" s="145" t="n"/>
    </row>
    <row r="29" ht="25.5" customFormat="1" customHeight="1" s="139">
      <c r="A29" s="301" t="n">
        <v>15</v>
      </c>
      <c r="B29" s="291" t="n"/>
      <c r="C29" s="201" t="inlineStr">
        <is>
          <t>91.05.05-014</t>
        </is>
      </c>
      <c r="D29" s="304" t="inlineStr">
        <is>
          <t>Краны на автомобильном ходу, грузоподъемность 10 т</t>
        </is>
      </c>
      <c r="E29" s="301" t="inlineStr">
        <is>
          <t>маш.час</t>
        </is>
      </c>
      <c r="F29" s="301" t="n">
        <v>39.74</v>
      </c>
      <c r="G29" s="318" t="n">
        <v>111.99</v>
      </c>
      <c r="H29" s="176">
        <f>ROUND(F29*G29,2)</f>
        <v/>
      </c>
      <c r="I29" s="145" t="n"/>
      <c r="L29" s="145" t="n"/>
    </row>
    <row r="30" ht="38.25" customHeight="1" s="241">
      <c r="A30" s="301" t="n">
        <v>16</v>
      </c>
      <c r="B30" s="291" t="n"/>
      <c r="C30" s="201" t="inlineStr">
        <is>
          <t>91.18.01-012</t>
        </is>
      </c>
      <c r="D30" s="304" t="inlineStr">
        <is>
          <t>Компрессоры передвижные с электродвигателем давлением 600 кПа (6 ат), производительность: до 3,5 м3/мин</t>
        </is>
      </c>
      <c r="E30" s="301" t="inlineStr">
        <is>
          <t>маш.час</t>
        </is>
      </c>
      <c r="F30" s="301" t="n">
        <v>98.19</v>
      </c>
      <c r="G30" s="318" t="n">
        <v>32.5</v>
      </c>
      <c r="H30" s="176">
        <f>ROUND(F30*G30,2)</f>
        <v/>
      </c>
      <c r="I30" s="145" t="n"/>
      <c r="L30" s="145" t="n"/>
    </row>
    <row r="31">
      <c r="A31" s="301" t="n">
        <v>17</v>
      </c>
      <c r="B31" s="291" t="n"/>
      <c r="C31" s="201" t="inlineStr">
        <is>
          <t>91.10.01-002</t>
        </is>
      </c>
      <c r="D31" s="304" t="inlineStr">
        <is>
          <t>Агрегаты наполнительно-опрессовочные: до 300 м3/ч</t>
        </is>
      </c>
      <c r="E31" s="301" t="inlineStr">
        <is>
          <t>маш.час</t>
        </is>
      </c>
      <c r="F31" s="301" t="n">
        <v>8.25</v>
      </c>
      <c r="G31" s="318" t="n">
        <v>287.99</v>
      </c>
      <c r="H31" s="176">
        <f>ROUND(F31*G31,2)</f>
        <v/>
      </c>
      <c r="I31" s="145" t="n"/>
      <c r="L31" s="145" t="n"/>
    </row>
    <row r="32" ht="25.5" customHeight="1" s="241">
      <c r="A32" s="301" t="n">
        <v>18</v>
      </c>
      <c r="B32" s="291" t="n"/>
      <c r="C32" s="201" t="inlineStr">
        <is>
          <t>91.06.03-058</t>
        </is>
      </c>
      <c r="D32" s="304" t="inlineStr">
        <is>
          <t>Лебедки электрические тяговым усилием: 156,96 кН (16 т)</t>
        </is>
      </c>
      <c r="E32" s="301" t="inlineStr">
        <is>
          <t>маш.час</t>
        </is>
      </c>
      <c r="F32" s="301" t="n">
        <v>8.25</v>
      </c>
      <c r="G32" s="318" t="n">
        <v>131.44</v>
      </c>
      <c r="H32" s="176">
        <f>ROUND(F32*G32,2)</f>
        <v/>
      </c>
      <c r="I32" s="145" t="n"/>
      <c r="L32" s="145" t="n"/>
    </row>
    <row r="33">
      <c r="A33" s="301" t="n">
        <v>19</v>
      </c>
      <c r="B33" s="291" t="n"/>
      <c r="C33" s="201" t="inlineStr">
        <is>
          <t>91.14.02-001</t>
        </is>
      </c>
      <c r="D33" s="304" t="inlineStr">
        <is>
          <t>Автомобили бортовые, грузоподъемность: до 5 т</t>
        </is>
      </c>
      <c r="E33" s="301" t="inlineStr">
        <is>
          <t>маш.час</t>
        </is>
      </c>
      <c r="F33" s="301" t="n">
        <v>14.24</v>
      </c>
      <c r="G33" s="318" t="n">
        <v>65.70999999999999</v>
      </c>
      <c r="H33" s="176">
        <f>ROUND(F33*G33,2)</f>
        <v/>
      </c>
      <c r="I33" s="145" t="n"/>
      <c r="L33" s="145" t="n"/>
    </row>
    <row r="34" ht="38.25" customHeight="1" s="241">
      <c r="A34" s="301" t="n">
        <v>20</v>
      </c>
      <c r="B34" s="291" t="n"/>
      <c r="C34" s="201" t="inlineStr">
        <is>
          <t>03-21-01-010</t>
        </is>
      </c>
      <c r="D34" s="304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E34" s="301" t="inlineStr">
        <is>
          <t>1 т груза</t>
        </is>
      </c>
      <c r="F34" s="301" t="n">
        <v>48.816</v>
      </c>
      <c r="G34" s="318" t="n">
        <v>11.42</v>
      </c>
      <c r="H34" s="176">
        <f>ROUND(F34*G34,2)</f>
        <v/>
      </c>
      <c r="I34" s="145" t="n"/>
      <c r="L34" s="145" t="n"/>
    </row>
    <row r="35" ht="25.5" customHeight="1" s="241">
      <c r="A35" s="301" t="n">
        <v>21</v>
      </c>
      <c r="B35" s="291" t="n"/>
      <c r="C35" s="201" t="inlineStr">
        <is>
          <t>91.17.04-233</t>
        </is>
      </c>
      <c r="D35" s="304" t="inlineStr">
        <is>
          <t>Установки для сварки: ручной дуговой (постоянного тока)</t>
        </is>
      </c>
      <c r="E35" s="301" t="inlineStr">
        <is>
          <t>маш.час</t>
        </is>
      </c>
      <c r="F35" s="301" t="n">
        <v>68.23</v>
      </c>
      <c r="G35" s="318" t="n">
        <v>8.1</v>
      </c>
      <c r="H35" s="176">
        <f>ROUND(F35*G35,2)</f>
        <v/>
      </c>
      <c r="I35" s="145" t="n"/>
      <c r="L35" s="145" t="n"/>
    </row>
    <row r="36">
      <c r="A36" s="301" t="n">
        <v>22</v>
      </c>
      <c r="B36" s="291" t="n"/>
      <c r="C36" s="201" t="inlineStr">
        <is>
          <t>91.06.06-042</t>
        </is>
      </c>
      <c r="D36" s="304" t="inlineStr">
        <is>
          <t>Подъемники гидравлические высотой подъема: 10 м</t>
        </is>
      </c>
      <c r="E36" s="301" t="inlineStr">
        <is>
          <t>маш.час</t>
        </is>
      </c>
      <c r="F36" s="301" t="n">
        <v>15.88</v>
      </c>
      <c r="G36" s="318" t="n">
        <v>29.6</v>
      </c>
      <c r="H36" s="176">
        <f>ROUND(F36*G36,2)</f>
        <v/>
      </c>
      <c r="I36" s="145" t="n"/>
      <c r="L36" s="145" t="n"/>
    </row>
    <row r="37" ht="25.5" customHeight="1" s="241">
      <c r="A37" s="301" t="n">
        <v>23</v>
      </c>
      <c r="B37" s="291" t="n"/>
      <c r="C37" s="201" t="inlineStr">
        <is>
          <t>91.05.06-012</t>
        </is>
      </c>
      <c r="D37" s="304" t="inlineStr">
        <is>
          <t>Краны на гусеничном ходу, грузоподъемность до 16 т</t>
        </is>
      </c>
      <c r="E37" s="301" t="inlineStr">
        <is>
          <t>маш.час</t>
        </is>
      </c>
      <c r="F37" s="301" t="n">
        <v>3.53</v>
      </c>
      <c r="G37" s="318" t="n">
        <v>96.89</v>
      </c>
      <c r="H37" s="176">
        <f>ROUND(F37*G37,2)</f>
        <v/>
      </c>
      <c r="I37" s="145" t="n"/>
      <c r="L37" s="145" t="n"/>
    </row>
    <row r="38" ht="25.5" customHeight="1" s="241">
      <c r="A38" s="301" t="n">
        <v>24</v>
      </c>
      <c r="B38" s="291" t="n"/>
      <c r="C38" s="201" t="inlineStr">
        <is>
          <t>91.21.10-003</t>
        </is>
      </c>
      <c r="D38" s="304" t="inlineStr">
        <is>
          <t>Молотки при работе от передвижных компрессорных станций: отбойные пневматические</t>
        </is>
      </c>
      <c r="E38" s="301" t="inlineStr">
        <is>
          <t>маш.час</t>
        </is>
      </c>
      <c r="F38" s="301" t="n">
        <v>196.39</v>
      </c>
      <c r="G38" s="318" t="n">
        <v>1.53</v>
      </c>
      <c r="H38" s="176">
        <f>ROUND(F38*G38,2)</f>
        <v/>
      </c>
      <c r="I38" s="145" t="n"/>
      <c r="L38" s="145" t="n"/>
    </row>
    <row r="39" ht="25.5" customHeight="1" s="241">
      <c r="A39" s="301" t="n">
        <v>25</v>
      </c>
      <c r="B39" s="291" t="n"/>
      <c r="C39" s="201" t="inlineStr">
        <is>
          <t>91.01.05-106</t>
        </is>
      </c>
      <c r="D39" s="304" t="inlineStr">
        <is>
          <t>Экскаваторы одноковшовые дизельные на пневмоколесном ходу, емкость ковша 0,25 м3</t>
        </is>
      </c>
      <c r="E39" s="301" t="inlineStr">
        <is>
          <t>маш.час</t>
        </is>
      </c>
      <c r="F39" s="301" t="n">
        <v>2.96</v>
      </c>
      <c r="G39" s="318" t="n">
        <v>70.01000000000001</v>
      </c>
      <c r="H39" s="176">
        <f>ROUND(F39*G39,2)</f>
        <v/>
      </c>
      <c r="I39" s="145" t="n"/>
      <c r="L39" s="145" t="n"/>
    </row>
    <row r="40" ht="25.5" customHeight="1" s="241">
      <c r="A40" s="301" t="n">
        <v>26</v>
      </c>
      <c r="B40" s="291" t="n"/>
      <c r="C40" s="201" t="inlineStr">
        <is>
          <t>91.01.05-087</t>
        </is>
      </c>
      <c r="D40" s="304" t="inlineStr">
        <is>
          <t>Экскаваторы одноковшовые дизельные на гусеничном ходу, емкость ковша 1 м3</t>
        </is>
      </c>
      <c r="E40" s="301" t="inlineStr">
        <is>
          <t>маш.час</t>
        </is>
      </c>
      <c r="F40" s="301" t="n">
        <v>0.67</v>
      </c>
      <c r="G40" s="318" t="n">
        <v>122.9</v>
      </c>
      <c r="H40" s="176">
        <f>ROUND(F40*G40,2)</f>
        <v/>
      </c>
      <c r="I40" s="145" t="n"/>
      <c r="L40" s="145" t="n"/>
    </row>
    <row r="41">
      <c r="A41" s="301" t="n">
        <v>27</v>
      </c>
      <c r="B41" s="291" t="n"/>
      <c r="C41" s="201" t="inlineStr">
        <is>
          <t>91.17.04-042</t>
        </is>
      </c>
      <c r="D41" s="304" t="inlineStr">
        <is>
          <t>Аппарат для газовой сварки и резки</t>
        </is>
      </c>
      <c r="E41" s="301" t="inlineStr">
        <is>
          <t>маш.час</t>
        </is>
      </c>
      <c r="F41" s="301" t="n">
        <v>42.57</v>
      </c>
      <c r="G41" s="318" t="n">
        <v>1.2</v>
      </c>
      <c r="H41" s="176">
        <f>ROUND(F41*G41,2)</f>
        <v/>
      </c>
      <c r="I41" s="145" t="n"/>
      <c r="L41" s="145" t="n"/>
    </row>
    <row r="42">
      <c r="A42" s="301" t="n">
        <v>28</v>
      </c>
      <c r="B42" s="291" t="n"/>
      <c r="C42" s="201" t="inlineStr">
        <is>
          <t>91.08.04-021</t>
        </is>
      </c>
      <c r="D42" s="304" t="inlineStr">
        <is>
          <t>Котлы битумные: передвижные 400 л</t>
        </is>
      </c>
      <c r="E42" s="301" t="inlineStr">
        <is>
          <t>маш.час</t>
        </is>
      </c>
      <c r="F42" s="301" t="n">
        <v>1.54</v>
      </c>
      <c r="G42" s="318" t="n">
        <v>30</v>
      </c>
      <c r="H42" s="176">
        <f>ROUND(F42*G42,2)</f>
        <v/>
      </c>
      <c r="I42" s="145" t="n"/>
      <c r="L42" s="145" t="n"/>
    </row>
    <row r="43">
      <c r="A43" s="301" t="n">
        <v>29</v>
      </c>
      <c r="B43" s="291" t="n"/>
      <c r="C43" s="201" t="inlineStr">
        <is>
          <t>91.01.01-034</t>
        </is>
      </c>
      <c r="D43" s="304" t="inlineStr">
        <is>
          <t>Бульдозеры, мощность 59 кВт (80 л.с.)</t>
        </is>
      </c>
      <c r="E43" s="301" t="inlineStr">
        <is>
          <t>маш.час</t>
        </is>
      </c>
      <c r="F43" s="301" t="n">
        <v>0.6899999999999999</v>
      </c>
      <c r="G43" s="318" t="n">
        <v>59.47</v>
      </c>
      <c r="H43" s="176">
        <f>ROUND(F43*G43,2)</f>
        <v/>
      </c>
      <c r="I43" s="145" t="n"/>
      <c r="L43" s="145" t="n"/>
    </row>
    <row r="44" ht="25.5" customHeight="1" s="241">
      <c r="A44" s="301" t="n">
        <v>30</v>
      </c>
      <c r="B44" s="291" t="n"/>
      <c r="C44" s="201" t="inlineStr">
        <is>
          <t>91.06.01-003</t>
        </is>
      </c>
      <c r="D44" s="304" t="inlineStr">
        <is>
          <t>Домкраты гидравлические, грузоподъемность 63-100 т</t>
        </is>
      </c>
      <c r="E44" s="301" t="inlineStr">
        <is>
          <t>маш.час</t>
        </is>
      </c>
      <c r="F44" s="301" t="n">
        <v>16.5</v>
      </c>
      <c r="G44" s="318" t="n">
        <v>0.9</v>
      </c>
      <c r="H44" s="176">
        <f>ROUND(F44*G44,2)</f>
        <v/>
      </c>
      <c r="I44" s="145" t="n"/>
      <c r="L44" s="145" t="n"/>
    </row>
    <row r="45">
      <c r="A45" s="301" t="n">
        <v>31</v>
      </c>
      <c r="B45" s="291" t="n"/>
      <c r="C45" s="201" t="inlineStr">
        <is>
          <t>91.01.01-035</t>
        </is>
      </c>
      <c r="D45" s="304" t="inlineStr">
        <is>
          <t>Бульдозеры, мощность 79 кВт (108 л.с.)</t>
        </is>
      </c>
      <c r="E45" s="301" t="inlineStr">
        <is>
          <t>маш.час</t>
        </is>
      </c>
      <c r="F45" s="301" t="n">
        <v>0.16</v>
      </c>
      <c r="G45" s="318" t="n">
        <v>79.06999999999999</v>
      </c>
      <c r="H45" s="176">
        <f>ROUND(F45*G45,2)</f>
        <v/>
      </c>
      <c r="I45" s="145" t="n"/>
      <c r="L45" s="145" t="n"/>
    </row>
    <row r="46">
      <c r="A46" s="301" t="n">
        <v>32</v>
      </c>
      <c r="B46" s="291" t="n"/>
      <c r="C46" s="201" t="inlineStr">
        <is>
          <t>91.07.04-001</t>
        </is>
      </c>
      <c r="D46" s="304" t="inlineStr">
        <is>
          <t>Вибратор глубинный</t>
        </is>
      </c>
      <c r="E46" s="301" t="inlineStr">
        <is>
          <t>маш.час</t>
        </is>
      </c>
      <c r="F46" s="301" t="n">
        <v>2.93</v>
      </c>
      <c r="G46" s="318" t="n">
        <v>1.9</v>
      </c>
      <c r="H46" s="176">
        <f>ROUND(F46*G46,2)</f>
        <v/>
      </c>
      <c r="I46" s="145" t="n"/>
      <c r="L46" s="145" t="n"/>
    </row>
    <row r="47">
      <c r="A47" s="301" t="n">
        <v>33</v>
      </c>
      <c r="B47" s="291" t="n"/>
      <c r="C47" s="201" t="inlineStr">
        <is>
          <t>91.05.06-007</t>
        </is>
      </c>
      <c r="D47" s="304" t="inlineStr">
        <is>
          <t>Краны на гусеничном ходу, грузоподъемность 25 т</t>
        </is>
      </c>
      <c r="E47" s="301" t="inlineStr">
        <is>
          <t>маш.час</t>
        </is>
      </c>
      <c r="F47" s="301" t="n">
        <v>0.03</v>
      </c>
      <c r="G47" s="318" t="n">
        <v>120.04</v>
      </c>
      <c r="H47" s="176">
        <f>ROUND(F47*G47,2)</f>
        <v/>
      </c>
      <c r="I47" s="145" t="n"/>
      <c r="L47" s="145" t="n"/>
    </row>
    <row r="48">
      <c r="A48" s="301" t="n">
        <v>34</v>
      </c>
      <c r="B48" s="291" t="n"/>
      <c r="C48" s="201" t="inlineStr">
        <is>
          <t>91.06.05-011</t>
        </is>
      </c>
      <c r="D48" s="304" t="inlineStr">
        <is>
          <t>Погрузчик, грузоподъемность 5 т</t>
        </is>
      </c>
      <c r="E48" s="301" t="inlineStr">
        <is>
          <t>маш.час</t>
        </is>
      </c>
      <c r="F48" s="301" t="n">
        <v>0.04</v>
      </c>
      <c r="G48" s="318" t="n">
        <v>89.98999999999999</v>
      </c>
      <c r="H48" s="176">
        <f>ROUND(F48*G48,2)</f>
        <v/>
      </c>
      <c r="I48" s="145" t="n"/>
      <c r="L48" s="145" t="n"/>
    </row>
    <row r="49">
      <c r="A49" s="301" t="n">
        <v>35</v>
      </c>
      <c r="B49" s="291" t="n"/>
      <c r="C49" s="201" t="inlineStr">
        <is>
          <t>91.21.12-002</t>
        </is>
      </c>
      <c r="D49" s="304" t="inlineStr">
        <is>
          <t>Ножницы листовые кривошипные гильотинные</t>
        </is>
      </c>
      <c r="E49" s="301" t="inlineStr">
        <is>
          <t>маш.час</t>
        </is>
      </c>
      <c r="F49" s="301" t="n">
        <v>0.05</v>
      </c>
      <c r="G49" s="318" t="n">
        <v>70</v>
      </c>
      <c r="H49" s="176">
        <f>ROUND(F49*G49,2)</f>
        <v/>
      </c>
      <c r="I49" s="145" t="n"/>
      <c r="L49" s="145" t="n"/>
    </row>
    <row r="50">
      <c r="A50" s="301" t="n">
        <v>36</v>
      </c>
      <c r="B50" s="291" t="n"/>
      <c r="C50" s="201" t="inlineStr">
        <is>
          <t>91.21.16-014</t>
        </is>
      </c>
      <c r="D50" s="304" t="inlineStr">
        <is>
          <t>Пресс: листогибочный кривошипный 1000 кН (100 тс)</t>
        </is>
      </c>
      <c r="E50" s="301" t="inlineStr">
        <is>
          <t>маш.час</t>
        </is>
      </c>
      <c r="F50" s="301" t="n">
        <v>0.05</v>
      </c>
      <c r="G50" s="318" t="n">
        <v>56.24</v>
      </c>
      <c r="H50" s="176">
        <f>ROUND(F50*G50,2)</f>
        <v/>
      </c>
      <c r="I50" s="145" t="n"/>
      <c r="L50" s="145" t="n"/>
    </row>
    <row r="51">
      <c r="A51" s="301" t="n">
        <v>37</v>
      </c>
      <c r="B51" s="291" t="n"/>
      <c r="C51" s="201" t="inlineStr">
        <is>
          <t>91.21.16-013</t>
        </is>
      </c>
      <c r="D51" s="304" t="inlineStr">
        <is>
          <t>Пресс: кривошипный простого действия 25 кН (2,5 тс)</t>
        </is>
      </c>
      <c r="E51" s="301" t="inlineStr">
        <is>
          <t>маш.час</t>
        </is>
      </c>
      <c r="F51" s="301" t="n">
        <v>0.05</v>
      </c>
      <c r="G51" s="318" t="n">
        <v>16.92</v>
      </c>
      <c r="H51" s="176">
        <f>ROUND(F51*G51,2)</f>
        <v/>
      </c>
      <c r="I51" s="145" t="n"/>
      <c r="L51" s="145" t="n"/>
    </row>
    <row r="52">
      <c r="A52" s="301" t="n">
        <v>38</v>
      </c>
      <c r="B52" s="291" t="n"/>
      <c r="C52" s="201" t="inlineStr">
        <is>
          <t>91.07.04-002</t>
        </is>
      </c>
      <c r="D52" s="304" t="inlineStr">
        <is>
          <t>Вибратор поверхностный</t>
        </is>
      </c>
      <c r="E52" s="301" t="inlineStr">
        <is>
          <t>маш.час</t>
        </is>
      </c>
      <c r="F52" s="301" t="n">
        <v>1.13</v>
      </c>
      <c r="G52" s="318" t="n">
        <v>0.5</v>
      </c>
      <c r="H52" s="176">
        <f>ROUND(F52*G52,2)</f>
        <v/>
      </c>
      <c r="I52" s="145" t="n"/>
      <c r="L52" s="145" t="n"/>
    </row>
    <row r="53" ht="25.5" customHeight="1" s="241">
      <c r="A53" s="301" t="n">
        <v>39</v>
      </c>
      <c r="B53" s="291" t="n"/>
      <c r="C53" s="201" t="inlineStr">
        <is>
          <t>91.21.01-012</t>
        </is>
      </c>
      <c r="D53" s="304" t="inlineStr">
        <is>
          <t>Агрегаты окрасочные высокого давления для окраски поверхностей конструкций, мощность 1 кВт</t>
        </is>
      </c>
      <c r="E53" s="301" t="inlineStr">
        <is>
          <t>маш.час</t>
        </is>
      </c>
      <c r="F53" s="301" t="n">
        <v>0.06</v>
      </c>
      <c r="G53" s="318" t="n">
        <v>6.82</v>
      </c>
      <c r="H53" s="176">
        <f>ROUND(F53*G53,2)</f>
        <v/>
      </c>
      <c r="I53" s="145" t="n"/>
      <c r="L53" s="145" t="n"/>
    </row>
    <row r="54">
      <c r="A54" s="301" t="n">
        <v>40</v>
      </c>
      <c r="B54" s="291" t="n"/>
      <c r="C54" s="201" t="inlineStr">
        <is>
          <t>91.21.19-031</t>
        </is>
      </c>
      <c r="D54" s="304" t="inlineStr">
        <is>
          <t>Станок: сверлильный</t>
        </is>
      </c>
      <c r="E54" s="301" t="inlineStr">
        <is>
          <t>маш.час</t>
        </is>
      </c>
      <c r="F54" s="301" t="n">
        <v>0.05</v>
      </c>
      <c r="G54" s="318" t="n">
        <v>2.36</v>
      </c>
      <c r="H54" s="176">
        <f>ROUND(F54*G54,2)</f>
        <v/>
      </c>
      <c r="I54" s="145" t="n"/>
      <c r="L54" s="145" t="n"/>
    </row>
    <row r="55" ht="15" customHeight="1" s="241">
      <c r="A55" s="289" t="inlineStr">
        <is>
          <t>Оборудование</t>
        </is>
      </c>
      <c r="B55" s="377" t="n"/>
      <c r="C55" s="377" t="n"/>
      <c r="D55" s="377" t="n"/>
      <c r="E55" s="378" t="n"/>
      <c r="F55" s="10" t="n"/>
      <c r="G55" s="10" t="n"/>
      <c r="H55" s="382">
        <f>SUM(H56:H58)</f>
        <v/>
      </c>
    </row>
    <row r="56">
      <c r="A56" s="140" t="n">
        <v>41</v>
      </c>
      <c r="B56" s="289" t="n"/>
      <c r="C56" s="201" t="inlineStr">
        <is>
          <t>Прайс из СД ОП</t>
        </is>
      </c>
      <c r="D56" s="304" t="inlineStr">
        <is>
          <t>Трансформатор напряжения НАМИ-330</t>
        </is>
      </c>
      <c r="E56" s="301" t="inlineStr">
        <is>
          <t>шт.</t>
        </is>
      </c>
      <c r="F56" s="383" t="n">
        <v>3</v>
      </c>
      <c r="G56" s="176" t="n"/>
      <c r="H56" s="176">
        <f>ROUND(F56*G56,2)</f>
        <v/>
      </c>
      <c r="I56" s="147" t="n"/>
      <c r="J56" s="384" t="n"/>
    </row>
    <row r="57">
      <c r="A57" s="140" t="n">
        <v>42</v>
      </c>
      <c r="B57" s="289" t="n"/>
      <c r="C57" s="201" t="inlineStr">
        <is>
          <t>Прайс из СД ОП</t>
        </is>
      </c>
      <c r="D57" s="304" t="inlineStr">
        <is>
          <t>Шкаф ЯЗН-11-АСКУЭ</t>
        </is>
      </c>
      <c r="E57" s="301" t="inlineStr">
        <is>
          <t>шт.</t>
        </is>
      </c>
      <c r="F57" s="383" t="n">
        <v>1</v>
      </c>
      <c r="G57" s="176" t="n"/>
      <c r="H57" s="176">
        <f>ROUND(F57*G57,2)</f>
        <v/>
      </c>
      <c r="I57" s="147" t="n"/>
      <c r="J57" s="384" t="n"/>
    </row>
    <row r="58">
      <c r="A58" s="140" t="n">
        <v>43</v>
      </c>
      <c r="B58" s="289" t="n"/>
      <c r="C58" s="201" t="inlineStr">
        <is>
          <t>Прайс из СД ОП</t>
        </is>
      </c>
      <c r="D58" s="304" t="inlineStr">
        <is>
          <t>Шкаф догрузочных резисторов</t>
        </is>
      </c>
      <c r="E58" s="301" t="inlineStr">
        <is>
          <t>шт.</t>
        </is>
      </c>
      <c r="F58" s="383" t="n">
        <v>1</v>
      </c>
      <c r="G58" s="176" t="n"/>
      <c r="H58" s="176">
        <f>ROUND(F58*G58,2)</f>
        <v/>
      </c>
      <c r="I58" s="147" t="n"/>
      <c r="J58" s="384" t="n"/>
    </row>
    <row r="59">
      <c r="A59" s="290" t="inlineStr">
        <is>
          <t>Материалы</t>
        </is>
      </c>
      <c r="B59" s="377" t="n"/>
      <c r="C59" s="377" t="n"/>
      <c r="D59" s="377" t="n"/>
      <c r="E59" s="378" t="n"/>
      <c r="F59" s="290" t="n"/>
      <c r="G59" s="149" t="n"/>
      <c r="H59" s="382">
        <f>SUM(H60:H117)</f>
        <v/>
      </c>
    </row>
    <row r="60" ht="25.5" customHeight="1" s="241">
      <c r="A60" s="140" t="n">
        <v>44</v>
      </c>
      <c r="B60" s="291" t="n"/>
      <c r="C60" s="201" t="inlineStr">
        <is>
          <t>07.2.07.04-0004</t>
        </is>
      </c>
      <c r="D60" s="304" t="inlineStr">
        <is>
          <t>Конструкции стальные индивидуальные решетчатые сварные, масса 0,5-1 т</t>
        </is>
      </c>
      <c r="E60" s="301" t="inlineStr">
        <is>
          <t>т</t>
        </is>
      </c>
      <c r="F60" s="301" t="n">
        <v>0.8631</v>
      </c>
      <c r="G60" s="176" t="n">
        <v>10367.82</v>
      </c>
      <c r="H60" s="176">
        <f>ROUND(F60*G60,2)</f>
        <v/>
      </c>
      <c r="I60" s="147" t="n"/>
      <c r="K60" s="145" t="n"/>
    </row>
    <row r="61" ht="25.5" customHeight="1" s="241">
      <c r="A61" s="140" t="n">
        <v>45</v>
      </c>
      <c r="B61" s="291" t="n"/>
      <c r="C61" s="201" t="inlineStr">
        <is>
          <t>04.1.02.05-0061</t>
        </is>
      </c>
      <c r="D61" s="304" t="inlineStr">
        <is>
          <t>Смеси бетонные тяжелого бетона (БСТ), крупность заполнителя 40 мм, класс В20 (М250)</t>
        </is>
      </c>
      <c r="E61" s="301" t="inlineStr">
        <is>
          <t>м3</t>
        </is>
      </c>
      <c r="F61" s="301" t="n">
        <v>15.906</v>
      </c>
      <c r="G61" s="176" t="n">
        <v>667.83</v>
      </c>
      <c r="H61" s="176">
        <f>ROUND(F61*G61,2)</f>
        <v/>
      </c>
      <c r="I61" s="147" t="n"/>
      <c r="K61" s="145" t="n"/>
    </row>
    <row r="62" ht="25.5" customHeight="1" s="241">
      <c r="A62" s="140" t="n">
        <v>46</v>
      </c>
      <c r="B62" s="291" t="n"/>
      <c r="C62" s="201" t="inlineStr">
        <is>
          <t>21.1.06.10-0411</t>
        </is>
      </c>
      <c r="D62" s="304" t="inlineStr">
        <is>
          <t>Кабель силовой с медными жилами ВВГнг(A)-LS 5х16мк(N, РЕ)-1000</t>
        </is>
      </c>
      <c r="E62" s="301" t="inlineStr">
        <is>
          <t>1000 м</t>
        </is>
      </c>
      <c r="F62" s="301" t="n">
        <v>0.051</v>
      </c>
      <c r="G62" s="176" t="n">
        <v>98440.41</v>
      </c>
      <c r="H62" s="176">
        <f>ROUND(F62*G62,2)</f>
        <v/>
      </c>
      <c r="I62" s="147" t="n"/>
      <c r="K62" s="145" t="n"/>
    </row>
    <row r="63" ht="38.25" customHeight="1" s="241">
      <c r="A63" s="140" t="n">
        <v>47</v>
      </c>
      <c r="B63" s="291" t="n"/>
      <c r="C63" s="201" t="inlineStr">
        <is>
          <t>07.2.07.12-0019</t>
        </is>
      </c>
      <c r="D63" s="304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63" s="301" t="inlineStr">
        <is>
          <t>т</t>
        </is>
      </c>
      <c r="F63" s="301" t="n">
        <v>0.5013</v>
      </c>
      <c r="G63" s="176" t="n">
        <v>8060</v>
      </c>
      <c r="H63" s="176">
        <f>ROUND(F63*G63,2)</f>
        <v/>
      </c>
      <c r="I63" s="147" t="n"/>
    </row>
    <row r="64" ht="102" customHeight="1" s="241">
      <c r="A64" s="140" t="n">
        <v>48</v>
      </c>
      <c r="B64" s="291" t="n"/>
      <c r="C64" s="201" t="inlineStr">
        <is>
          <t>01.2.03.03-0122</t>
        </is>
      </c>
      <c r="D64" s="30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301" t="inlineStr">
        <is>
          <t>кг</t>
        </is>
      </c>
      <c r="F64" s="301" t="n">
        <v>275.975</v>
      </c>
      <c r="G64" s="176" t="n">
        <v>13.91</v>
      </c>
      <c r="H64" s="176">
        <f>ROUND(F64*G64,2)</f>
        <v/>
      </c>
      <c r="I64" s="147" t="n"/>
    </row>
    <row r="65" ht="38.25" customHeight="1" s="241">
      <c r="A65" s="140" t="n">
        <v>49</v>
      </c>
      <c r="B65" s="291" t="n"/>
      <c r="C65" s="201" t="inlineStr">
        <is>
          <t>08.4.01.01-0022</t>
        </is>
      </c>
      <c r="D65" s="30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65" s="301" t="inlineStr">
        <is>
          <t>т</t>
        </is>
      </c>
      <c r="F65" s="301" t="n">
        <v>0.314</v>
      </c>
      <c r="G65" s="176" t="n">
        <v>10100</v>
      </c>
      <c r="H65" s="176">
        <f>ROUND(F65*G65,2)</f>
        <v/>
      </c>
      <c r="I65" s="147" t="n"/>
    </row>
    <row r="66">
      <c r="A66" s="140" t="n">
        <v>50</v>
      </c>
      <c r="B66" s="291" t="n"/>
      <c r="C66" s="201" t="inlineStr">
        <is>
          <t>21.1.08.03-0574</t>
        </is>
      </c>
      <c r="D66" s="304" t="inlineStr">
        <is>
          <t>Кабель контрольный КВВГЭнг(А)-LS 4x2,5</t>
        </is>
      </c>
      <c r="E66" s="301" t="inlineStr">
        <is>
          <t>1000 м</t>
        </is>
      </c>
      <c r="F66" s="301" t="n">
        <v>0.07199999999999999</v>
      </c>
      <c r="G66" s="176" t="n">
        <v>38348.22</v>
      </c>
      <c r="H66" s="176">
        <f>ROUND(F66*G66,2)</f>
        <v/>
      </c>
      <c r="I66" s="147" t="n"/>
    </row>
    <row r="67" ht="51" customHeight="1" s="241">
      <c r="A67" s="140" t="n">
        <v>51</v>
      </c>
      <c r="B67" s="291" t="n"/>
      <c r="C67" s="201" t="inlineStr">
        <is>
          <t>21.2.01.02-0094</t>
        </is>
      </c>
      <c r="D67" s="30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67" s="301" t="inlineStr">
        <is>
          <t>т</t>
        </is>
      </c>
      <c r="F67" s="301" t="n">
        <v>0.0554</v>
      </c>
      <c r="G67" s="176" t="n">
        <v>32758.86</v>
      </c>
      <c r="H67" s="176">
        <f>ROUND(F67*G67,2)</f>
        <v/>
      </c>
      <c r="I67" s="147" t="n"/>
    </row>
    <row r="68">
      <c r="A68" s="140" t="n">
        <v>52</v>
      </c>
      <c r="B68" s="291" t="n"/>
      <c r="C68" s="201" t="inlineStr">
        <is>
          <t>20.1.01.02-0009</t>
        </is>
      </c>
      <c r="D68" s="304" t="inlineStr">
        <is>
          <t>Зажим аппаратный прессуемый: 2А6А-300-3</t>
        </is>
      </c>
      <c r="E68" s="301" t="inlineStr">
        <is>
          <t>100 шт</t>
        </is>
      </c>
      <c r="F68" s="301" t="n">
        <v>0.03</v>
      </c>
      <c r="G68" s="176" t="n">
        <v>35576</v>
      </c>
      <c r="H68" s="176">
        <f>ROUND(F68*G68,2)</f>
        <v/>
      </c>
      <c r="I68" s="147" t="n"/>
    </row>
    <row r="69">
      <c r="A69" s="140" t="n">
        <v>53</v>
      </c>
      <c r="B69" s="291" t="n"/>
      <c r="C69" s="201" t="inlineStr">
        <is>
          <t>20.1.01.02-0010</t>
        </is>
      </c>
      <c r="D69" s="304" t="inlineStr">
        <is>
          <t>Зажим аппаратный прессуемый: 2А6А-300-4</t>
        </is>
      </c>
      <c r="E69" s="301" t="inlineStr">
        <is>
          <t>100 шт</t>
        </is>
      </c>
      <c r="F69" s="301" t="n">
        <v>0.03</v>
      </c>
      <c r="G69" s="176" t="n">
        <v>35576</v>
      </c>
      <c r="H69" s="176">
        <f>ROUND(F69*G69,2)</f>
        <v/>
      </c>
      <c r="I69" s="147" t="n"/>
    </row>
    <row r="70">
      <c r="A70" s="140" t="n">
        <v>54</v>
      </c>
      <c r="B70" s="291" t="n"/>
      <c r="C70" s="201" t="inlineStr">
        <is>
          <t>04.1.02.05-0004</t>
        </is>
      </c>
      <c r="D70" s="304" t="inlineStr">
        <is>
          <t>Бетон тяжелый, класс: В10 (М150)</t>
        </is>
      </c>
      <c r="E70" s="301" t="inlineStr">
        <is>
          <t>м3</t>
        </is>
      </c>
      <c r="F70" s="301" t="n">
        <v>1.8</v>
      </c>
      <c r="G70" s="176" t="n">
        <v>490</v>
      </c>
      <c r="H70" s="176">
        <f>ROUND(F70*G70,2)</f>
        <v/>
      </c>
      <c r="I70" s="147" t="n"/>
    </row>
    <row r="71">
      <c r="A71" s="140" t="n">
        <v>55</v>
      </c>
      <c r="B71" s="291" t="n"/>
      <c r="C71" s="201" t="inlineStr">
        <is>
          <t>08.4.03.04-0001</t>
        </is>
      </c>
      <c r="D71" s="304" t="inlineStr">
        <is>
          <t>Горячекатаная арматурная сталь класса: А-I, А-II, А-III</t>
        </is>
      </c>
      <c r="E71" s="301" t="inlineStr">
        <is>
          <t>т</t>
        </is>
      </c>
      <c r="F71" s="301" t="n">
        <v>0.1537</v>
      </c>
      <c r="G71" s="176" t="n">
        <v>5650</v>
      </c>
      <c r="H71" s="176">
        <f>ROUND(F71*G71,2)</f>
        <v/>
      </c>
      <c r="I71" s="147" t="n"/>
    </row>
    <row r="72">
      <c r="A72" s="140" t="n">
        <v>56</v>
      </c>
      <c r="B72" s="291" t="n"/>
      <c r="C72" s="201" t="inlineStr">
        <is>
          <t>01.7.15.03-0042</t>
        </is>
      </c>
      <c r="D72" s="304" t="inlineStr">
        <is>
          <t>Болты с гайками и шайбами строительные</t>
        </is>
      </c>
      <c r="E72" s="301" t="inlineStr">
        <is>
          <t>кг</t>
        </is>
      </c>
      <c r="F72" s="301" t="n">
        <v>72</v>
      </c>
      <c r="G72" s="176" t="n">
        <v>9.039999999999999</v>
      </c>
      <c r="H72" s="176">
        <f>ROUND(F72*G72,2)</f>
        <v/>
      </c>
      <c r="I72" s="147" t="n"/>
    </row>
    <row r="73" ht="25.5" customHeight="1" s="241">
      <c r="A73" s="140" t="n">
        <v>57</v>
      </c>
      <c r="B73" s="291" t="n"/>
      <c r="C73" s="201" t="inlineStr">
        <is>
          <t>05.1.01.10-0131</t>
        </is>
      </c>
      <c r="D73" s="304" t="inlineStr">
        <is>
          <t>Лотки каналов и тоннелей железобетонные для прокладки коммуникаций</t>
        </is>
      </c>
      <c r="E73" s="301" t="inlineStr">
        <is>
          <t>м3</t>
        </is>
      </c>
      <c r="F73" s="301" t="n">
        <v>0.28</v>
      </c>
      <c r="G73" s="176" t="n">
        <v>1837.28</v>
      </c>
      <c r="H73" s="176">
        <f>ROUND(F73*G73,2)</f>
        <v/>
      </c>
      <c r="I73" s="147" t="n"/>
    </row>
    <row r="74">
      <c r="A74" s="140" t="n">
        <v>58</v>
      </c>
      <c r="B74" s="291" t="n"/>
      <c r="C74" s="201" t="inlineStr">
        <is>
          <t>11.2.13.04-0011</t>
        </is>
      </c>
      <c r="D74" s="304" t="inlineStr">
        <is>
          <t>Щиты: из досок толщиной 25 мм</t>
        </is>
      </c>
      <c r="E74" s="301" t="inlineStr">
        <is>
          <t>м2</t>
        </is>
      </c>
      <c r="F74" s="301" t="n">
        <v>7.608</v>
      </c>
      <c r="G74" s="176" t="n">
        <v>35.53</v>
      </c>
      <c r="H74" s="176">
        <f>ROUND(F74*G74,2)</f>
        <v/>
      </c>
      <c r="I74" s="147" t="n"/>
    </row>
    <row r="75">
      <c r="A75" s="140" t="n">
        <v>59</v>
      </c>
      <c r="B75" s="291" t="n"/>
      <c r="C75" s="201" t="inlineStr">
        <is>
          <t>01.3.02.08-0001</t>
        </is>
      </c>
      <c r="D75" s="304" t="inlineStr">
        <is>
          <t>Кислород технический: газообразный</t>
        </is>
      </c>
      <c r="E75" s="301" t="inlineStr">
        <is>
          <t>м3</t>
        </is>
      </c>
      <c r="F75" s="301" t="n">
        <v>34.8854</v>
      </c>
      <c r="G75" s="176" t="n">
        <v>6.22</v>
      </c>
      <c r="H75" s="176">
        <f>ROUND(F75*G75,2)</f>
        <v/>
      </c>
      <c r="I75" s="147" t="n"/>
    </row>
    <row r="76">
      <c r="A76" s="140" t="n">
        <v>60</v>
      </c>
      <c r="B76" s="291" t="n"/>
      <c r="C76" s="201" t="inlineStr">
        <is>
          <t>01.7.17.11-0001</t>
        </is>
      </c>
      <c r="D76" s="304" t="inlineStr">
        <is>
          <t>Бумага шлифовальная</t>
        </is>
      </c>
      <c r="E76" s="301" t="inlineStr">
        <is>
          <t>кг</t>
        </is>
      </c>
      <c r="F76" s="301" t="n">
        <v>4</v>
      </c>
      <c r="G76" s="176" t="n">
        <v>50</v>
      </c>
      <c r="H76" s="176">
        <f>ROUND(F76*G76,2)</f>
        <v/>
      </c>
      <c r="I76" s="147" t="n"/>
    </row>
    <row r="77">
      <c r="A77" s="140" t="n">
        <v>61</v>
      </c>
      <c r="B77" s="291" t="n"/>
      <c r="C77" s="201" t="inlineStr">
        <is>
          <t>02.2.05.04-1777</t>
        </is>
      </c>
      <c r="D77" s="304" t="inlineStr">
        <is>
          <t>Щебень М 800, фракция 20-40 мм, группа 2</t>
        </is>
      </c>
      <c r="E77" s="301" t="inlineStr">
        <is>
          <t>м3</t>
        </is>
      </c>
      <c r="F77" s="301" t="n">
        <v>1.8</v>
      </c>
      <c r="G77" s="176" t="n">
        <v>108.4</v>
      </c>
      <c r="H77" s="176">
        <f>ROUND(F77*G77,2)</f>
        <v/>
      </c>
      <c r="I77" s="147" t="n"/>
    </row>
    <row r="78" ht="25.5" customHeight="1" s="241">
      <c r="A78" s="140" t="n">
        <v>62</v>
      </c>
      <c r="B78" s="291" t="n"/>
      <c r="C78" s="201" t="inlineStr">
        <is>
          <t>999-9950</t>
        </is>
      </c>
      <c r="D78" s="304" t="inlineStr">
        <is>
          <t>Вспомогательные ненормируемые ресурсы (2% от Оплаты труда рабочих)</t>
        </is>
      </c>
      <c r="E78" s="301" t="inlineStr">
        <is>
          <t>руб</t>
        </is>
      </c>
      <c r="F78" s="301" t="n">
        <v>190.4059</v>
      </c>
      <c r="G78" s="176" t="n">
        <v>1</v>
      </c>
      <c r="H78" s="176">
        <f>ROUND(F78*G78,2)</f>
        <v/>
      </c>
      <c r="I78" s="147" t="n"/>
    </row>
    <row r="79">
      <c r="A79" s="140" t="n">
        <v>63</v>
      </c>
      <c r="B79" s="291" t="n"/>
      <c r="C79" s="201" t="inlineStr">
        <is>
          <t>01.7.15.07-0031</t>
        </is>
      </c>
      <c r="D79" s="304" t="inlineStr">
        <is>
          <t>Дюбели распорные с гайкой</t>
        </is>
      </c>
      <c r="E79" s="301" t="inlineStr">
        <is>
          <t>100 шт</t>
        </is>
      </c>
      <c r="F79" s="301" t="n">
        <v>1.68</v>
      </c>
      <c r="G79" s="176" t="n">
        <v>110</v>
      </c>
      <c r="H79" s="176">
        <f>ROUND(F79*G79,2)</f>
        <v/>
      </c>
      <c r="I79" s="147" t="n"/>
    </row>
    <row r="80" ht="25.5" customHeight="1" s="241">
      <c r="A80" s="140" t="n">
        <v>64</v>
      </c>
      <c r="B80" s="291" t="n"/>
      <c r="C80" s="201" t="inlineStr">
        <is>
          <t>03.2.01.01-0003</t>
        </is>
      </c>
      <c r="D80" s="304" t="inlineStr">
        <is>
          <t>Портландцемент общестроительного назначения бездобавочный, марки: 500</t>
        </is>
      </c>
      <c r="E80" s="301" t="inlineStr">
        <is>
          <t>т</t>
        </is>
      </c>
      <c r="F80" s="301" t="n">
        <v>0.378</v>
      </c>
      <c r="G80" s="176" t="n">
        <v>480</v>
      </c>
      <c r="H80" s="176">
        <f>ROUND(F80*G80,2)</f>
        <v/>
      </c>
      <c r="I80" s="147" t="n"/>
    </row>
    <row r="81" ht="25.5" customHeight="1" s="241">
      <c r="A81" s="140" t="n">
        <v>65</v>
      </c>
      <c r="B81" s="291" t="n"/>
      <c r="C81" s="201" t="inlineStr">
        <is>
          <t>08.4.03.02-0005</t>
        </is>
      </c>
      <c r="D81" s="304" t="inlineStr">
        <is>
          <t>Горячекатаная арматурная сталь гладкая класса А-I, диаметром: 14 мм</t>
        </is>
      </c>
      <c r="E81" s="301" t="inlineStr">
        <is>
          <t>т</t>
        </is>
      </c>
      <c r="F81" s="301" t="n">
        <v>0.0283</v>
      </c>
      <c r="G81" s="176" t="n">
        <v>6210</v>
      </c>
      <c r="H81" s="176">
        <f>ROUND(F81*G81,2)</f>
        <v/>
      </c>
      <c r="I81" s="147" t="n"/>
    </row>
    <row r="82">
      <c r="A82" s="140" t="n">
        <v>66</v>
      </c>
      <c r="B82" s="291" t="n"/>
      <c r="C82" s="201" t="inlineStr">
        <is>
          <t>01.3.02.03-0001</t>
        </is>
      </c>
      <c r="D82" s="304" t="inlineStr">
        <is>
          <t>Ацетилен газообразный технический</t>
        </is>
      </c>
      <c r="E82" s="301" t="inlineStr">
        <is>
          <t>м3</t>
        </is>
      </c>
      <c r="F82" s="301" t="n">
        <v>4.535</v>
      </c>
      <c r="G82" s="176" t="n">
        <v>38.51</v>
      </c>
      <c r="H82" s="176">
        <f>ROUND(F82*G82,2)</f>
        <v/>
      </c>
      <c r="I82" s="147" t="n"/>
    </row>
    <row r="83" ht="38.25" customHeight="1" s="241">
      <c r="A83" s="140" t="n">
        <v>67</v>
      </c>
      <c r="B83" s="291" t="n"/>
      <c r="C83" s="201" t="inlineStr">
        <is>
          <t>11.1.03.06-0095</t>
        </is>
      </c>
      <c r="D83" s="304" t="inlineStr">
        <is>
          <t>Доски обрезные хвойных пород длиной: 4-6,5 м, шириной 75-150 мм, толщиной 44 мм и более, III сорта</t>
        </is>
      </c>
      <c r="E83" s="301" t="inlineStr">
        <is>
          <t>м3</t>
        </is>
      </c>
      <c r="F83" s="301" t="n">
        <v>0.1103</v>
      </c>
      <c r="G83" s="176" t="n">
        <v>1056</v>
      </c>
      <c r="H83" s="176">
        <f>ROUND(F83*G83,2)</f>
        <v/>
      </c>
      <c r="I83" s="147" t="n"/>
    </row>
    <row r="84">
      <c r="A84" s="140" t="n">
        <v>68</v>
      </c>
      <c r="B84" s="291" t="n"/>
      <c r="C84" s="201" t="inlineStr">
        <is>
          <t>01.7.11.07-0034</t>
        </is>
      </c>
      <c r="D84" s="304" t="inlineStr">
        <is>
          <t>Электроды диаметром: 4 мм Э42А</t>
        </is>
      </c>
      <c r="E84" s="301" t="inlineStr">
        <is>
          <t>кг</t>
        </is>
      </c>
      <c r="F84" s="301" t="n">
        <v>10.578</v>
      </c>
      <c r="G84" s="176" t="n">
        <v>10.57</v>
      </c>
      <c r="H84" s="176">
        <f>ROUND(F84*G84,2)</f>
        <v/>
      </c>
      <c r="I84" s="147" t="n"/>
    </row>
    <row r="85">
      <c r="A85" s="140" t="n">
        <v>69</v>
      </c>
      <c r="B85" s="291" t="n"/>
      <c r="C85" s="201" t="inlineStr">
        <is>
          <t>14.4.02.09-0001</t>
        </is>
      </c>
      <c r="D85" s="304" t="inlineStr">
        <is>
          <t>Краска</t>
        </is>
      </c>
      <c r="E85" s="301" t="inlineStr">
        <is>
          <t>кг</t>
        </is>
      </c>
      <c r="F85" s="301" t="n">
        <v>2.592</v>
      </c>
      <c r="G85" s="176" t="n">
        <v>28.6</v>
      </c>
      <c r="H85" s="176">
        <f>ROUND(F85*G85,2)</f>
        <v/>
      </c>
      <c r="I85" s="147" t="n"/>
    </row>
    <row r="86">
      <c r="A86" s="140" t="n">
        <v>70</v>
      </c>
      <c r="B86" s="291" t="n"/>
      <c r="C86" s="201" t="inlineStr">
        <is>
          <t>01.7.15.06-0111</t>
        </is>
      </c>
      <c r="D86" s="304" t="inlineStr">
        <is>
          <t>Гвозди строительные</t>
        </is>
      </c>
      <c r="E86" s="301" t="inlineStr">
        <is>
          <t>т</t>
        </is>
      </c>
      <c r="F86" s="301" t="n">
        <v>0.006</v>
      </c>
      <c r="G86" s="176" t="n">
        <v>11978</v>
      </c>
      <c r="H86" s="176">
        <f>ROUND(F86*G86,2)</f>
        <v/>
      </c>
      <c r="I86" s="147" t="n"/>
    </row>
    <row r="87" ht="25.5" customHeight="1" s="241">
      <c r="A87" s="140" t="n">
        <v>71</v>
      </c>
      <c r="B87" s="291" t="n"/>
      <c r="C87" s="201" t="inlineStr">
        <is>
          <t>11.1.02.04-0031</t>
        </is>
      </c>
      <c r="D87" s="304" t="inlineStr">
        <is>
          <t>Лесоматериалы круглые хвойных пород для строительства диаметром 14-24 см, длиной 3-6,5 м</t>
        </is>
      </c>
      <c r="E87" s="301" t="inlineStr">
        <is>
          <t>м3</t>
        </is>
      </c>
      <c r="F87" s="301" t="n">
        <v>0.1061</v>
      </c>
      <c r="G87" s="176" t="n">
        <v>558.33</v>
      </c>
      <c r="H87" s="176">
        <f>ROUND(F87*G87,2)</f>
        <v/>
      </c>
      <c r="I87" s="147" t="n"/>
    </row>
    <row r="88">
      <c r="A88" s="140" t="n">
        <v>72</v>
      </c>
      <c r="B88" s="291" t="n"/>
      <c r="C88" s="201" t="inlineStr">
        <is>
          <t>08.3.07.01-0043</t>
        </is>
      </c>
      <c r="D88" s="304" t="inlineStr">
        <is>
          <t>Сталь полосовая: 40х5 мм, марка Ст3сп</t>
        </is>
      </c>
      <c r="E88" s="301" t="inlineStr">
        <is>
          <t>т</t>
        </is>
      </c>
      <c r="F88" s="301" t="n">
        <v>0.00942</v>
      </c>
      <c r="G88" s="176" t="n">
        <v>6159.22</v>
      </c>
      <c r="H88" s="176">
        <f>ROUND(F88*G88,2)</f>
        <v/>
      </c>
      <c r="I88" s="147" t="n"/>
    </row>
    <row r="89" ht="25.5" customHeight="1" s="241">
      <c r="A89" s="140" t="n">
        <v>73</v>
      </c>
      <c r="B89" s="291" t="n"/>
      <c r="C89" s="201" t="inlineStr">
        <is>
          <t>08.3.07.01-0076</t>
        </is>
      </c>
      <c r="D89" s="304" t="inlineStr">
        <is>
          <t>Сталь полосовая, марка стали: Ст3сп шириной 50-200 мм толщиной 4-5 мм</t>
        </is>
      </c>
      <c r="E89" s="301" t="inlineStr">
        <is>
          <t>т</t>
        </is>
      </c>
      <c r="F89" s="301" t="n">
        <v>0.0107</v>
      </c>
      <c r="G89" s="176" t="n">
        <v>5000</v>
      </c>
      <c r="H89" s="176">
        <f>ROUND(F89*G89,2)</f>
        <v/>
      </c>
      <c r="I89" s="147" t="n"/>
    </row>
    <row r="90">
      <c r="A90" s="140" t="n">
        <v>74</v>
      </c>
      <c r="B90" s="291" t="n"/>
      <c r="C90" s="201" t="inlineStr">
        <is>
          <t>01.3.01.03-0002</t>
        </is>
      </c>
      <c r="D90" s="304" t="inlineStr">
        <is>
          <t>Керосин для технических целей марок КТ-1, КТ-2</t>
        </is>
      </c>
      <c r="E90" s="301" t="inlineStr">
        <is>
          <t>т</t>
        </is>
      </c>
      <c r="F90" s="301" t="n">
        <v>0.0189</v>
      </c>
      <c r="G90" s="176" t="n">
        <v>2606.9</v>
      </c>
      <c r="H90" s="176">
        <f>ROUND(F90*G90,2)</f>
        <v/>
      </c>
      <c r="I90" s="147" t="n"/>
    </row>
    <row r="91" ht="25.5" customHeight="1" s="241">
      <c r="A91" s="140" t="n">
        <v>75</v>
      </c>
      <c r="B91" s="291" t="n"/>
      <c r="C91" s="201" t="inlineStr">
        <is>
          <t>11.1.03.06-0087</t>
        </is>
      </c>
      <c r="D91" s="304" t="inlineStr">
        <is>
          <t>Доски обрезные хвойных пород длиной: 4-6,5 м, шириной 75-150 мм, толщиной 25 мм, III сорта</t>
        </is>
      </c>
      <c r="E91" s="301" t="inlineStr">
        <is>
          <t>м3</t>
        </is>
      </c>
      <c r="F91" s="301" t="n">
        <v>0.0403</v>
      </c>
      <c r="G91" s="176" t="n">
        <v>1100</v>
      </c>
      <c r="H91" s="176">
        <f>ROUND(F91*G91,2)</f>
        <v/>
      </c>
      <c r="I91" s="147" t="n"/>
    </row>
    <row r="92">
      <c r="A92" s="140" t="n">
        <v>76</v>
      </c>
      <c r="B92" s="291" t="n"/>
      <c r="C92" s="201" t="inlineStr">
        <is>
          <t>01.7.11.07-0032</t>
        </is>
      </c>
      <c r="D92" s="304" t="inlineStr">
        <is>
          <t>Электроды диаметром: 4 мм Э42</t>
        </is>
      </c>
      <c r="E92" s="301" t="inlineStr">
        <is>
          <t>т</t>
        </is>
      </c>
      <c r="F92" s="301" t="n">
        <v>0.0041</v>
      </c>
      <c r="G92" s="176" t="n">
        <v>10315.01</v>
      </c>
      <c r="H92" s="176">
        <f>ROUND(F92*G92,2)</f>
        <v/>
      </c>
      <c r="I92" s="147" t="n"/>
    </row>
    <row r="93">
      <c r="A93" s="140" t="n">
        <v>77</v>
      </c>
      <c r="B93" s="291" t="n"/>
      <c r="C93" s="201" t="inlineStr">
        <is>
          <t>14.4.02.09-0301</t>
        </is>
      </c>
      <c r="D93" s="304" t="inlineStr">
        <is>
          <t>Краска "Цинол"</t>
        </is>
      </c>
      <c r="E93" s="301" t="inlineStr">
        <is>
          <t>кг</t>
        </is>
      </c>
      <c r="F93" s="301" t="n">
        <v>0.138</v>
      </c>
      <c r="G93" s="176" t="n">
        <v>238.48</v>
      </c>
      <c r="H93" s="176">
        <f>ROUND(F93*G93,2)</f>
        <v/>
      </c>
      <c r="I93" s="147" t="n"/>
    </row>
    <row r="94">
      <c r="A94" s="140" t="n">
        <v>78</v>
      </c>
      <c r="B94" s="291" t="n"/>
      <c r="C94" s="201" t="inlineStr">
        <is>
          <t>01.7.20.08-0031</t>
        </is>
      </c>
      <c r="D94" s="304" t="inlineStr">
        <is>
          <t>Бязь суровая арт. 6804</t>
        </is>
      </c>
      <c r="E94" s="301" t="inlineStr">
        <is>
          <t>10 м2</t>
        </is>
      </c>
      <c r="F94" s="301" t="n">
        <v>0.378</v>
      </c>
      <c r="G94" s="176" t="n">
        <v>79.09999999999999</v>
      </c>
      <c r="H94" s="176">
        <f>ROUND(F94*G94,2)</f>
        <v/>
      </c>
      <c r="I94" s="147" t="n"/>
    </row>
    <row r="95" ht="25.5" customHeight="1" s="241">
      <c r="A95" s="140" t="n">
        <v>79</v>
      </c>
      <c r="B95" s="291" t="n"/>
      <c r="C95" s="201" t="inlineStr">
        <is>
          <t>08.3.03.06-0002</t>
        </is>
      </c>
      <c r="D95" s="304" t="inlineStr">
        <is>
          <t>Проволока горячекатаная в мотках, диаметром 6,3-6,5 мм</t>
        </is>
      </c>
      <c r="E95" s="301" t="inlineStr">
        <is>
          <t>т</t>
        </is>
      </c>
      <c r="F95" s="301" t="n">
        <v>0.0061</v>
      </c>
      <c r="G95" s="176" t="n">
        <v>4455.2</v>
      </c>
      <c r="H95" s="176">
        <f>ROUND(F95*G95,2)</f>
        <v/>
      </c>
      <c r="I95" s="147" t="n"/>
    </row>
    <row r="96">
      <c r="A96" s="140" t="n">
        <v>80</v>
      </c>
      <c r="B96" s="291" t="n"/>
      <c r="C96" s="201" t="inlineStr">
        <is>
          <t>08.3.08.02-0022</t>
        </is>
      </c>
      <c r="D96" s="304" t="inlineStr">
        <is>
          <t>Сталь угловая: 50х50 мм</t>
        </is>
      </c>
      <c r="E96" s="301" t="inlineStr">
        <is>
          <t>т</t>
        </is>
      </c>
      <c r="F96" s="301" t="n">
        <v>0.0045</v>
      </c>
      <c r="G96" s="176" t="n">
        <v>5763</v>
      </c>
      <c r="H96" s="176">
        <f>ROUND(F96*G96,2)</f>
        <v/>
      </c>
      <c r="I96" s="147" t="n"/>
    </row>
    <row r="97">
      <c r="A97" s="140" t="n">
        <v>81</v>
      </c>
      <c r="B97" s="291" t="n"/>
      <c r="C97" s="201" t="inlineStr">
        <is>
          <t>01.7.15.07-0014</t>
        </is>
      </c>
      <c r="D97" s="304" t="inlineStr">
        <is>
          <t>Дюбели распорные полипропиленовые</t>
        </is>
      </c>
      <c r="E97" s="301" t="inlineStr">
        <is>
          <t>100 шт</t>
        </is>
      </c>
      <c r="F97" s="301" t="n">
        <v>0.2652</v>
      </c>
      <c r="G97" s="176" t="n">
        <v>86</v>
      </c>
      <c r="H97" s="176">
        <f>ROUND(F97*G97,2)</f>
        <v/>
      </c>
      <c r="I97" s="147" t="n"/>
    </row>
    <row r="98" ht="25.5" customHeight="1" s="241">
      <c r="A98" s="140" t="n">
        <v>82</v>
      </c>
      <c r="B98" s="291" t="n"/>
      <c r="C98" s="201" t="inlineStr">
        <is>
          <t>01.3.01.06-0050</t>
        </is>
      </c>
      <c r="D98" s="304" t="inlineStr">
        <is>
          <t>Смазка универсальная тугоплавкая УТ (консталин жировой)</t>
        </is>
      </c>
      <c r="E98" s="301" t="inlineStr">
        <is>
          <t>т</t>
        </is>
      </c>
      <c r="F98" s="301" t="n">
        <v>0.0011</v>
      </c>
      <c r="G98" s="176" t="n">
        <v>17500</v>
      </c>
      <c r="H98" s="176">
        <f>ROUND(F98*G98,2)</f>
        <v/>
      </c>
      <c r="I98" s="147" t="n"/>
    </row>
    <row r="99" ht="25.5" customHeight="1" s="241">
      <c r="A99" s="140" t="n">
        <v>83</v>
      </c>
      <c r="B99" s="291" t="n"/>
      <c r="C99" s="201" t="inlineStr">
        <is>
          <t>02.3.01.02-0020</t>
        </is>
      </c>
      <c r="D99" s="304" t="inlineStr">
        <is>
          <t>Песок природный для строительных: растворов средний</t>
        </is>
      </c>
      <c r="E99" s="301" t="inlineStr">
        <is>
          <t>м3</t>
        </is>
      </c>
      <c r="F99" s="301" t="n">
        <v>0.315</v>
      </c>
      <c r="G99" s="176" t="n">
        <v>59.99</v>
      </c>
      <c r="H99" s="176">
        <f>ROUND(F99*G99,2)</f>
        <v/>
      </c>
      <c r="I99" s="147" t="n"/>
    </row>
    <row r="100">
      <c r="A100" s="140" t="n">
        <v>84</v>
      </c>
      <c r="B100" s="291" t="n"/>
      <c r="C100" s="201" t="inlineStr">
        <is>
          <t>01.2.01.02-0054</t>
        </is>
      </c>
      <c r="D100" s="304" t="inlineStr">
        <is>
          <t>Битумы нефтяные строительные марки: БН-90/10</t>
        </is>
      </c>
      <c r="E100" s="301" t="inlineStr">
        <is>
          <t>т</t>
        </is>
      </c>
      <c r="F100" s="301" t="n">
        <v>0.0126</v>
      </c>
      <c r="G100" s="176" t="n">
        <v>1383.1</v>
      </c>
      <c r="H100" s="176">
        <f>ROUND(F100*G100,2)</f>
        <v/>
      </c>
      <c r="I100" s="147" t="n"/>
    </row>
    <row r="101" ht="25.5" customHeight="1" s="241">
      <c r="A101" s="140" t="n">
        <v>85</v>
      </c>
      <c r="B101" s="291" t="n"/>
      <c r="C101" s="201" t="inlineStr">
        <is>
          <t>11.1.03.01-0079</t>
        </is>
      </c>
      <c r="D101" s="304" t="inlineStr">
        <is>
          <t>Бруски обрезные хвойных пород длиной: 4-6,5 м, шириной 75-150 мм, толщиной 40-75 мм, III сорта</t>
        </is>
      </c>
      <c r="E101" s="301" t="inlineStr">
        <is>
          <t>м3</t>
        </is>
      </c>
      <c r="F101" s="301" t="n">
        <v>0.0123</v>
      </c>
      <c r="G101" s="176" t="n">
        <v>1287</v>
      </c>
      <c r="H101" s="176">
        <f>ROUND(F101*G101,2)</f>
        <v/>
      </c>
      <c r="I101" s="147" t="n"/>
    </row>
    <row r="102" ht="25.5" customHeight="1" s="241">
      <c r="A102" s="140" t="n">
        <v>86</v>
      </c>
      <c r="B102" s="291" t="n"/>
      <c r="C102" s="201" t="inlineStr">
        <is>
          <t>08.3.08.02-0091</t>
        </is>
      </c>
      <c r="D102" s="304" t="inlineStr">
        <is>
          <t>Сталь угловая, марки Ст3, перфорированная УП 35х35 мм</t>
        </is>
      </c>
      <c r="E102" s="301" t="inlineStr">
        <is>
          <t>м</t>
        </is>
      </c>
      <c r="F102" s="301" t="n">
        <v>0.95</v>
      </c>
      <c r="G102" s="176" t="n">
        <v>15.13</v>
      </c>
      <c r="H102" s="176">
        <f>ROUND(F102*G102,2)</f>
        <v/>
      </c>
      <c r="I102" s="147" t="n"/>
    </row>
    <row r="103">
      <c r="A103" s="140" t="n">
        <v>87</v>
      </c>
      <c r="B103" s="291" t="n"/>
      <c r="C103" s="201" t="inlineStr">
        <is>
          <t>01.2.03.03-0044</t>
        </is>
      </c>
      <c r="D103" s="304" t="inlineStr">
        <is>
          <t>Мастика битумно-латексная кровельная</t>
        </is>
      </c>
      <c r="E103" s="301" t="inlineStr">
        <is>
          <t>т</t>
        </is>
      </c>
      <c r="F103" s="301" t="n">
        <v>0.0035</v>
      </c>
      <c r="G103" s="176" t="n">
        <v>3039.7</v>
      </c>
      <c r="H103" s="176">
        <f>ROUND(F103*G103,2)</f>
        <v/>
      </c>
      <c r="I103" s="147" t="n"/>
    </row>
    <row r="104" ht="25.5" customHeight="1" s="241">
      <c r="A104" s="140" t="n">
        <v>88</v>
      </c>
      <c r="B104" s="291" t="n"/>
      <c r="C104" s="201" t="inlineStr">
        <is>
          <t>08.3.05.02-0052</t>
        </is>
      </c>
      <c r="D104" s="304" t="inlineStr">
        <is>
          <t>Сталь листовая горячекатаная марки Ст3 толщиной: 2-6 мм</t>
        </is>
      </c>
      <c r="E104" s="301" t="inlineStr">
        <is>
          <t>т</t>
        </is>
      </c>
      <c r="F104" s="301" t="n">
        <v>0.001</v>
      </c>
      <c r="G104" s="176" t="n">
        <v>5941.89</v>
      </c>
      <c r="H104" s="176">
        <f>ROUND(F104*G104,2)</f>
        <v/>
      </c>
      <c r="I104" s="147" t="n"/>
    </row>
    <row r="105">
      <c r="A105" s="140" t="n">
        <v>89</v>
      </c>
      <c r="B105" s="291" t="n"/>
      <c r="C105" s="201" t="inlineStr">
        <is>
          <t>01.7.11.07-0054</t>
        </is>
      </c>
      <c r="D105" s="304" t="inlineStr">
        <is>
          <t>Электроды диаметром: 6 мм Э42</t>
        </is>
      </c>
      <c r="E105" s="301" t="inlineStr">
        <is>
          <t>т</t>
        </is>
      </c>
      <c r="F105" s="301" t="n">
        <v>0.0005999999999999999</v>
      </c>
      <c r="G105" s="176" t="n">
        <v>9424</v>
      </c>
      <c r="H105" s="176">
        <f>ROUND(F105*G105,2)</f>
        <v/>
      </c>
      <c r="I105" s="147" t="n"/>
    </row>
    <row r="106">
      <c r="A106" s="140" t="n">
        <v>90</v>
      </c>
      <c r="B106" s="291" t="n"/>
      <c r="C106" s="201" t="inlineStr">
        <is>
          <t>01.7.07.12-0024</t>
        </is>
      </c>
      <c r="D106" s="304" t="inlineStr">
        <is>
          <t>Пленка полиэтиленовая толщиной: 0,15 мм</t>
        </is>
      </c>
      <c r="E106" s="301" t="inlineStr">
        <is>
          <t>м2</t>
        </is>
      </c>
      <c r="F106" s="301" t="n">
        <v>1.552</v>
      </c>
      <c r="G106" s="176" t="n">
        <v>3.62</v>
      </c>
      <c r="H106" s="176">
        <f>ROUND(F106*G106,2)</f>
        <v/>
      </c>
      <c r="I106" s="147" t="n"/>
    </row>
    <row r="107">
      <c r="A107" s="140" t="n">
        <v>91</v>
      </c>
      <c r="B107" s="291" t="n"/>
      <c r="C107" s="201" t="inlineStr">
        <is>
          <t>03.1.02.03-0011</t>
        </is>
      </c>
      <c r="D107" s="304" t="inlineStr">
        <is>
          <t>Известь строительная: негашеная комовая, сорт I</t>
        </is>
      </c>
      <c r="E107" s="301" t="inlineStr">
        <is>
          <t>т</t>
        </is>
      </c>
      <c r="F107" s="301" t="n">
        <v>0.0071</v>
      </c>
      <c r="G107" s="176" t="n">
        <v>734.5</v>
      </c>
      <c r="H107" s="176">
        <f>ROUND(F107*G107,2)</f>
        <v/>
      </c>
      <c r="I107" s="147" t="n"/>
    </row>
    <row r="108">
      <c r="A108" s="140" t="n">
        <v>92</v>
      </c>
      <c r="B108" s="291" t="n"/>
      <c r="C108" s="201" t="inlineStr">
        <is>
          <t>01.7.03.01-0001</t>
        </is>
      </c>
      <c r="D108" s="304" t="inlineStr">
        <is>
          <t>Вода</t>
        </is>
      </c>
      <c r="E108" s="301" t="inlineStr">
        <is>
          <t>м3</t>
        </is>
      </c>
      <c r="F108" s="301" t="n">
        <v>1.069</v>
      </c>
      <c r="G108" s="176" t="n">
        <v>2.44</v>
      </c>
      <c r="H108" s="176">
        <f>ROUND(F108*G108,2)</f>
        <v/>
      </c>
      <c r="I108" s="147" t="n"/>
    </row>
    <row r="109" ht="25.5" customHeight="1" s="241">
      <c r="A109" s="140" t="n">
        <v>93</v>
      </c>
      <c r="B109" s="291" t="n"/>
      <c r="C109" s="201" t="inlineStr">
        <is>
          <t>11.1.03.05-0066</t>
        </is>
      </c>
      <c r="D109" s="304" t="inlineStr">
        <is>
          <t>Доски необрезные хвойных пород длиной: 2-3,75 м, все ширины, толщиной 32-40 мм, IV сорта</t>
        </is>
      </c>
      <c r="E109" s="301" t="inlineStr">
        <is>
          <t>м3</t>
        </is>
      </c>
      <c r="F109" s="301" t="n">
        <v>0.0018</v>
      </c>
      <c r="G109" s="176" t="n">
        <v>602</v>
      </c>
      <c r="H109" s="176">
        <f>ROUND(F109*G109,2)</f>
        <v/>
      </c>
      <c r="I109" s="147" t="n"/>
    </row>
    <row r="110">
      <c r="A110" s="140" t="n">
        <v>94</v>
      </c>
      <c r="B110" s="291" t="n"/>
      <c r="C110" s="201" t="inlineStr">
        <is>
          <t>01.7.15.03-0041</t>
        </is>
      </c>
      <c r="D110" s="304" t="inlineStr">
        <is>
          <t>Болты с гайками и шайбами строительные</t>
        </is>
      </c>
      <c r="E110" s="301" t="inlineStr">
        <is>
          <t>т</t>
        </is>
      </c>
      <c r="F110" s="301" t="n">
        <v>0.0001</v>
      </c>
      <c r="G110" s="176" t="n">
        <v>9040.01</v>
      </c>
      <c r="H110" s="176">
        <f>ROUND(F110*G110,2)</f>
        <v/>
      </c>
      <c r="I110" s="147" t="n"/>
    </row>
    <row r="111">
      <c r="A111" s="140" t="n">
        <v>95</v>
      </c>
      <c r="B111" s="291" t="n"/>
      <c r="C111" s="201" t="inlineStr">
        <is>
          <t>01.7.15.07-0007</t>
        </is>
      </c>
      <c r="D111" s="304" t="inlineStr">
        <is>
          <t>Дюбели пластмассовые диаметр 14 мм</t>
        </is>
      </c>
      <c r="E111" s="301" t="inlineStr">
        <is>
          <t>100 шт</t>
        </is>
      </c>
      <c r="F111" s="301" t="n">
        <v>0.02</v>
      </c>
      <c r="G111" s="176" t="n">
        <v>26.6</v>
      </c>
      <c r="H111" s="176">
        <f>ROUND(F111*G111,2)</f>
        <v/>
      </c>
      <c r="I111" s="147" t="n"/>
    </row>
    <row r="112">
      <c r="A112" s="140" t="n">
        <v>96</v>
      </c>
      <c r="B112" s="291" t="n"/>
      <c r="C112" s="201" t="inlineStr">
        <is>
          <t>01.7.15.14-0043</t>
        </is>
      </c>
      <c r="D112" s="304" t="inlineStr">
        <is>
          <t>Шуруп самонарезающий: (LN) 3,5/11 мм</t>
        </is>
      </c>
      <c r="E112" s="301" t="inlineStr">
        <is>
          <t>100 шт</t>
        </is>
      </c>
      <c r="F112" s="301" t="n">
        <v>0.2652</v>
      </c>
      <c r="G112" s="176" t="n">
        <v>2</v>
      </c>
      <c r="H112" s="176">
        <f>ROUND(F112*G112,2)</f>
        <v/>
      </c>
      <c r="I112" s="147" t="n"/>
    </row>
    <row r="113" ht="25.5" customHeight="1" s="241">
      <c r="A113" s="140" t="n">
        <v>97</v>
      </c>
      <c r="B113" s="291" t="n"/>
      <c r="C113" s="201" t="inlineStr">
        <is>
          <t>02.2.05.04-0093</t>
        </is>
      </c>
      <c r="D113" s="304" t="inlineStr">
        <is>
          <t>Щебень из природного камня для строительных работ марка: 800, фракция 20-40 мм</t>
        </is>
      </c>
      <c r="E113" s="301" t="inlineStr">
        <is>
          <t>м3</t>
        </is>
      </c>
      <c r="F113" s="301" t="n">
        <v>0.0032</v>
      </c>
      <c r="G113" s="176" t="n">
        <v>108.4</v>
      </c>
      <c r="H113" s="176">
        <f>ROUND(F113*G113,2)</f>
        <v/>
      </c>
      <c r="I113" s="147" t="n"/>
    </row>
    <row r="114" ht="25.5" customHeight="1" s="241">
      <c r="A114" s="140" t="n">
        <v>98</v>
      </c>
      <c r="B114" s="291" t="n"/>
      <c r="C114" s="201" t="inlineStr">
        <is>
          <t>01.7.15.03-0031</t>
        </is>
      </c>
      <c r="D114" s="304" t="inlineStr">
        <is>
          <t>Болты с гайками и шайбами оцинкованные, диаметр: 6 мм</t>
        </is>
      </c>
      <c r="E114" s="301" t="inlineStr">
        <is>
          <t>кг</t>
        </is>
      </c>
      <c r="F114" s="301" t="n">
        <v>0.01</v>
      </c>
      <c r="G114" s="176" t="n">
        <v>28.22</v>
      </c>
      <c r="H114" s="176">
        <f>ROUND(F114*G114,2)</f>
        <v/>
      </c>
      <c r="I114" s="147" t="n"/>
    </row>
    <row r="115">
      <c r="A115" s="140" t="n">
        <v>99</v>
      </c>
      <c r="B115" s="291" t="n"/>
      <c r="C115" s="201" t="inlineStr">
        <is>
          <t>01.7.20.08-0051</t>
        </is>
      </c>
      <c r="D115" s="304" t="inlineStr">
        <is>
          <t>Ветошь</t>
        </is>
      </c>
      <c r="E115" s="301" t="inlineStr">
        <is>
          <t>кг</t>
        </is>
      </c>
      <c r="F115" s="301" t="n">
        <v>0.0789</v>
      </c>
      <c r="G115" s="176" t="n">
        <v>1.82</v>
      </c>
      <c r="H115" s="176">
        <f>ROUND(F115*G115,2)</f>
        <v/>
      </c>
      <c r="I115" s="147" t="n"/>
    </row>
    <row r="116" ht="51" customHeight="1" s="241">
      <c r="A116" s="140" t="n">
        <v>100</v>
      </c>
      <c r="B116" s="291" t="n"/>
      <c r="C116" s="201" t="inlineStr">
        <is>
          <t>08.2.02.11-0007</t>
        </is>
      </c>
      <c r="D116" s="30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16" s="301" t="inlineStr">
        <is>
          <t>10 м</t>
        </is>
      </c>
      <c r="F116" s="301" t="n">
        <v>0.0001</v>
      </c>
      <c r="G116" s="176" t="n">
        <v>50.24</v>
      </c>
      <c r="H116" s="176">
        <f>ROUND(F116*G116,2)</f>
        <v/>
      </c>
      <c r="I116" s="147" t="n"/>
    </row>
    <row r="117">
      <c r="A117" s="140" t="n">
        <v>101</v>
      </c>
      <c r="B117" s="291" t="n"/>
      <c r="C117" s="201" t="inlineStr">
        <is>
          <t>01.3.02.09-0022</t>
        </is>
      </c>
      <c r="D117" s="304" t="inlineStr">
        <is>
          <t>Пропан-бутан, смесь техническая</t>
        </is>
      </c>
      <c r="E117" s="301" t="inlineStr">
        <is>
          <t>кг</t>
        </is>
      </c>
      <c r="F117" s="301" t="n">
        <v>0.0016</v>
      </c>
      <c r="G117" s="176" t="n">
        <v>6.09</v>
      </c>
      <c r="H117" s="176">
        <f>ROUND(F117*G117,2)</f>
        <v/>
      </c>
      <c r="I117" s="147" t="n"/>
    </row>
    <row r="120">
      <c r="B120" s="243" t="inlineStr">
        <is>
          <t>Составил ______________________     Д.Ю. Нефедова</t>
        </is>
      </c>
    </row>
    <row r="121">
      <c r="B121" s="118" t="inlineStr">
        <is>
          <t xml:space="preserve">                         (подпись, инициалы, фамилия)</t>
        </is>
      </c>
    </row>
    <row r="123">
      <c r="B123" s="243" t="inlineStr">
        <is>
          <t>Проверил ______________________        А.В. Костянецкая</t>
        </is>
      </c>
    </row>
    <row r="124">
      <c r="B124" s="118" t="inlineStr">
        <is>
          <t xml:space="preserve">                        (подпись, инициалы, фамилия)</t>
        </is>
      </c>
    </row>
  </sheetData>
  <mergeCells count="16">
    <mergeCell ref="C9:C10"/>
    <mergeCell ref="A55:E55"/>
    <mergeCell ref="A12:E12"/>
    <mergeCell ref="A59:E59"/>
    <mergeCell ref="A3:H3"/>
    <mergeCell ref="B9:B10"/>
    <mergeCell ref="D9:D10"/>
    <mergeCell ref="E9:E10"/>
    <mergeCell ref="A9:A10"/>
    <mergeCell ref="F9:F10"/>
    <mergeCell ref="A25:E25"/>
    <mergeCell ref="A2:H2"/>
    <mergeCell ref="A4:H4"/>
    <mergeCell ref="G9:H9"/>
    <mergeCell ref="A6:H6"/>
    <mergeCell ref="A27:E27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19" zoomScale="80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1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69" t="inlineStr">
        <is>
          <t>Ресурсная модель</t>
        </is>
      </c>
    </row>
    <row r="6">
      <c r="B6" s="150" t="n"/>
      <c r="C6" s="240" t="n"/>
      <c r="D6" s="240" t="n"/>
      <c r="E6" s="240" t="n"/>
    </row>
    <row r="7" ht="25.5" customHeight="1" s="241">
      <c r="B7" s="296" t="inlineStr">
        <is>
          <t>Наименование разрабатываемого показателя УНЦ — Демонтаж трансформаторов напряжения 330 кВ</t>
        </is>
      </c>
    </row>
    <row r="8">
      <c r="B8" s="297" t="inlineStr">
        <is>
          <t>Единица измерения  — 1 ед.</t>
        </is>
      </c>
    </row>
    <row r="9">
      <c r="B9" s="150" t="n"/>
      <c r="C9" s="240" t="n"/>
      <c r="D9" s="240" t="n"/>
      <c r="E9" s="240" t="n"/>
    </row>
    <row r="10" ht="51" customHeight="1" s="241">
      <c r="B10" s="301" t="inlineStr">
        <is>
          <t>Наименование</t>
        </is>
      </c>
      <c r="C10" s="301" t="inlineStr">
        <is>
          <t>Сметная стоимость в ценах на 01.01.2023
 (руб.)</t>
        </is>
      </c>
      <c r="D10" s="301" t="inlineStr">
        <is>
          <t>Удельный вес, 
(в СМР)</t>
        </is>
      </c>
      <c r="E10" s="30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ОБ'!J17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ОБ'!J53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ОБ'!J55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ОБ'!J20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ОБ'!J64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ОБ'!J65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8">
        <f>'Прил.5 Расчет СМР и ОБ'!D71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8">
        <f>'Прил.5 Расчет СМР и ОБ'!D69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ОБ'!J60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ОБ'!J61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0">
        <f>'Прил.5 Расчет СМР и ОБ'!J74</f>
        <v/>
      </c>
      <c r="D27" s="26" t="n"/>
      <c r="E27" s="26">
        <f>C27/$C$40</f>
        <v/>
      </c>
      <c r="G27" s="152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70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0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4" t="n"/>
      <c r="E36" s="26">
        <f>C36/$C$40</f>
        <v/>
      </c>
      <c r="G36" s="153" t="n"/>
      <c r="L36" s="152" t="n"/>
    </row>
    <row r="37">
      <c r="B37" s="24" t="inlineStr">
        <is>
          <t>Авторский надзор - 0,2%</t>
        </is>
      </c>
      <c r="C37" s="170">
        <f>ROUND((C27+C32+C33+C34+C35+C29+C31+C30)*0.2%,2)</f>
        <v/>
      </c>
      <c r="D37" s="24" t="n"/>
      <c r="E37" s="26">
        <f>C37/$C$40</f>
        <v/>
      </c>
      <c r="G37" s="154" t="n"/>
      <c r="L37" s="152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ОБ'!E75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9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1"/>
  <sheetViews>
    <sheetView view="pageBreakPreview" topLeftCell="A49" zoomScale="60" workbookViewId="0">
      <selection activeCell="C77" sqref="C77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8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69" t="inlineStr">
        <is>
          <t>Расчет стоимости СМР и оборудования</t>
        </is>
      </c>
    </row>
    <row r="5" ht="12.75" customFormat="1" customHeight="1" s="240">
      <c r="A5" s="269" t="n"/>
      <c r="B5" s="269" t="n"/>
      <c r="C5" s="321" t="n"/>
      <c r="D5" s="269" t="n"/>
      <c r="E5" s="269" t="n"/>
      <c r="F5" s="269" t="n"/>
      <c r="G5" s="269" t="n"/>
      <c r="H5" s="269" t="n"/>
      <c r="I5" s="269" t="n"/>
      <c r="J5" s="269" t="n"/>
    </row>
    <row r="6" ht="12.75" customFormat="1" customHeight="1" s="240">
      <c r="A6" s="156" t="inlineStr">
        <is>
          <t>Наименование разрабатываемого показателя УНЦ</t>
        </is>
      </c>
      <c r="B6" s="157" t="n"/>
      <c r="C6" s="157" t="n"/>
      <c r="D6" s="272" t="inlineStr">
        <is>
          <t>Демонтаж трансформаторов напряжения 330 кВ</t>
        </is>
      </c>
    </row>
    <row r="7" ht="12.75" customFormat="1" customHeight="1" s="240">
      <c r="A7" s="272" t="inlineStr">
        <is>
          <t>Единица измерения  — 1 ед.</t>
        </is>
      </c>
      <c r="I7" s="296" t="n"/>
      <c r="J7" s="296" t="n"/>
    </row>
    <row r="8" ht="13.5" customFormat="1" customHeight="1" s="240">
      <c r="A8" s="272" t="n"/>
    </row>
    <row r="9" ht="27" customHeight="1" s="241">
      <c r="A9" s="301" t="inlineStr">
        <is>
          <t>№ пп.</t>
        </is>
      </c>
      <c r="B9" s="301" t="inlineStr">
        <is>
          <t>Код ресурса</t>
        </is>
      </c>
      <c r="C9" s="301" t="inlineStr">
        <is>
          <t>Наименование</t>
        </is>
      </c>
      <c r="D9" s="301" t="inlineStr">
        <is>
          <t>Ед. изм.</t>
        </is>
      </c>
      <c r="E9" s="301" t="inlineStr">
        <is>
          <t>Кол-во единиц по проектным данным</t>
        </is>
      </c>
      <c r="F9" s="301" t="inlineStr">
        <is>
          <t>Сметная стоимость в ценах на 01.01.2000 (руб.)</t>
        </is>
      </c>
      <c r="G9" s="378" t="n"/>
      <c r="H9" s="301" t="inlineStr">
        <is>
          <t>Удельный вес, %</t>
        </is>
      </c>
      <c r="I9" s="301" t="inlineStr">
        <is>
          <t>Сметная стоимость в ценах на 01.01.2023 (руб.)</t>
        </is>
      </c>
      <c r="J9" s="378" t="n"/>
      <c r="M9" s="238" t="n"/>
      <c r="N9" s="238" t="n"/>
    </row>
    <row r="10" ht="28.5" customHeight="1" s="241">
      <c r="A10" s="380" t="n"/>
      <c r="B10" s="380" t="n"/>
      <c r="C10" s="380" t="n"/>
      <c r="D10" s="380" t="n"/>
      <c r="E10" s="380" t="n"/>
      <c r="F10" s="301" t="inlineStr">
        <is>
          <t>на ед. изм.</t>
        </is>
      </c>
      <c r="G10" s="301" t="inlineStr">
        <is>
          <t>общая</t>
        </is>
      </c>
      <c r="H10" s="380" t="n"/>
      <c r="I10" s="301" t="inlineStr">
        <is>
          <t>на ед. изм.</t>
        </is>
      </c>
      <c r="J10" s="301" t="inlineStr">
        <is>
          <t>общая</t>
        </is>
      </c>
      <c r="M10" s="238" t="n"/>
      <c r="N10" s="238" t="n"/>
    </row>
    <row r="11">
      <c r="A11" s="301" t="n">
        <v>1</v>
      </c>
      <c r="B11" s="301" t="n">
        <v>2</v>
      </c>
      <c r="C11" s="301" t="n">
        <v>3</v>
      </c>
      <c r="D11" s="301" t="n">
        <v>4</v>
      </c>
      <c r="E11" s="301" t="n">
        <v>5</v>
      </c>
      <c r="F11" s="301" t="n">
        <v>6</v>
      </c>
      <c r="G11" s="301" t="n">
        <v>7</v>
      </c>
      <c r="H11" s="301" t="n">
        <v>8</v>
      </c>
      <c r="I11" s="302" t="n">
        <v>9</v>
      </c>
      <c r="J11" s="302" t="n">
        <v>10</v>
      </c>
      <c r="M11" s="238" t="n"/>
      <c r="N11" s="238" t="n"/>
    </row>
    <row r="12">
      <c r="A12" s="301" t="n"/>
      <c r="B12" s="289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3" t="n"/>
      <c r="J12" s="163" t="n"/>
    </row>
    <row r="13" ht="25.5" customHeight="1" s="241">
      <c r="A13" s="301" t="n">
        <v>1</v>
      </c>
      <c r="B13" s="201" t="inlineStr">
        <is>
          <t>1-3-6</t>
        </is>
      </c>
      <c r="C13" s="304" t="inlineStr">
        <is>
          <t>Затраты труда рабочих (средний разряд работы 3,6)</t>
        </is>
      </c>
      <c r="D13" s="301" t="inlineStr">
        <is>
          <t>чел.-ч.</t>
        </is>
      </c>
      <c r="E13" s="383" t="n">
        <v>1083.7995642702</v>
      </c>
      <c r="F13" s="176" t="n">
        <v>9.18</v>
      </c>
      <c r="G13" s="176">
        <f>SUM(Прил.3!H15:H24)</f>
        <v/>
      </c>
      <c r="H13" s="307">
        <f>G13/$G$16</f>
        <v/>
      </c>
      <c r="I13" s="176">
        <f>ФОТр.тек.!E13</f>
        <v/>
      </c>
      <c r="J13" s="176">
        <f>ROUND(I13*E13,2)</f>
        <v/>
      </c>
    </row>
    <row r="14">
      <c r="A14" s="301" t="n">
        <v>2</v>
      </c>
      <c r="B14" s="201" t="inlineStr">
        <is>
          <t>10-30-1</t>
        </is>
      </c>
      <c r="C14" s="304" t="inlineStr">
        <is>
          <t>Инженер I категории</t>
        </is>
      </c>
      <c r="D14" s="301" t="inlineStr">
        <is>
          <t>чел.-ч.</t>
        </is>
      </c>
      <c r="E14" s="383" t="n">
        <v>210.5</v>
      </c>
      <c r="F14" s="176" t="n">
        <v>15.49</v>
      </c>
      <c r="G14" s="176">
        <f>Прил.3!H13</f>
        <v/>
      </c>
      <c r="H14" s="307">
        <f>G14/$G$16</f>
        <v/>
      </c>
      <c r="I14" s="176">
        <f>ФОТр.тек.!E21</f>
        <v/>
      </c>
      <c r="J14" s="176">
        <f>ROUND(I14*E14,2)</f>
        <v/>
      </c>
    </row>
    <row r="15">
      <c r="A15" s="301" t="n">
        <v>3</v>
      </c>
      <c r="B15" s="201" t="inlineStr">
        <is>
          <t>10-30-2</t>
        </is>
      </c>
      <c r="C15" s="304" t="inlineStr">
        <is>
          <t>Инженер II категории</t>
        </is>
      </c>
      <c r="D15" s="301" t="inlineStr">
        <is>
          <t>чел.-ч.</t>
        </is>
      </c>
      <c r="E15" s="383" t="n">
        <v>210.5</v>
      </c>
      <c r="F15" s="176" t="n">
        <v>14.09</v>
      </c>
      <c r="G15" s="176">
        <f>Прил.3!H14</f>
        <v/>
      </c>
      <c r="H15" s="307">
        <f>G15/$G$16</f>
        <v/>
      </c>
      <c r="I15" s="176">
        <f>ФОТр.тек.!E29</f>
        <v/>
      </c>
      <c r="J15" s="176">
        <f>ROUND(I15*E15,2)</f>
        <v/>
      </c>
    </row>
    <row r="16" ht="25.5" customFormat="1" customHeight="1" s="238">
      <c r="A16" s="301" t="n"/>
      <c r="B16" s="301" t="n"/>
      <c r="C16" s="289" t="inlineStr">
        <is>
          <t>Итого по разделу "Затраты труда рабочих-строителей"</t>
        </is>
      </c>
      <c r="D16" s="301" t="inlineStr">
        <is>
          <t>чел.-ч.</t>
        </is>
      </c>
      <c r="E16" s="383">
        <f>SUM(E13:E15)</f>
        <v/>
      </c>
      <c r="F16" s="176" t="n"/>
      <c r="G16" s="176">
        <f>SUM(G13:G15)</f>
        <v/>
      </c>
      <c r="H16" s="308" t="n">
        <v>1</v>
      </c>
      <c r="I16" s="163" t="n"/>
      <c r="J16" s="176">
        <f>SUM(J13:J15)</f>
        <v/>
      </c>
      <c r="K16" s="385" t="n"/>
    </row>
    <row r="17" ht="38.25" customFormat="1" customHeight="1" s="238">
      <c r="A17" s="301" t="n"/>
      <c r="B17" s="301" t="n"/>
      <c r="C17" s="289" t="inlineStr">
        <is>
          <t>Итого по разделу "Затраты труда рабочих-строителей" 
(с коэффициентом на демонтаж 0,7)</t>
        </is>
      </c>
      <c r="D17" s="301" t="inlineStr">
        <is>
          <t>чел.-ч.</t>
        </is>
      </c>
      <c r="E17" s="305" t="n"/>
      <c r="F17" s="306" t="n"/>
      <c r="G17" s="176">
        <f>SUM(G16)*0.7</f>
        <v/>
      </c>
      <c r="H17" s="308" t="n">
        <v>1</v>
      </c>
      <c r="I17" s="163" t="n"/>
      <c r="J17" s="176">
        <f>SUM(J16)*0.7</f>
        <v/>
      </c>
    </row>
    <row r="18" ht="14.25" customFormat="1" customHeight="1" s="238">
      <c r="A18" s="301" t="n"/>
      <c r="B18" s="304" t="inlineStr">
        <is>
          <t>Затраты труда машинистов</t>
        </is>
      </c>
      <c r="C18" s="377" t="n"/>
      <c r="D18" s="377" t="n"/>
      <c r="E18" s="377" t="n"/>
      <c r="F18" s="377" t="n"/>
      <c r="G18" s="377" t="n"/>
      <c r="H18" s="378" t="n"/>
      <c r="I18" s="163" t="n"/>
      <c r="J18" s="163" t="n"/>
    </row>
    <row r="19" ht="14.25" customFormat="1" customHeight="1" s="238">
      <c r="A19" s="301" t="n">
        <v>4</v>
      </c>
      <c r="B19" s="301" t="n">
        <v>2</v>
      </c>
      <c r="C19" s="304" t="inlineStr">
        <is>
          <t>Затраты труда машинистов</t>
        </is>
      </c>
      <c r="D19" s="301" t="inlineStr">
        <is>
          <t>чел.-ч.</t>
        </is>
      </c>
      <c r="E19" s="383">
        <f>Прил.3!F26</f>
        <v/>
      </c>
      <c r="F19" s="176">
        <f>G19/E19</f>
        <v/>
      </c>
      <c r="G19" s="176">
        <f>Прил.3!H25</f>
        <v/>
      </c>
      <c r="H19" s="308" t="n">
        <v>1</v>
      </c>
      <c r="I19" s="176">
        <f>ROUND(F19*Прил.10!D11,2)</f>
        <v/>
      </c>
      <c r="J19" s="176">
        <f>ROUND(I19*E19,2)</f>
        <v/>
      </c>
    </row>
    <row r="20" ht="25.5" customFormat="1" customHeight="1" s="238">
      <c r="A20" s="301" t="n"/>
      <c r="B20" s="301" t="n"/>
      <c r="C20" s="172" t="inlineStr">
        <is>
          <t>Затраты труда машинистов 
(с коэффициентом на демонтаж 0,7)</t>
        </is>
      </c>
      <c r="D20" s="166" t="n"/>
      <c r="E20" s="166" t="n"/>
      <c r="F20" s="166" t="n"/>
      <c r="G20" s="170">
        <f>G19*0.7</f>
        <v/>
      </c>
      <c r="H20" s="168">
        <f>H19</f>
        <v/>
      </c>
      <c r="I20" s="169" t="n"/>
      <c r="J20" s="170">
        <f>J19*0.7</f>
        <v/>
      </c>
    </row>
    <row r="21" ht="14.25" customFormat="1" customHeight="1" s="238">
      <c r="A21" s="301" t="n"/>
      <c r="B21" s="289" t="inlineStr">
        <is>
          <t>Машины и механизмы</t>
        </is>
      </c>
      <c r="C21" s="377" t="n"/>
      <c r="D21" s="377" t="n"/>
      <c r="E21" s="377" t="n"/>
      <c r="F21" s="377" t="n"/>
      <c r="G21" s="377" t="n"/>
      <c r="H21" s="378" t="n"/>
      <c r="I21" s="163" t="n"/>
      <c r="J21" s="163" t="n"/>
    </row>
    <row r="22" ht="14.25" customFormat="1" customHeight="1" s="238">
      <c r="A22" s="301" t="n"/>
      <c r="B22" s="304" t="inlineStr">
        <is>
          <t>Основные машины и механизмы</t>
        </is>
      </c>
      <c r="C22" s="377" t="n"/>
      <c r="D22" s="377" t="n"/>
      <c r="E22" s="377" t="n"/>
      <c r="F22" s="377" t="n"/>
      <c r="G22" s="377" t="n"/>
      <c r="H22" s="378" t="n"/>
      <c r="I22" s="163" t="n"/>
      <c r="J22" s="163" t="n"/>
    </row>
    <row r="23" ht="38.25" customFormat="1" customHeight="1" s="238">
      <c r="A23" s="301" t="n">
        <v>5</v>
      </c>
      <c r="B23" s="201" t="inlineStr">
        <is>
          <t>91.11.01-012</t>
        </is>
      </c>
      <c r="C23" s="304" t="inlineStr">
        <is>
          <t>Машины монтажные для выполнения работ при прокладке и монтаже кабеля на базе автомобиля</t>
        </is>
      </c>
      <c r="D23" s="301" t="inlineStr">
        <is>
          <t>маш.час</t>
        </is>
      </c>
      <c r="E23" s="383" t="n">
        <v>48</v>
      </c>
      <c r="F23" s="306" t="n">
        <v>110.86</v>
      </c>
      <c r="G23" s="176">
        <f>ROUND(E23*F23,2)</f>
        <v/>
      </c>
      <c r="H23" s="307">
        <f>G23/$G$54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38">
      <c r="A24" s="301" t="n">
        <v>6</v>
      </c>
      <c r="B24" s="201" t="inlineStr">
        <is>
          <t>91.05.05-014</t>
        </is>
      </c>
      <c r="C24" s="304" t="inlineStr">
        <is>
          <t>Краны на автомобильном ходу, грузоподъемность 10 т</t>
        </is>
      </c>
      <c r="D24" s="301" t="inlineStr">
        <is>
          <t>маш.час</t>
        </is>
      </c>
      <c r="E24" s="383" t="n">
        <v>39.74</v>
      </c>
      <c r="F24" s="306" t="n">
        <v>111.99</v>
      </c>
      <c r="G24" s="176">
        <f>ROUND(E24*F24,2)</f>
        <v/>
      </c>
      <c r="H24" s="307">
        <f>G24/$G$54</f>
        <v/>
      </c>
      <c r="I24" s="176">
        <f>ROUND(F24*Прил.10!$D$12,2)</f>
        <v/>
      </c>
      <c r="J24" s="176">
        <f>ROUND(I24*E24,2)</f>
        <v/>
      </c>
    </row>
    <row r="25" ht="38.25" customFormat="1" customHeight="1" s="238">
      <c r="A25" s="301" t="n">
        <v>7</v>
      </c>
      <c r="B25" s="201" t="inlineStr">
        <is>
          <t>91.18.01-012</t>
        </is>
      </c>
      <c r="C25" s="304" t="inlineStr">
        <is>
          <t>Компрессоры передвижные с электродвигателем давлением 600 кПа (6 ат), производительность: до 3,5 м3/мин</t>
        </is>
      </c>
      <c r="D25" s="301" t="inlineStr">
        <is>
          <t>маш.час</t>
        </is>
      </c>
      <c r="E25" s="383" t="n">
        <v>98.19</v>
      </c>
      <c r="F25" s="306" t="n">
        <v>32.5</v>
      </c>
      <c r="G25" s="176">
        <f>ROUND(E25*F25,2)</f>
        <v/>
      </c>
      <c r="H25" s="307">
        <f>G25/$G$54</f>
        <v/>
      </c>
      <c r="I25" s="176">
        <f>ROUND(F25*Прил.10!$D$12,2)</f>
        <v/>
      </c>
      <c r="J25" s="176">
        <f>ROUND(I25*E25,2)</f>
        <v/>
      </c>
    </row>
    <row r="26" ht="25.5" customFormat="1" customHeight="1" s="238">
      <c r="A26" s="301" t="n">
        <v>8</v>
      </c>
      <c r="B26" s="201" t="inlineStr">
        <is>
          <t>91.10.01-002</t>
        </is>
      </c>
      <c r="C26" s="304" t="inlineStr">
        <is>
          <t>Агрегаты наполнительно-опрессовочные: до 300 м3/ч</t>
        </is>
      </c>
      <c r="D26" s="301" t="inlineStr">
        <is>
          <t>маш.час</t>
        </is>
      </c>
      <c r="E26" s="383" t="n">
        <v>8.25</v>
      </c>
      <c r="F26" s="306" t="n">
        <v>287.99</v>
      </c>
      <c r="G26" s="176">
        <f>ROUND(E26*F26,2)</f>
        <v/>
      </c>
      <c r="H26" s="307">
        <f>G26/$G$54</f>
        <v/>
      </c>
      <c r="I26" s="176">
        <f>ROUND(F26*Прил.10!$D$12,2)</f>
        <v/>
      </c>
      <c r="J26" s="176">
        <f>ROUND(I26*E26,2)</f>
        <v/>
      </c>
    </row>
    <row r="27" ht="25.5" customFormat="1" customHeight="1" s="238">
      <c r="A27" s="301" t="n">
        <v>9</v>
      </c>
      <c r="B27" s="201" t="inlineStr">
        <is>
          <t>91.06.03-058</t>
        </is>
      </c>
      <c r="C27" s="304" t="inlineStr">
        <is>
          <t>Лебедки электрические тяговым усилием: 156,96 кН (16 т)</t>
        </is>
      </c>
      <c r="D27" s="301" t="inlineStr">
        <is>
          <t>маш.час</t>
        </is>
      </c>
      <c r="E27" s="383" t="n">
        <v>8.25</v>
      </c>
      <c r="F27" s="306" t="n">
        <v>131.44</v>
      </c>
      <c r="G27" s="176">
        <f>ROUND(E27*F27,2)</f>
        <v/>
      </c>
      <c r="H27" s="307">
        <f>G27/$G$54</f>
        <v/>
      </c>
      <c r="I27" s="176">
        <f>ROUND(F27*Прил.10!$D$12,2)</f>
        <v/>
      </c>
      <c r="J27" s="176">
        <f>ROUND(I27*E27,2)</f>
        <v/>
      </c>
    </row>
    <row r="28" ht="25.5" customFormat="1" customHeight="1" s="238">
      <c r="A28" s="301" t="n">
        <v>10</v>
      </c>
      <c r="B28" s="201" t="inlineStr">
        <is>
          <t>91.14.02-001</t>
        </is>
      </c>
      <c r="C28" s="304" t="inlineStr">
        <is>
          <t>Автомобили бортовые, грузоподъемность: до 5 т</t>
        </is>
      </c>
      <c r="D28" s="301" t="inlineStr">
        <is>
          <t>маш.час</t>
        </is>
      </c>
      <c r="E28" s="383" t="n">
        <v>14.24</v>
      </c>
      <c r="F28" s="306" t="n">
        <v>65.70999999999999</v>
      </c>
      <c r="G28" s="176">
        <f>ROUND(E28*F28,2)</f>
        <v/>
      </c>
      <c r="H28" s="307">
        <f>G28/$G$54</f>
        <v/>
      </c>
      <c r="I28" s="176">
        <f>ROUND(F28*Прил.10!$D$12,2)</f>
        <v/>
      </c>
      <c r="J28" s="176">
        <f>ROUND(I28*E28,2)</f>
        <v/>
      </c>
    </row>
    <row r="29" ht="14.25" customFormat="1" customHeight="1" s="238">
      <c r="A29" s="301" t="n"/>
      <c r="B29" s="301" t="n"/>
      <c r="C29" s="304" t="inlineStr">
        <is>
          <t>Итого основные машины и механизмы</t>
        </is>
      </c>
      <c r="D29" s="301" t="n"/>
      <c r="E29" s="383" t="n"/>
      <c r="F29" s="176" t="n"/>
      <c r="G29" s="176">
        <f>SUM(G23:G28)</f>
        <v/>
      </c>
      <c r="H29" s="308">
        <f>G29/G54</f>
        <v/>
      </c>
      <c r="I29" s="171" t="n"/>
      <c r="J29" s="176">
        <f>SUM(J23:J28)</f>
        <v/>
      </c>
    </row>
    <row r="30" ht="25.5" customFormat="1" customHeight="1" s="238">
      <c r="A30" s="301" t="n"/>
      <c r="B30" s="301" t="n"/>
      <c r="C30" s="172" t="inlineStr">
        <is>
          <t>Итого основные машины и механизмы 
(с коэффициентом на демонтаж 0,7)</t>
        </is>
      </c>
      <c r="D30" s="301" t="n"/>
      <c r="E30" s="386" t="n"/>
      <c r="F30" s="305" t="n"/>
      <c r="G30" s="176">
        <f>G29*0.7</f>
        <v/>
      </c>
      <c r="H30" s="307">
        <f>G30/G55</f>
        <v/>
      </c>
      <c r="I30" s="176" t="n"/>
      <c r="J30" s="176">
        <f>J29*0.7</f>
        <v/>
      </c>
    </row>
    <row r="31" outlineLevel="1" ht="51" customFormat="1" customHeight="1" s="238">
      <c r="A31" s="301" t="n">
        <v>11</v>
      </c>
      <c r="B31" s="201" t="inlineStr">
        <is>
          <t>03-21-01-010</t>
        </is>
      </c>
      <c r="C31" s="304" t="inlineStr">
        <is>
          <t>Перевозка грузов автомобилями-самосвалами грузоподъемностью 10 т работающих вне карьера на расстояние: I класс груза до 10 км</t>
        </is>
      </c>
      <c r="D31" s="301" t="inlineStr">
        <is>
          <t>1 т груза</t>
        </is>
      </c>
      <c r="E31" s="383" t="n">
        <v>48.816</v>
      </c>
      <c r="F31" s="306" t="n">
        <v>11.42</v>
      </c>
      <c r="G31" s="176">
        <f>ROUND(E31*F31,2)</f>
        <v/>
      </c>
      <c r="H31" s="307">
        <f>G31/$G$54</f>
        <v/>
      </c>
      <c r="I31" s="176">
        <f>ROUND(F31*Прил.10!$D$12,2)</f>
        <v/>
      </c>
      <c r="J31" s="176">
        <f>ROUND(I31*E31,2)</f>
        <v/>
      </c>
    </row>
    <row r="32" outlineLevel="1" ht="25.5" customFormat="1" customHeight="1" s="238">
      <c r="A32" s="301" t="n">
        <v>12</v>
      </c>
      <c r="B32" s="201" t="inlineStr">
        <is>
          <t>91.17.04-233</t>
        </is>
      </c>
      <c r="C32" s="304" t="inlineStr">
        <is>
          <t>Установки для сварки: ручной дуговой (постоянного тока)</t>
        </is>
      </c>
      <c r="D32" s="301" t="inlineStr">
        <is>
          <t>маш.час</t>
        </is>
      </c>
      <c r="E32" s="383" t="n">
        <v>68.23</v>
      </c>
      <c r="F32" s="306" t="n">
        <v>8.1</v>
      </c>
      <c r="G32" s="176">
        <f>ROUND(E32*F32,2)</f>
        <v/>
      </c>
      <c r="H32" s="307">
        <f>G32/$G$54</f>
        <v/>
      </c>
      <c r="I32" s="176">
        <f>ROUND(F32*Прил.10!$D$12,2)</f>
        <v/>
      </c>
      <c r="J32" s="176">
        <f>ROUND(I32*E32,2)</f>
        <v/>
      </c>
    </row>
    <row r="33" outlineLevel="1" ht="25.5" customFormat="1" customHeight="1" s="238">
      <c r="A33" s="301" t="n">
        <v>13</v>
      </c>
      <c r="B33" s="201" t="inlineStr">
        <is>
          <t>91.06.06-042</t>
        </is>
      </c>
      <c r="C33" s="304" t="inlineStr">
        <is>
          <t>Подъемники гидравлические высотой подъема: 10 м</t>
        </is>
      </c>
      <c r="D33" s="301" t="inlineStr">
        <is>
          <t>маш.час</t>
        </is>
      </c>
      <c r="E33" s="383" t="n">
        <v>15.88</v>
      </c>
      <c r="F33" s="306" t="n">
        <v>29.6</v>
      </c>
      <c r="G33" s="176">
        <f>ROUND(E33*F33,2)</f>
        <v/>
      </c>
      <c r="H33" s="307">
        <f>G33/$G$54</f>
        <v/>
      </c>
      <c r="I33" s="176">
        <f>ROUND(F33*Прил.10!$D$12,2)</f>
        <v/>
      </c>
      <c r="J33" s="176">
        <f>ROUND(I33*E33,2)</f>
        <v/>
      </c>
    </row>
    <row r="34" outlineLevel="1" ht="25.5" customFormat="1" customHeight="1" s="238">
      <c r="A34" s="301" t="n">
        <v>14</v>
      </c>
      <c r="B34" s="201" t="inlineStr">
        <is>
          <t>91.05.06-012</t>
        </is>
      </c>
      <c r="C34" s="304" t="inlineStr">
        <is>
          <t>Краны на гусеничном ходу, грузоподъемность до 16 т</t>
        </is>
      </c>
      <c r="D34" s="301" t="inlineStr">
        <is>
          <t>маш.час</t>
        </is>
      </c>
      <c r="E34" s="383" t="n">
        <v>3.53</v>
      </c>
      <c r="F34" s="306" t="n">
        <v>96.89</v>
      </c>
      <c r="G34" s="176">
        <f>ROUND(E34*F34,2)</f>
        <v/>
      </c>
      <c r="H34" s="307">
        <f>G34/$G$54</f>
        <v/>
      </c>
      <c r="I34" s="176">
        <f>ROUND(F34*Прил.10!$D$12,2)</f>
        <v/>
      </c>
      <c r="J34" s="176">
        <f>ROUND(I34*E34,2)</f>
        <v/>
      </c>
    </row>
    <row r="35" outlineLevel="1" ht="38.25" customFormat="1" customHeight="1" s="238">
      <c r="A35" s="301" t="n">
        <v>15</v>
      </c>
      <c r="B35" s="201" t="inlineStr">
        <is>
          <t>91.21.10-003</t>
        </is>
      </c>
      <c r="C35" s="304" t="inlineStr">
        <is>
          <t>Молотки при работе от передвижных компрессорных станций: отбойные пневматические</t>
        </is>
      </c>
      <c r="D35" s="301" t="inlineStr">
        <is>
          <t>маш.час</t>
        </is>
      </c>
      <c r="E35" s="383" t="n">
        <v>196.39</v>
      </c>
      <c r="F35" s="306" t="n">
        <v>1.53</v>
      </c>
      <c r="G35" s="176">
        <f>ROUND(E35*F35,2)</f>
        <v/>
      </c>
      <c r="H35" s="307">
        <f>G35/$G$54</f>
        <v/>
      </c>
      <c r="I35" s="176">
        <f>ROUND(F35*Прил.10!$D$12,2)</f>
        <v/>
      </c>
      <c r="J35" s="176">
        <f>ROUND(I35*E35,2)</f>
        <v/>
      </c>
    </row>
    <row r="36" outlineLevel="1" ht="38.25" customFormat="1" customHeight="1" s="238">
      <c r="A36" s="301" t="n">
        <v>16</v>
      </c>
      <c r="B36" s="201" t="inlineStr">
        <is>
          <t>91.01.05-106</t>
        </is>
      </c>
      <c r="C36" s="304" t="inlineStr">
        <is>
          <t>Экскаваторы одноковшовые дизельные на пневмоколесном ходу, емкость ковша 0,25 м3</t>
        </is>
      </c>
      <c r="D36" s="301" t="inlineStr">
        <is>
          <t>маш.час</t>
        </is>
      </c>
      <c r="E36" s="383" t="n">
        <v>2.96</v>
      </c>
      <c r="F36" s="306" t="n">
        <v>70.01000000000001</v>
      </c>
      <c r="G36" s="176">
        <f>ROUND(E36*F36,2)</f>
        <v/>
      </c>
      <c r="H36" s="307">
        <f>G36/$G$54</f>
        <v/>
      </c>
      <c r="I36" s="176">
        <f>ROUND(F36*Прил.10!$D$12,2)</f>
        <v/>
      </c>
      <c r="J36" s="176">
        <f>ROUND(I36*E36,2)</f>
        <v/>
      </c>
    </row>
    <row r="37" outlineLevel="1" ht="25.5" customFormat="1" customHeight="1" s="238">
      <c r="A37" s="301" t="n">
        <v>17</v>
      </c>
      <c r="B37" s="201" t="inlineStr">
        <is>
          <t>91.01.05-087</t>
        </is>
      </c>
      <c r="C37" s="304" t="inlineStr">
        <is>
          <t>Экскаваторы одноковшовые дизельные на гусеничном ходу, емкость ковша 1 м3</t>
        </is>
      </c>
      <c r="D37" s="301" t="inlineStr">
        <is>
          <t>маш.час</t>
        </is>
      </c>
      <c r="E37" s="383" t="n">
        <v>0.67</v>
      </c>
      <c r="F37" s="306" t="n">
        <v>122.9</v>
      </c>
      <c r="G37" s="176">
        <f>ROUND(E37*F37,2)</f>
        <v/>
      </c>
      <c r="H37" s="307">
        <f>G37/$G$54</f>
        <v/>
      </c>
      <c r="I37" s="176">
        <f>ROUND(F37*Прил.10!$D$12,2)</f>
        <v/>
      </c>
      <c r="J37" s="176">
        <f>ROUND(I37*E37,2)</f>
        <v/>
      </c>
    </row>
    <row r="38" outlineLevel="1" ht="14.25" customFormat="1" customHeight="1" s="238">
      <c r="A38" s="301" t="n">
        <v>18</v>
      </c>
      <c r="B38" s="201" t="inlineStr">
        <is>
          <t>91.17.04-042</t>
        </is>
      </c>
      <c r="C38" s="304" t="inlineStr">
        <is>
          <t>Аппарат для газовой сварки и резки</t>
        </is>
      </c>
      <c r="D38" s="301" t="inlineStr">
        <is>
          <t>маш.час</t>
        </is>
      </c>
      <c r="E38" s="383" t="n">
        <v>42.57</v>
      </c>
      <c r="F38" s="306" t="n">
        <v>1.2</v>
      </c>
      <c r="G38" s="176">
        <f>ROUND(E38*F38,2)</f>
        <v/>
      </c>
      <c r="H38" s="307">
        <f>G38/$G$54</f>
        <v/>
      </c>
      <c r="I38" s="176">
        <f>ROUND(F38*Прил.10!$D$12,2)</f>
        <v/>
      </c>
      <c r="J38" s="176">
        <f>ROUND(I38*E38,2)</f>
        <v/>
      </c>
    </row>
    <row r="39" outlineLevel="1" ht="14.25" customFormat="1" customHeight="1" s="238">
      <c r="A39" s="301" t="n">
        <v>19</v>
      </c>
      <c r="B39" s="201" t="inlineStr">
        <is>
          <t>91.08.04-021</t>
        </is>
      </c>
      <c r="C39" s="304" t="inlineStr">
        <is>
          <t>Котлы битумные: передвижные 400 л</t>
        </is>
      </c>
      <c r="D39" s="301" t="inlineStr">
        <is>
          <t>маш.час</t>
        </is>
      </c>
      <c r="E39" s="383" t="n">
        <v>1.54</v>
      </c>
      <c r="F39" s="306" t="n">
        <v>30</v>
      </c>
      <c r="G39" s="176">
        <f>ROUND(E39*F39,2)</f>
        <v/>
      </c>
      <c r="H39" s="307">
        <f>G39/$G$54</f>
        <v/>
      </c>
      <c r="I39" s="176">
        <f>ROUND(F39*Прил.10!$D$12,2)</f>
        <v/>
      </c>
      <c r="J39" s="176">
        <f>ROUND(I39*E39,2)</f>
        <v/>
      </c>
    </row>
    <row r="40" outlineLevel="1" ht="14.25" customFormat="1" customHeight="1" s="238">
      <c r="A40" s="301" t="n">
        <v>20</v>
      </c>
      <c r="B40" s="201" t="inlineStr">
        <is>
          <t>91.01.01-034</t>
        </is>
      </c>
      <c r="C40" s="304" t="inlineStr">
        <is>
          <t>Бульдозеры, мощность 59 кВт (80 л.с.)</t>
        </is>
      </c>
      <c r="D40" s="301" t="inlineStr">
        <is>
          <t>маш.час</t>
        </is>
      </c>
      <c r="E40" s="383" t="n">
        <v>0.6899999999999999</v>
      </c>
      <c r="F40" s="306" t="n">
        <v>59.47</v>
      </c>
      <c r="G40" s="176">
        <f>ROUND(E40*F40,2)</f>
        <v/>
      </c>
      <c r="H40" s="307">
        <f>G40/$G$54</f>
        <v/>
      </c>
      <c r="I40" s="176">
        <f>ROUND(F40*Прил.10!$D$12,2)</f>
        <v/>
      </c>
      <c r="J40" s="176">
        <f>ROUND(I40*E40,2)</f>
        <v/>
      </c>
    </row>
    <row r="41" outlineLevel="1" ht="25.5" customFormat="1" customHeight="1" s="238">
      <c r="A41" s="301" t="n">
        <v>21</v>
      </c>
      <c r="B41" s="201" t="inlineStr">
        <is>
          <t>91.06.01-003</t>
        </is>
      </c>
      <c r="C41" s="304" t="inlineStr">
        <is>
          <t>Домкраты гидравлические, грузоподъемность 63-100 т</t>
        </is>
      </c>
      <c r="D41" s="301" t="inlineStr">
        <is>
          <t>маш.час</t>
        </is>
      </c>
      <c r="E41" s="383" t="n">
        <v>16.5</v>
      </c>
      <c r="F41" s="306" t="n">
        <v>0.9</v>
      </c>
      <c r="G41" s="176">
        <f>ROUND(E41*F41,2)</f>
        <v/>
      </c>
      <c r="H41" s="307">
        <f>G41/$G$54</f>
        <v/>
      </c>
      <c r="I41" s="176">
        <f>ROUND(F41*Прил.10!$D$12,2)</f>
        <v/>
      </c>
      <c r="J41" s="176">
        <f>ROUND(I41*E41,2)</f>
        <v/>
      </c>
    </row>
    <row r="42" outlineLevel="1" ht="14.25" customFormat="1" customHeight="1" s="238">
      <c r="A42" s="301" t="n">
        <v>22</v>
      </c>
      <c r="B42" s="201" t="inlineStr">
        <is>
          <t>91.01.01-035</t>
        </is>
      </c>
      <c r="C42" s="304" t="inlineStr">
        <is>
          <t>Бульдозеры, мощность 79 кВт (108 л.с.)</t>
        </is>
      </c>
      <c r="D42" s="301" t="inlineStr">
        <is>
          <t>маш.час</t>
        </is>
      </c>
      <c r="E42" s="383" t="n">
        <v>0.16</v>
      </c>
      <c r="F42" s="306" t="n">
        <v>79.06999999999999</v>
      </c>
      <c r="G42" s="176">
        <f>ROUND(E42*F42,2)</f>
        <v/>
      </c>
      <c r="H42" s="307">
        <f>G42/$G$54</f>
        <v/>
      </c>
      <c r="I42" s="176">
        <f>ROUND(F42*Прил.10!$D$12,2)</f>
        <v/>
      </c>
      <c r="J42" s="176">
        <f>ROUND(I42*E42,2)</f>
        <v/>
      </c>
    </row>
    <row r="43" outlineLevel="1" ht="14.25" customFormat="1" customHeight="1" s="238">
      <c r="A43" s="301" t="n">
        <v>23</v>
      </c>
      <c r="B43" s="201" t="inlineStr">
        <is>
          <t>91.07.04-001</t>
        </is>
      </c>
      <c r="C43" s="304" t="inlineStr">
        <is>
          <t>Вибратор глубинный</t>
        </is>
      </c>
      <c r="D43" s="301" t="inlineStr">
        <is>
          <t>маш.час</t>
        </is>
      </c>
      <c r="E43" s="383" t="n">
        <v>2.93</v>
      </c>
      <c r="F43" s="306" t="n">
        <v>1.9</v>
      </c>
      <c r="G43" s="176">
        <f>ROUND(E43*F43,2)</f>
        <v/>
      </c>
      <c r="H43" s="307">
        <f>G43/$G$54</f>
        <v/>
      </c>
      <c r="I43" s="176">
        <f>ROUND(F43*Прил.10!$D$12,2)</f>
        <v/>
      </c>
      <c r="J43" s="176">
        <f>ROUND(I43*E43,2)</f>
        <v/>
      </c>
    </row>
    <row r="44" outlineLevel="1" ht="25.5" customFormat="1" customHeight="1" s="238">
      <c r="A44" s="301" t="n">
        <v>24</v>
      </c>
      <c r="B44" s="201" t="inlineStr">
        <is>
          <t>91.05.06-007</t>
        </is>
      </c>
      <c r="C44" s="304" t="inlineStr">
        <is>
          <t>Краны на гусеничном ходу, грузоподъемность 25 т</t>
        </is>
      </c>
      <c r="D44" s="301" t="inlineStr">
        <is>
          <t>маш.час</t>
        </is>
      </c>
      <c r="E44" s="383" t="n">
        <v>0.03</v>
      </c>
      <c r="F44" s="306" t="n">
        <v>120.04</v>
      </c>
      <c r="G44" s="176">
        <f>ROUND(E44*F44,2)</f>
        <v/>
      </c>
      <c r="H44" s="307">
        <f>G44/$G$54</f>
        <v/>
      </c>
      <c r="I44" s="176">
        <f>ROUND(F44*Прил.10!$D$12,2)</f>
        <v/>
      </c>
      <c r="J44" s="176">
        <f>ROUND(I44*E44,2)</f>
        <v/>
      </c>
    </row>
    <row r="45" outlineLevel="1" ht="14.25" customFormat="1" customHeight="1" s="238">
      <c r="A45" s="301" t="n">
        <v>25</v>
      </c>
      <c r="B45" s="201" t="inlineStr">
        <is>
          <t>91.06.05-011</t>
        </is>
      </c>
      <c r="C45" s="304" t="inlineStr">
        <is>
          <t>Погрузчик, грузоподъемность 5 т</t>
        </is>
      </c>
      <c r="D45" s="301" t="inlineStr">
        <is>
          <t>маш.час</t>
        </is>
      </c>
      <c r="E45" s="383" t="n">
        <v>0.04</v>
      </c>
      <c r="F45" s="306" t="n">
        <v>89.98999999999999</v>
      </c>
      <c r="G45" s="176">
        <f>ROUND(E45*F45,2)</f>
        <v/>
      </c>
      <c r="H45" s="307">
        <f>G45/$G$54</f>
        <v/>
      </c>
      <c r="I45" s="176">
        <f>ROUND(F45*Прил.10!$D$12,2)</f>
        <v/>
      </c>
      <c r="J45" s="176">
        <f>ROUND(I45*E45,2)</f>
        <v/>
      </c>
    </row>
    <row r="46" outlineLevel="1" ht="25.5" customFormat="1" customHeight="1" s="238">
      <c r="A46" s="301" t="n">
        <v>26</v>
      </c>
      <c r="B46" s="201" t="inlineStr">
        <is>
          <t>91.21.12-002</t>
        </is>
      </c>
      <c r="C46" s="304" t="inlineStr">
        <is>
          <t>Ножницы листовые кривошипные гильотинные</t>
        </is>
      </c>
      <c r="D46" s="301" t="inlineStr">
        <is>
          <t>маш.час</t>
        </is>
      </c>
      <c r="E46" s="383" t="n">
        <v>0.05</v>
      </c>
      <c r="F46" s="306" t="n">
        <v>70</v>
      </c>
      <c r="G46" s="176">
        <f>ROUND(E46*F46,2)</f>
        <v/>
      </c>
      <c r="H46" s="307">
        <f>G46/$G$54</f>
        <v/>
      </c>
      <c r="I46" s="176">
        <f>ROUND(F46*Прил.10!$D$12,2)</f>
        <v/>
      </c>
      <c r="J46" s="176">
        <f>ROUND(I46*E46,2)</f>
        <v/>
      </c>
    </row>
    <row r="47" outlineLevel="1" ht="25.5" customFormat="1" customHeight="1" s="238">
      <c r="A47" s="301" t="n">
        <v>27</v>
      </c>
      <c r="B47" s="201" t="inlineStr">
        <is>
          <t>91.21.16-014</t>
        </is>
      </c>
      <c r="C47" s="304" t="inlineStr">
        <is>
          <t>Пресс: листогибочный кривошипный 1000 кН (100 тс)</t>
        </is>
      </c>
      <c r="D47" s="301" t="inlineStr">
        <is>
          <t>маш.час</t>
        </is>
      </c>
      <c r="E47" s="383" t="n">
        <v>0.05</v>
      </c>
      <c r="F47" s="306" t="n">
        <v>56.24</v>
      </c>
      <c r="G47" s="176">
        <f>ROUND(E47*F47,2)</f>
        <v/>
      </c>
      <c r="H47" s="307">
        <f>G47/$G$54</f>
        <v/>
      </c>
      <c r="I47" s="176">
        <f>ROUND(F47*Прил.10!$D$12,2)</f>
        <v/>
      </c>
      <c r="J47" s="176">
        <f>ROUND(I47*E47,2)</f>
        <v/>
      </c>
    </row>
    <row r="48" outlineLevel="1" ht="25.5" customFormat="1" customHeight="1" s="238">
      <c r="A48" s="301" t="n">
        <v>28</v>
      </c>
      <c r="B48" s="201" t="inlineStr">
        <is>
          <t>91.21.16-013</t>
        </is>
      </c>
      <c r="C48" s="304" t="inlineStr">
        <is>
          <t>Пресс: кривошипный простого действия 25 кН (2,5 тс)</t>
        </is>
      </c>
      <c r="D48" s="301" t="inlineStr">
        <is>
          <t>маш.час</t>
        </is>
      </c>
      <c r="E48" s="383" t="n">
        <v>0.05</v>
      </c>
      <c r="F48" s="306" t="n">
        <v>16.92</v>
      </c>
      <c r="G48" s="176">
        <f>ROUND(E48*F48,2)</f>
        <v/>
      </c>
      <c r="H48" s="307">
        <f>G48/$G$54</f>
        <v/>
      </c>
      <c r="I48" s="176">
        <f>ROUND(F48*Прил.10!$D$12,2)</f>
        <v/>
      </c>
      <c r="J48" s="176">
        <f>ROUND(I48*E48,2)</f>
        <v/>
      </c>
    </row>
    <row r="49" outlineLevel="1" ht="14.25" customFormat="1" customHeight="1" s="238">
      <c r="A49" s="301" t="n">
        <v>29</v>
      </c>
      <c r="B49" s="201" t="inlineStr">
        <is>
          <t>91.07.04-002</t>
        </is>
      </c>
      <c r="C49" s="304" t="inlineStr">
        <is>
          <t>Вибратор поверхностный</t>
        </is>
      </c>
      <c r="D49" s="301" t="inlineStr">
        <is>
          <t>маш.час</t>
        </is>
      </c>
      <c r="E49" s="383" t="n">
        <v>1.13</v>
      </c>
      <c r="F49" s="306" t="n">
        <v>0.5</v>
      </c>
      <c r="G49" s="176">
        <f>ROUND(E49*F49,2)</f>
        <v/>
      </c>
      <c r="H49" s="307">
        <f>G49/$G$54</f>
        <v/>
      </c>
      <c r="I49" s="176">
        <f>ROUND(F49*Прил.10!$D$12,2)</f>
        <v/>
      </c>
      <c r="J49" s="176">
        <f>ROUND(I49*E49,2)</f>
        <v/>
      </c>
    </row>
    <row r="50" outlineLevel="1" ht="38.25" customFormat="1" customHeight="1" s="238">
      <c r="A50" s="301" t="n">
        <v>30</v>
      </c>
      <c r="B50" s="201" t="inlineStr">
        <is>
          <t>91.21.01-012</t>
        </is>
      </c>
      <c r="C50" s="304" t="inlineStr">
        <is>
          <t>Агрегаты окрасочные высокого давления для окраски поверхностей конструкций, мощность 1 кВт</t>
        </is>
      </c>
      <c r="D50" s="301" t="inlineStr">
        <is>
          <t>маш.час</t>
        </is>
      </c>
      <c r="E50" s="383" t="n">
        <v>0.06</v>
      </c>
      <c r="F50" s="306" t="n">
        <v>6.82</v>
      </c>
      <c r="G50" s="176">
        <f>ROUND(E50*F50,2)</f>
        <v/>
      </c>
      <c r="H50" s="307">
        <f>G50/$G$54</f>
        <v/>
      </c>
      <c r="I50" s="176">
        <f>ROUND(F50*Прил.10!$D$12,2)</f>
        <v/>
      </c>
      <c r="J50" s="176">
        <f>ROUND(I50*E50,2)</f>
        <v/>
      </c>
    </row>
    <row r="51" outlineLevel="1" ht="14.25" customFormat="1" customHeight="1" s="238">
      <c r="A51" s="301" t="n">
        <v>31</v>
      </c>
      <c r="B51" s="201" t="inlineStr">
        <is>
          <t>91.21.19-031</t>
        </is>
      </c>
      <c r="C51" s="304" t="inlineStr">
        <is>
          <t>Станок: сверлильный</t>
        </is>
      </c>
      <c r="D51" s="301" t="inlineStr">
        <is>
          <t>маш.час</t>
        </is>
      </c>
      <c r="E51" s="383" t="n">
        <v>0.05</v>
      </c>
      <c r="F51" s="306" t="n">
        <v>2.36</v>
      </c>
      <c r="G51" s="176">
        <f>ROUND(E51*F51,2)</f>
        <v/>
      </c>
      <c r="H51" s="307">
        <f>G51/$G$54</f>
        <v/>
      </c>
      <c r="I51" s="176">
        <f>ROUND(F51*Прил.10!$D$12,2)</f>
        <v/>
      </c>
      <c r="J51" s="176">
        <f>ROUND(I51*E51,2)</f>
        <v/>
      </c>
    </row>
    <row r="52" ht="14.25" customFormat="1" customHeight="1" s="238">
      <c r="A52" s="301" t="n"/>
      <c r="B52" s="301" t="n"/>
      <c r="C52" s="304" t="inlineStr">
        <is>
          <t>Итого прочие машины и механизмы</t>
        </is>
      </c>
      <c r="D52" s="301" t="n"/>
      <c r="E52" s="305" t="n"/>
      <c r="F52" s="176" t="n"/>
      <c r="G52" s="171">
        <f>SUM(G31:G51)</f>
        <v/>
      </c>
      <c r="H52" s="307">
        <f>G52/G54</f>
        <v/>
      </c>
      <c r="I52" s="176" t="n"/>
      <c r="J52" s="171">
        <f>SUM(J31:J51)</f>
        <v/>
      </c>
    </row>
    <row r="53" ht="25.5" customFormat="1" customHeight="1" s="238">
      <c r="A53" s="301" t="n"/>
      <c r="B53" s="301" t="n"/>
      <c r="C53" s="172" t="inlineStr">
        <is>
          <t>Итого прочие машины и механизмы 
(с коэффициентом на демонтаж 0,7)</t>
        </is>
      </c>
      <c r="D53" s="301" t="n"/>
      <c r="E53" s="305" t="n"/>
      <c r="F53" s="176" t="n"/>
      <c r="G53" s="176">
        <f>G52*0.7</f>
        <v/>
      </c>
      <c r="H53" s="307">
        <f>G53/G55</f>
        <v/>
      </c>
      <c r="I53" s="176" t="n"/>
      <c r="J53" s="176">
        <f>J52*0.7</f>
        <v/>
      </c>
    </row>
    <row r="54" ht="25.5" customFormat="1" customHeight="1" s="238">
      <c r="A54" s="301" t="n"/>
      <c r="B54" s="301" t="n"/>
      <c r="C54" s="289" t="inlineStr">
        <is>
          <t>Итого по разделу «Машины и механизмы»</t>
        </is>
      </c>
      <c r="D54" s="301" t="n"/>
      <c r="E54" s="305" t="n"/>
      <c r="F54" s="176" t="n"/>
      <c r="G54" s="176">
        <f>G52+G29</f>
        <v/>
      </c>
      <c r="H54" s="187" t="n">
        <v>1</v>
      </c>
      <c r="I54" s="188" t="n"/>
      <c r="J54" s="186">
        <f>J52+J29</f>
        <v/>
      </c>
    </row>
    <row r="55" ht="38.25" customFormat="1" customHeight="1" s="238">
      <c r="A55" s="301" t="n"/>
      <c r="B55" s="301" t="n"/>
      <c r="C55" s="183" t="inlineStr">
        <is>
          <t>Итого по разделу «Машины и механизмы»  
(с коэффициентом на демонтаж 0,7)</t>
        </is>
      </c>
      <c r="D55" s="303" t="n"/>
      <c r="E55" s="185" t="n"/>
      <c r="F55" s="186" t="n"/>
      <c r="G55" s="186">
        <f>G30+G53</f>
        <v/>
      </c>
      <c r="H55" s="187" t="n">
        <v>1</v>
      </c>
      <c r="I55" s="188" t="n"/>
      <c r="J55" s="186">
        <f>J30+J53</f>
        <v/>
      </c>
    </row>
    <row r="56" ht="14.25" customFormat="1" customHeight="1" s="238">
      <c r="A56" s="301" t="n"/>
      <c r="B56" s="289" t="inlineStr">
        <is>
          <t>Оборудование</t>
        </is>
      </c>
      <c r="C56" s="377" t="n"/>
      <c r="D56" s="377" t="n"/>
      <c r="E56" s="377" t="n"/>
      <c r="F56" s="377" t="n"/>
      <c r="G56" s="377" t="n"/>
      <c r="H56" s="378" t="n"/>
      <c r="I56" s="163" t="n"/>
      <c r="J56" s="163" t="n"/>
    </row>
    <row r="57">
      <c r="A57" s="301" t="n"/>
      <c r="B57" s="304" t="inlineStr">
        <is>
          <t>Основное оборудование</t>
        </is>
      </c>
      <c r="C57" s="377" t="n"/>
      <c r="D57" s="377" t="n"/>
      <c r="E57" s="377" t="n"/>
      <c r="F57" s="377" t="n"/>
      <c r="G57" s="377" t="n"/>
      <c r="H57" s="378" t="n"/>
      <c r="I57" s="163" t="n"/>
      <c r="J57" s="163" t="n"/>
    </row>
    <row r="58">
      <c r="A58" s="301" t="n"/>
      <c r="B58" s="301" t="n"/>
      <c r="C58" s="304" t="inlineStr">
        <is>
          <t>Итого основное оборудование</t>
        </is>
      </c>
      <c r="D58" s="301" t="n"/>
      <c r="E58" s="383" t="n"/>
      <c r="F58" s="306" t="n"/>
      <c r="G58" s="176" t="n">
        <v>0</v>
      </c>
      <c r="H58" s="308" t="n">
        <v>0</v>
      </c>
      <c r="I58" s="171" t="n"/>
      <c r="J58" s="176" t="n">
        <v>0</v>
      </c>
    </row>
    <row r="59">
      <c r="A59" s="301" t="n"/>
      <c r="B59" s="301" t="n"/>
      <c r="C59" s="304" t="inlineStr">
        <is>
          <t>Итого прочее оборудование</t>
        </is>
      </c>
      <c r="D59" s="301" t="n"/>
      <c r="E59" s="383" t="n"/>
      <c r="F59" s="306" t="n"/>
      <c r="G59" s="176" t="n">
        <v>0</v>
      </c>
      <c r="H59" s="307" t="n">
        <v>0</v>
      </c>
      <c r="I59" s="171" t="n"/>
      <c r="J59" s="176" t="n">
        <v>0</v>
      </c>
    </row>
    <row r="60">
      <c r="A60" s="301" t="n"/>
      <c r="B60" s="301" t="n"/>
      <c r="C60" s="289" t="inlineStr">
        <is>
          <t>Итого по разделу «Оборудование»</t>
        </is>
      </c>
      <c r="D60" s="301" t="n"/>
      <c r="E60" s="305" t="n"/>
      <c r="F60" s="306" t="n"/>
      <c r="G60" s="176">
        <f>G59+G58</f>
        <v/>
      </c>
      <c r="H60" s="308">
        <f>H59+H58</f>
        <v/>
      </c>
      <c r="I60" s="171" t="n"/>
      <c r="J60" s="176">
        <f>J59+J58</f>
        <v/>
      </c>
    </row>
    <row r="61" ht="25.5" customHeight="1" s="241">
      <c r="A61" s="301" t="n"/>
      <c r="B61" s="301" t="n"/>
      <c r="C61" s="304" t="inlineStr">
        <is>
          <t>в том числе технологическое оборудование</t>
        </is>
      </c>
      <c r="D61" s="301" t="n"/>
      <c r="E61" s="386" t="n"/>
      <c r="F61" s="306" t="n"/>
      <c r="G61" s="176" t="n">
        <v>0</v>
      </c>
      <c r="H61" s="308" t="n"/>
      <c r="I61" s="171" t="n"/>
      <c r="J61" s="176">
        <f>J60</f>
        <v/>
      </c>
    </row>
    <row r="62" ht="14.25" customFormat="1" customHeight="1" s="238">
      <c r="A62" s="301" t="n"/>
      <c r="B62" s="289" t="inlineStr">
        <is>
          <t>Материалы</t>
        </is>
      </c>
      <c r="C62" s="377" t="n"/>
      <c r="D62" s="377" t="n"/>
      <c r="E62" s="377" t="n"/>
      <c r="F62" s="377" t="n"/>
      <c r="G62" s="377" t="n"/>
      <c r="H62" s="378" t="n"/>
      <c r="I62" s="190" t="n"/>
      <c r="J62" s="190" t="n"/>
    </row>
    <row r="63" ht="14.25" customFormat="1" customHeight="1" s="238">
      <c r="A63" s="301" t="n"/>
      <c r="B63" s="304" t="inlineStr">
        <is>
          <t>Основные материалы</t>
        </is>
      </c>
      <c r="C63" s="377" t="n"/>
      <c r="D63" s="377" t="n"/>
      <c r="E63" s="377" t="n"/>
      <c r="F63" s="377" t="n"/>
      <c r="G63" s="377" t="n"/>
      <c r="H63" s="378" t="n"/>
      <c r="I63" s="190" t="n"/>
      <c r="J63" s="190" t="n"/>
    </row>
    <row r="64" ht="14.25" customFormat="1" customHeight="1" s="238">
      <c r="A64" s="301" t="n"/>
      <c r="B64" s="201" t="n"/>
      <c r="C64" s="304" t="inlineStr">
        <is>
          <t>Итого основные материалы</t>
        </is>
      </c>
      <c r="D64" s="301" t="n"/>
      <c r="E64" s="383" t="n"/>
      <c r="F64" s="176" t="n"/>
      <c r="G64" s="176" t="n">
        <v>0</v>
      </c>
      <c r="H64" s="307" t="n">
        <v>0</v>
      </c>
      <c r="I64" s="176" t="n"/>
      <c r="J64" s="176" t="n">
        <v>0</v>
      </c>
    </row>
    <row r="65" ht="14.25" customFormat="1" customHeight="1" s="238">
      <c r="A65" s="301" t="n"/>
      <c r="B65" s="301" t="n"/>
      <c r="C65" s="304" t="inlineStr">
        <is>
          <t>Итого прочие материалы</t>
        </is>
      </c>
      <c r="D65" s="301" t="n"/>
      <c r="E65" s="305" t="n"/>
      <c r="F65" s="306" t="n"/>
      <c r="G65" s="176" t="n">
        <v>0</v>
      </c>
      <c r="H65" s="307" t="n">
        <v>0</v>
      </c>
      <c r="I65" s="176" t="n"/>
      <c r="J65" s="176" t="n">
        <v>0</v>
      </c>
    </row>
    <row r="66" ht="14.25" customFormat="1" customHeight="1" s="238">
      <c r="A66" s="301" t="n"/>
      <c r="B66" s="301" t="n"/>
      <c r="C66" s="289" t="inlineStr">
        <is>
          <t>Итого по разделу «Материалы»</t>
        </is>
      </c>
      <c r="D66" s="301" t="n"/>
      <c r="E66" s="305" t="n"/>
      <c r="F66" s="306" t="n"/>
      <c r="G66" s="176">
        <f>G64+G65</f>
        <v/>
      </c>
      <c r="H66" s="307" t="n">
        <v>0</v>
      </c>
      <c r="I66" s="176" t="n"/>
      <c r="J66" s="176">
        <f>J64+J65</f>
        <v/>
      </c>
    </row>
    <row r="67" ht="14.25" customFormat="1" customHeight="1" s="238">
      <c r="A67" s="301" t="n"/>
      <c r="B67" s="301" t="n"/>
      <c r="C67" s="304" t="inlineStr">
        <is>
          <t>ИТОГО ПО РМ</t>
        </is>
      </c>
      <c r="D67" s="301" t="n"/>
      <c r="E67" s="305" t="n"/>
      <c r="F67" s="306" t="n"/>
      <c r="G67" s="176">
        <f>G16+G54</f>
        <v/>
      </c>
      <c r="H67" s="307" t="n"/>
      <c r="I67" s="176" t="n"/>
      <c r="J67" s="176">
        <f>J16+J54+J66</f>
        <v/>
      </c>
    </row>
    <row r="68" ht="25.5" customFormat="1" customHeight="1" s="238">
      <c r="A68" s="301" t="n"/>
      <c r="B68" s="301" t="n"/>
      <c r="C68" s="304" t="inlineStr">
        <is>
          <t>ИТОГО ПО РМ
(с коэффициентом на демонтаж 0,7)</t>
        </is>
      </c>
      <c r="D68" s="301" t="n"/>
      <c r="E68" s="305" t="n"/>
      <c r="F68" s="306" t="n"/>
      <c r="G68" s="176">
        <f>G17+G55</f>
        <v/>
      </c>
      <c r="H68" s="307" t="n"/>
      <c r="I68" s="176" t="n"/>
      <c r="J68" s="176">
        <f>J16*0.7+J54*0.7+J66</f>
        <v/>
      </c>
    </row>
    <row r="69" ht="14.25" customFormat="1" customHeight="1" s="238">
      <c r="A69" s="301" t="n"/>
      <c r="B69" s="301" t="n"/>
      <c r="C69" s="304" t="inlineStr">
        <is>
          <t>Накладные расходы</t>
        </is>
      </c>
      <c r="D69" s="193">
        <f>ROUND(G69/(G$19+$G$16),2)</f>
        <v/>
      </c>
      <c r="E69" s="305" t="n"/>
      <c r="F69" s="306" t="n"/>
      <c r="G69" s="176" t="n">
        <v>16391.89</v>
      </c>
      <c r="H69" s="308" t="n"/>
      <c r="I69" s="176" t="n"/>
      <c r="J69" s="176">
        <f>ROUND(D69*(J16+J19),2)</f>
        <v/>
      </c>
    </row>
    <row r="70" ht="25.5" customFormat="1" customHeight="1" s="238">
      <c r="A70" s="301" t="n"/>
      <c r="B70" s="301" t="n"/>
      <c r="C70" s="304" t="inlineStr">
        <is>
          <t>Накладные расходы 
(с коэффициентом на демонтаж 0,7)</t>
        </is>
      </c>
      <c r="D70" s="194">
        <f>ROUND(G70/(G$20+$G$17),2)</f>
        <v/>
      </c>
      <c r="E70" s="305" t="n"/>
      <c r="F70" s="306" t="n"/>
      <c r="G70" s="176">
        <f>G69*0.7</f>
        <v/>
      </c>
      <c r="H70" s="308" t="n"/>
      <c r="I70" s="176" t="n"/>
      <c r="J70" s="176">
        <f>ROUND(D70*(J17+J20),2)</f>
        <v/>
      </c>
    </row>
    <row r="71" ht="14.25" customFormat="1" customHeight="1" s="238">
      <c r="A71" s="301" t="n"/>
      <c r="B71" s="301" t="n"/>
      <c r="C71" s="304" t="inlineStr">
        <is>
          <t>Сметная прибыль</t>
        </is>
      </c>
      <c r="D71" s="193">
        <f>ROUND(G71/(G$16+G$19),2)</f>
        <v/>
      </c>
      <c r="E71" s="305" t="n"/>
      <c r="F71" s="306" t="n"/>
      <c r="G71" s="176" t="n">
        <v>11269.24</v>
      </c>
      <c r="H71" s="308" t="n"/>
      <c r="I71" s="176" t="n"/>
      <c r="J71" s="176">
        <f>ROUND(D71*(J16+J19),2)</f>
        <v/>
      </c>
    </row>
    <row r="72" ht="25.5" customFormat="1" customHeight="1" s="238">
      <c r="A72" s="301" t="n"/>
      <c r="B72" s="301" t="n"/>
      <c r="C72" s="304" t="inlineStr">
        <is>
          <t>Сметная прибыль 
(с коэффициентом на демонтаж 0,7)</t>
        </is>
      </c>
      <c r="D72" s="194">
        <f>ROUND(G72/(G$17+G$20),2)</f>
        <v/>
      </c>
      <c r="E72" s="305" t="n"/>
      <c r="F72" s="306" t="n"/>
      <c r="G72" s="176">
        <f>G71*0.7</f>
        <v/>
      </c>
      <c r="H72" s="308" t="n"/>
      <c r="I72" s="176" t="n"/>
      <c r="J72" s="176">
        <f>ROUND(D72*(J17+J20),2)</f>
        <v/>
      </c>
    </row>
    <row r="73" ht="25.5" customFormat="1" customHeight="1" s="238">
      <c r="A73" s="301" t="n"/>
      <c r="B73" s="301" t="n"/>
      <c r="C73" s="304" t="inlineStr">
        <is>
          <t>Итого СМР (с НР и СП) 
(с коэффициентом на демонтаж 0,7)</t>
        </is>
      </c>
      <c r="D73" s="301" t="n"/>
      <c r="E73" s="305" t="n"/>
      <c r="F73" s="306" t="n"/>
      <c r="G73" s="176">
        <f>G68+G70+G72</f>
        <v/>
      </c>
      <c r="H73" s="308" t="n"/>
      <c r="I73" s="176" t="n"/>
      <c r="J73" s="176">
        <f>ROUND((J68+J70+J72),2)</f>
        <v/>
      </c>
    </row>
    <row r="74" ht="25.5" customFormat="1" customHeight="1" s="238">
      <c r="A74" s="301" t="n"/>
      <c r="B74" s="301" t="n"/>
      <c r="C74" s="304" t="inlineStr">
        <is>
          <t>ВСЕГО СМР + ОБОРУДОВАНИЕ 
(с коэффициентом на демонтаж 0,7)</t>
        </is>
      </c>
      <c r="D74" s="301" t="n"/>
      <c r="E74" s="305" t="n"/>
      <c r="F74" s="306" t="n"/>
      <c r="G74" s="176">
        <f>G73</f>
        <v/>
      </c>
      <c r="H74" s="308" t="n"/>
      <c r="I74" s="176" t="n"/>
      <c r="J74" s="176">
        <f>J73</f>
        <v/>
      </c>
    </row>
    <row r="75" ht="34.5" customFormat="1" customHeight="1" s="238">
      <c r="A75" s="301" t="n"/>
      <c r="B75" s="301" t="n"/>
      <c r="C75" s="304" t="inlineStr">
        <is>
          <t>ИТОГО ПОКАЗАТЕЛЬ НА ЕД. ИЗМ.</t>
        </is>
      </c>
      <c r="D75" s="301" t="inlineStr">
        <is>
          <t>1 ед.</t>
        </is>
      </c>
      <c r="E75" s="305" t="n">
        <v>1</v>
      </c>
      <c r="F75" s="306" t="n"/>
      <c r="G75" s="176">
        <f>G74/E75</f>
        <v/>
      </c>
      <c r="H75" s="308" t="n"/>
      <c r="I75" s="176" t="n"/>
      <c r="J75" s="186">
        <f>J74/E75</f>
        <v/>
      </c>
    </row>
    <row r="77" ht="14.25" customFormat="1" customHeight="1" s="238">
      <c r="A77" s="240" t="inlineStr">
        <is>
          <t>Составил ______________________     Д.Ю. Нефедова</t>
        </is>
      </c>
    </row>
    <row r="78" ht="14.25" customFormat="1" customHeight="1" s="238">
      <c r="A78" s="237" t="inlineStr">
        <is>
          <t xml:space="preserve">                         (подпись, инициалы, фамилия)</t>
        </is>
      </c>
    </row>
    <row r="79" ht="14.25" customFormat="1" customHeight="1" s="238">
      <c r="A79" s="240" t="n"/>
    </row>
    <row r="80" ht="14.25" customFormat="1" customHeight="1" s="238">
      <c r="A80" s="240" t="inlineStr">
        <is>
          <t>Проверил ______________________        А.В. Костянецкая</t>
        </is>
      </c>
    </row>
    <row r="81" ht="14.25" customFormat="1" customHeight="1" s="238">
      <c r="A81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63:H63"/>
    <mergeCell ref="C9:C10"/>
    <mergeCell ref="E9:E10"/>
    <mergeCell ref="A7:H7"/>
    <mergeCell ref="B62:H62"/>
    <mergeCell ref="B22:H22"/>
    <mergeCell ref="B9:B10"/>
    <mergeCell ref="D9:D10"/>
    <mergeCell ref="B18:H18"/>
    <mergeCell ref="B56:H56"/>
    <mergeCell ref="B21:H21"/>
    <mergeCell ref="B12:H12"/>
    <mergeCell ref="D6:J6"/>
    <mergeCell ref="A8:H8"/>
    <mergeCell ref="F9:G9"/>
    <mergeCell ref="B57:H5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2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4" t="inlineStr">
        <is>
          <t>Приложение №6</t>
        </is>
      </c>
    </row>
    <row r="2" ht="21.75" customHeight="1" s="241">
      <c r="A2" s="314" t="n"/>
      <c r="B2" s="314" t="n"/>
      <c r="C2" s="314" t="n"/>
      <c r="D2" s="322" t="n"/>
      <c r="E2" s="314" t="n"/>
      <c r="F2" s="314" t="n"/>
      <c r="G2" s="314" t="n"/>
    </row>
    <row r="3">
      <c r="A3" s="269" t="inlineStr">
        <is>
          <t>Расчет стоимости оборудования</t>
        </is>
      </c>
    </row>
    <row r="4" ht="25.5" customHeight="1" s="241">
      <c r="A4" s="272" t="inlineStr">
        <is>
          <t>Наименование разрабатываемого показателя УНЦ — Демонтаж трансформаторов напряжения 330 кВ</t>
        </is>
      </c>
    </row>
    <row r="5">
      <c r="A5" s="240" t="n"/>
      <c r="B5" s="240" t="n"/>
      <c r="C5" s="240" t="n"/>
      <c r="D5" s="322" t="n"/>
      <c r="E5" s="240" t="n"/>
      <c r="F5" s="240" t="n"/>
      <c r="G5" s="240" t="n"/>
    </row>
    <row r="6" ht="30" customHeight="1" s="241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301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1" t="inlineStr">
        <is>
          <t>на ед. изм.</t>
        </is>
      </c>
      <c r="G7" s="301" t="inlineStr">
        <is>
          <t>общая</t>
        </is>
      </c>
    </row>
    <row r="8">
      <c r="A8" s="301" t="n">
        <v>1</v>
      </c>
      <c r="B8" s="301" t="n">
        <v>2</v>
      </c>
      <c r="C8" s="301" t="n">
        <v>3</v>
      </c>
      <c r="D8" s="301" t="n">
        <v>4</v>
      </c>
      <c r="E8" s="301" t="n">
        <v>5</v>
      </c>
      <c r="F8" s="301" t="n">
        <v>6</v>
      </c>
      <c r="G8" s="301" t="n">
        <v>7</v>
      </c>
    </row>
    <row r="9" ht="15" customHeight="1" s="241">
      <c r="A9" s="24" t="n"/>
      <c r="B9" s="304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41">
      <c r="A10" s="301" t="n"/>
      <c r="B10" s="289" t="n"/>
      <c r="C10" s="304" t="inlineStr">
        <is>
          <t>ИТОГО ИНЖЕНЕРНОЕ ОБОРУДОВАНИЕ</t>
        </is>
      </c>
      <c r="D10" s="309" t="n"/>
      <c r="E10" s="207" t="n"/>
      <c r="F10" s="306" t="n"/>
      <c r="G10" s="306" t="n">
        <v>0</v>
      </c>
    </row>
    <row r="11">
      <c r="A11" s="301" t="n"/>
      <c r="B11" s="304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41">
      <c r="A12" s="301" t="n"/>
      <c r="B12" s="304" t="n"/>
      <c r="C12" s="304" t="inlineStr">
        <is>
          <t>ИТОГО ТЕХНОЛОГИЧЕСКОЕ ОБОРУДОВАНИЕ</t>
        </is>
      </c>
      <c r="D12" s="301" t="n"/>
      <c r="E12" s="318" t="n"/>
      <c r="F12" s="306" t="n"/>
      <c r="G12" s="176" t="n">
        <v>0</v>
      </c>
    </row>
    <row r="13" ht="19.5" customHeight="1" s="241">
      <c r="A13" s="301" t="n"/>
      <c r="B13" s="304" t="n"/>
      <c r="C13" s="304" t="inlineStr">
        <is>
          <t>Всего по разделу «Оборудование»</t>
        </is>
      </c>
      <c r="D13" s="301" t="n"/>
      <c r="E13" s="318" t="n"/>
      <c r="F13" s="306" t="n"/>
      <c r="G13" s="176">
        <f>G10+G12</f>
        <v/>
      </c>
    </row>
    <row r="14">
      <c r="A14" s="239" t="n"/>
      <c r="B14" s="235" t="n"/>
      <c r="C14" s="239" t="n"/>
      <c r="D14" s="209" t="n"/>
      <c r="E14" s="239" t="n"/>
      <c r="F14" s="239" t="n"/>
      <c r="G14" s="239" t="n"/>
    </row>
    <row r="15">
      <c r="A15" s="365" t="inlineStr">
        <is>
          <t>Составил ______________________    Д.Ю. Нефедова</t>
        </is>
      </c>
      <c r="B15" s="238" t="n"/>
      <c r="C15" s="238" t="n"/>
      <c r="D15" s="209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9" t="n"/>
      <c r="E16" s="239" t="n"/>
      <c r="F16" s="239" t="n"/>
      <c r="G16" s="239" t="n"/>
    </row>
    <row r="17">
      <c r="A17" s="240" t="n"/>
      <c r="B17" s="238" t="n"/>
      <c r="C17" s="238" t="n"/>
      <c r="D17" s="209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9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9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14" t="inlineStr">
        <is>
          <t>Приложение №7</t>
        </is>
      </c>
    </row>
    <row r="2">
      <c r="A2" s="314" t="n"/>
      <c r="B2" s="314" t="n"/>
      <c r="C2" s="314" t="n"/>
      <c r="D2" s="314" t="n"/>
    </row>
    <row r="3" ht="24.75" customHeight="1" s="241">
      <c r="A3" s="269" t="inlineStr">
        <is>
          <t>Расчет показателя УНЦ</t>
        </is>
      </c>
    </row>
    <row r="4" ht="24.75" customHeight="1" s="241">
      <c r="A4" s="269" t="n"/>
      <c r="B4" s="269" t="n"/>
      <c r="C4" s="269" t="n"/>
      <c r="D4" s="269" t="n"/>
    </row>
    <row r="5" ht="49.5" customHeight="1" s="24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 s="241">
      <c r="A6" s="272" t="inlineStr">
        <is>
          <t>Единица измерения  — 1 ед.</t>
        </is>
      </c>
      <c r="D6" s="272" t="n"/>
    </row>
    <row r="7">
      <c r="A7" s="240" t="n"/>
      <c r="B7" s="240" t="n"/>
      <c r="C7" s="240" t="n"/>
      <c r="D7" s="240" t="n"/>
    </row>
    <row r="8" ht="14.45" customHeight="1" s="24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 s="241">
      <c r="A9" s="380" t="n"/>
      <c r="B9" s="380" t="n"/>
      <c r="C9" s="380" t="n"/>
      <c r="D9" s="380" t="n"/>
    </row>
    <row r="10">
      <c r="A10" s="301" t="n">
        <v>1</v>
      </c>
      <c r="B10" s="301" t="n">
        <v>2</v>
      </c>
      <c r="C10" s="301" t="n">
        <v>3</v>
      </c>
      <c r="D10" s="301" t="n">
        <v>4</v>
      </c>
    </row>
    <row r="11" ht="41.45" customHeight="1" s="241">
      <c r="A11" s="301" t="inlineStr">
        <is>
          <t>М6-10-5</t>
        </is>
      </c>
      <c r="B11" s="301" t="inlineStr">
        <is>
          <t>УНЦ на демонтажные работы ПС</t>
        </is>
      </c>
      <c r="C11" s="231" t="inlineStr">
        <is>
          <t>Демонтаж трансформаторов напряжения 330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6" t="inlineStr">
        <is>
          <t>Приложение № 10</t>
        </is>
      </c>
    </row>
    <row r="5" ht="18.75" customHeight="1" s="241">
      <c r="B5" s="112" t="n"/>
    </row>
    <row r="6" ht="15.75" customHeight="1" s="241">
      <c r="B6" s="277" t="inlineStr">
        <is>
          <t>Используемые индексы изменений сметной стоимости и нормы сопутствующих затрат</t>
        </is>
      </c>
    </row>
    <row r="7">
      <c r="B7" s="320" t="n"/>
    </row>
    <row r="8">
      <c r="B8" s="320" t="n"/>
      <c r="C8" s="320" t="n"/>
      <c r="D8" s="320" t="n"/>
      <c r="E8" s="320" t="n"/>
    </row>
    <row r="9" ht="47.25" customHeight="1" s="241">
      <c r="B9" s="283" t="inlineStr">
        <is>
          <t>Наименование индекса / норм сопутствующих затрат</t>
        </is>
      </c>
      <c r="C9" s="283" t="inlineStr">
        <is>
          <t>Дата применения и обоснование индекса / норм сопутствующих затрат</t>
        </is>
      </c>
      <c r="D9" s="283" t="inlineStr">
        <is>
          <t>Размер индекса / норма сопутствующих затрат</t>
        </is>
      </c>
    </row>
    <row r="10" ht="15.75" customHeight="1" s="241">
      <c r="B10" s="283" t="n">
        <v>1</v>
      </c>
      <c r="C10" s="283" t="n">
        <v>2</v>
      </c>
      <c r="D10" s="283" t="n">
        <v>3</v>
      </c>
    </row>
    <row r="11" ht="45" customHeight="1" s="241">
      <c r="B11" s="283" t="inlineStr">
        <is>
          <t xml:space="preserve">Индекс изменения сметной стоимости на 1 квартал 2023 года. ОЗП </t>
        </is>
      </c>
      <c r="C11" s="283" t="inlineStr">
        <is>
          <t>Письмо Минстроя России от 30.03.2023г. №17106-ИФ/09  прил.1</t>
        </is>
      </c>
      <c r="D11" s="283" t="n">
        <v>44.29</v>
      </c>
    </row>
    <row r="12" ht="29.25" customHeight="1" s="241">
      <c r="B12" s="283" t="inlineStr">
        <is>
          <t>Индекс изменения сметной стоимости на 1 квартал 2023 года. ЭМ</t>
        </is>
      </c>
      <c r="C12" s="283" t="inlineStr">
        <is>
          <t>Письмо Минстроя России от 30.03.2023г. №17106-ИФ/09  прил.1</t>
        </is>
      </c>
      <c r="D12" s="283" t="n">
        <v>13.47</v>
      </c>
    </row>
    <row r="13" ht="29.25" customHeight="1" s="241">
      <c r="B13" s="283" t="inlineStr">
        <is>
          <t>Индекс изменения сметной стоимости на 1 квартал 2023 года. МАТ</t>
        </is>
      </c>
      <c r="C13" s="283" t="inlineStr">
        <is>
          <t>Письмо Минстроя России от 30.03.2023г. №17106-ИФ/09  прил.1</t>
        </is>
      </c>
      <c r="D13" s="283" t="n">
        <v>8.039999999999999</v>
      </c>
    </row>
    <row r="14" ht="30.75" customHeight="1" s="241">
      <c r="B14" s="28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83" t="n">
        <v>6.26</v>
      </c>
    </row>
    <row r="15" ht="89.25" customHeight="1" s="241">
      <c r="B15" s="283" t="inlineStr">
        <is>
          <t>Временные здания и сооружения</t>
        </is>
      </c>
      <c r="C15" s="28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41">
      <c r="B16" s="283" t="inlineStr">
        <is>
          <t>Дополнительные затраты при производстве строительно-монтажных работ в зимнее время</t>
        </is>
      </c>
      <c r="C16" s="28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41">
      <c r="B17" s="283" t="inlineStr">
        <is>
          <t>Строительный контроль</t>
        </is>
      </c>
      <c r="C17" s="28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41">
      <c r="B18" s="283" t="inlineStr">
        <is>
          <t>Авторский надзор - 0,2%</t>
        </is>
      </c>
      <c r="C18" s="283" t="inlineStr">
        <is>
          <t>Приказ от 4.08.2020 № 421/пр п.173</t>
        </is>
      </c>
      <c r="D18" s="115" t="n">
        <v>0.002</v>
      </c>
    </row>
    <row r="19" ht="24" customHeight="1" s="241">
      <c r="B19" s="283" t="inlineStr">
        <is>
          <t>Непредвиденные расходы</t>
        </is>
      </c>
      <c r="C19" s="283" t="inlineStr">
        <is>
          <t>Приказ от 4.08.2020 № 421/пр п.179</t>
        </is>
      </c>
      <c r="D19" s="115" t="n">
        <v>0.03</v>
      </c>
    </row>
    <row r="20" ht="18.75" customHeight="1" s="241">
      <c r="B20" s="113" t="n"/>
    </row>
    <row r="21" ht="18.75" customHeight="1" s="241">
      <c r="B21" s="113" t="n"/>
    </row>
    <row r="22" ht="18.75" customHeight="1" s="241">
      <c r="B22" s="113" t="n"/>
    </row>
    <row r="23" ht="18.75" customHeight="1" s="241">
      <c r="B23" s="113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3" t="inlineStr">
        <is>
          <t>С1ср</t>
        </is>
      </c>
      <c r="D7" s="28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3" t="inlineStr">
        <is>
          <t>tср</t>
        </is>
      </c>
      <c r="D8" s="28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3" t="inlineStr">
        <is>
          <t>Кув</t>
        </is>
      </c>
      <c r="D9" s="28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3" t="n"/>
      <c r="D10" s="283" t="n"/>
      <c r="E10" s="253" t="n">
        <v>3.6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3" t="inlineStr">
        <is>
          <t>КТ</t>
        </is>
      </c>
      <c r="D11" s="283" t="inlineStr">
        <is>
          <t>-</t>
        </is>
      </c>
      <c r="E11" s="254" t="n">
        <v>1.278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8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87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  <row r="14" ht="15.75" customHeight="1" s="241">
      <c r="A14" s="369" t="n"/>
      <c r="B14" s="370" t="inlineStr">
        <is>
          <t>Инженер I категории</t>
        </is>
      </c>
      <c r="C14" s="370" t="n"/>
      <c r="D14" s="370" t="n"/>
      <c r="E14" s="370" t="n"/>
      <c r="F14" s="371" t="n"/>
    </row>
    <row r="15" ht="110.25" customHeight="1" s="241">
      <c r="A15" s="245" t="inlineStr">
        <is>
          <t>1.1</t>
        </is>
      </c>
      <c r="B15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3" t="inlineStr">
        <is>
          <t>С1ср</t>
        </is>
      </c>
      <c r="D15" s="283" t="inlineStr">
        <is>
          <t>-</t>
        </is>
      </c>
      <c r="E15" s="248" t="n">
        <v>47872.94</v>
      </c>
      <c r="F15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3" t="n"/>
    </row>
    <row r="16" ht="31.5" customHeight="1" s="241">
      <c r="A16" s="245" t="inlineStr">
        <is>
          <t>1.2</t>
        </is>
      </c>
      <c r="B16" s="250" t="inlineStr">
        <is>
          <t>Среднегодовое нормативное число часов работы одного рабочего в месяц, часы (ч.)</t>
        </is>
      </c>
      <c r="C16" s="283" t="inlineStr">
        <is>
          <t>tср</t>
        </is>
      </c>
      <c r="D16" s="283" t="inlineStr">
        <is>
          <t>1973ч/12мес.</t>
        </is>
      </c>
      <c r="E16" s="249">
        <f>1973/12</f>
        <v/>
      </c>
      <c r="F16" s="250" t="inlineStr">
        <is>
          <t>Производственный календарь 2023 год
(40-часов.неделя)</t>
        </is>
      </c>
      <c r="G16" s="252" t="n"/>
    </row>
    <row r="17" ht="15.75" customHeight="1" s="241">
      <c r="A17" s="245" t="inlineStr">
        <is>
          <t>1.3</t>
        </is>
      </c>
      <c r="B17" s="250" t="inlineStr">
        <is>
          <t>Коэффициент увеличения</t>
        </is>
      </c>
      <c r="C17" s="283" t="inlineStr">
        <is>
          <t>Кув</t>
        </is>
      </c>
      <c r="D17" s="283" t="inlineStr">
        <is>
          <t>-</t>
        </is>
      </c>
      <c r="E17" s="249" t="n">
        <v>1</v>
      </c>
      <c r="F17" s="250" t="n"/>
      <c r="G17" s="252" t="n"/>
    </row>
    <row r="18" ht="15.75" customHeight="1" s="241">
      <c r="A18" s="245" t="inlineStr">
        <is>
          <t>1.4</t>
        </is>
      </c>
      <c r="B18" s="250" t="inlineStr">
        <is>
          <t>Средний разряд работ</t>
        </is>
      </c>
      <c r="C18" s="283" t="n"/>
      <c r="D18" s="283" t="n"/>
      <c r="E18" s="253" t="inlineStr">
        <is>
          <t>Инженер I категории</t>
        </is>
      </c>
      <c r="F18" s="250" t="inlineStr">
        <is>
          <t>РТМ</t>
        </is>
      </c>
      <c r="G18" s="252" t="n"/>
    </row>
    <row r="19" ht="78.75" customHeight="1" s="241">
      <c r="A19" s="258" t="inlineStr">
        <is>
          <t>1.5</t>
        </is>
      </c>
      <c r="B19" s="260" t="inlineStr">
        <is>
          <t>Тарифный коэффициент среднего разряда работ</t>
        </is>
      </c>
      <c r="C19" s="259" t="inlineStr">
        <is>
          <t>КТ</t>
        </is>
      </c>
      <c r="D19" s="259" t="inlineStr">
        <is>
          <t>-</t>
        </is>
      </c>
      <c r="E19" s="264" t="n">
        <v>2.15</v>
      </c>
      <c r="F19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3" t="n"/>
    </row>
    <row r="20" ht="78.75" customHeight="1" s="241">
      <c r="A20" s="245" t="inlineStr">
        <is>
          <t>1.6</t>
        </is>
      </c>
      <c r="B20" s="292" t="inlineStr">
        <is>
          <t>Коэффициент инфляции, определяемый поквартально</t>
        </is>
      </c>
      <c r="C20" s="283" t="inlineStr">
        <is>
          <t>Кинф</t>
        </is>
      </c>
      <c r="D20" s="283" t="inlineStr">
        <is>
          <t>-</t>
        </is>
      </c>
      <c r="E20" s="388" t="n">
        <v>1.139</v>
      </c>
      <c r="F20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2" t="n"/>
    </row>
    <row r="21" ht="63" customHeight="1" s="241">
      <c r="A21" s="245" t="inlineStr">
        <is>
          <t>1.7</t>
        </is>
      </c>
      <c r="B21" s="265" t="inlineStr">
        <is>
          <t>Размер средств на оплату труда рабочих-строителей в текущем уровне цен (ФОТр.тек.), руб/чел.-ч</t>
        </is>
      </c>
      <c r="C21" s="283" t="inlineStr">
        <is>
          <t>ФОТр.тек.</t>
        </is>
      </c>
      <c r="D21" s="283" t="inlineStr">
        <is>
          <t>(С1ср/tср*КТ*Т*Кув)*Кинф</t>
        </is>
      </c>
      <c r="E21" s="266">
        <f>((E15*E17/E16)*E19)*E20</f>
        <v/>
      </c>
      <c r="F21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3" t="n"/>
    </row>
    <row r="22" ht="15.75" customHeight="1" s="241">
      <c r="A22" s="261" t="n"/>
      <c r="B22" s="262" t="inlineStr">
        <is>
          <t>Инженер II категории</t>
        </is>
      </c>
      <c r="C22" s="262" t="n"/>
      <c r="D22" s="262" t="n"/>
      <c r="E22" s="262" t="n"/>
      <c r="F22" s="263" t="n"/>
    </row>
    <row r="23" ht="110.25" customHeight="1" s="241">
      <c r="A23" s="245" t="inlineStr">
        <is>
          <t>1.1</t>
        </is>
      </c>
      <c r="B23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3" t="inlineStr">
        <is>
          <t>С1ср</t>
        </is>
      </c>
      <c r="D23" s="283" t="inlineStr">
        <is>
          <t>-</t>
        </is>
      </c>
      <c r="E23" s="248" t="n">
        <v>47872.94</v>
      </c>
      <c r="F23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3" t="n"/>
    </row>
    <row r="24" ht="31.5" customHeight="1" s="241">
      <c r="A24" s="245" t="inlineStr">
        <is>
          <t>1.2</t>
        </is>
      </c>
      <c r="B24" s="250" t="inlineStr">
        <is>
          <t>Среднегодовое нормативное число часов работы одного рабочего в месяц, часы (ч.)</t>
        </is>
      </c>
      <c r="C24" s="283" t="inlineStr">
        <is>
          <t>tср</t>
        </is>
      </c>
      <c r="D24" s="283" t="inlineStr">
        <is>
          <t>1973ч/12мес.</t>
        </is>
      </c>
      <c r="E24" s="249">
        <f>1973/12</f>
        <v/>
      </c>
      <c r="F24" s="250" t="inlineStr">
        <is>
          <t>Производственный календарь 2023 год
(40-часов.неделя)</t>
        </is>
      </c>
      <c r="G24" s="252" t="n"/>
    </row>
    <row r="25" ht="15.75" customHeight="1" s="241">
      <c r="A25" s="245" t="inlineStr">
        <is>
          <t>1.3</t>
        </is>
      </c>
      <c r="B25" s="250" t="inlineStr">
        <is>
          <t>Коэффициент увеличения</t>
        </is>
      </c>
      <c r="C25" s="283" t="inlineStr">
        <is>
          <t>Кув</t>
        </is>
      </c>
      <c r="D25" s="283" t="inlineStr">
        <is>
          <t>-</t>
        </is>
      </c>
      <c r="E25" s="249" t="n">
        <v>1</v>
      </c>
      <c r="F25" s="250" t="n"/>
      <c r="G25" s="252" t="n"/>
    </row>
    <row r="26" ht="15.75" customHeight="1" s="241">
      <c r="A26" s="245" t="inlineStr">
        <is>
          <t>1.4</t>
        </is>
      </c>
      <c r="B26" s="250" t="inlineStr">
        <is>
          <t>Средний разряд работ</t>
        </is>
      </c>
      <c r="C26" s="283" t="n"/>
      <c r="D26" s="283" t="n"/>
      <c r="E26" s="253" t="inlineStr">
        <is>
          <t>Инженер II категории</t>
        </is>
      </c>
      <c r="F26" s="250" t="inlineStr">
        <is>
          <t>РТМ</t>
        </is>
      </c>
      <c r="G26" s="252" t="n"/>
    </row>
    <row r="27" ht="78.75" customHeight="1" s="241">
      <c r="A27" s="258" t="inlineStr">
        <is>
          <t>1.5</t>
        </is>
      </c>
      <c r="B27" s="260" t="inlineStr">
        <is>
          <t>Тарифный коэффициент среднего разряда работ</t>
        </is>
      </c>
      <c r="C27" s="259" t="inlineStr">
        <is>
          <t>КТ</t>
        </is>
      </c>
      <c r="D27" s="259" t="inlineStr">
        <is>
          <t>-</t>
        </is>
      </c>
      <c r="E27" s="264" t="n">
        <v>1.96</v>
      </c>
      <c r="F27" s="2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3" t="n"/>
    </row>
    <row r="28" ht="78.75" customHeight="1" s="241">
      <c r="A28" s="245" t="inlineStr">
        <is>
          <t>1.6</t>
        </is>
      </c>
      <c r="B28" s="292" t="inlineStr">
        <is>
          <t>Коэффициент инфляции, определяемый поквартально</t>
        </is>
      </c>
      <c r="C28" s="283" t="inlineStr">
        <is>
          <t>Кинф</t>
        </is>
      </c>
      <c r="D28" s="283" t="inlineStr">
        <is>
          <t>-</t>
        </is>
      </c>
      <c r="E28" s="388" t="n">
        <v>1.139</v>
      </c>
      <c r="F28" s="2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52" t="n"/>
    </row>
    <row r="29" ht="63" customHeight="1" s="241">
      <c r="A29" s="245" t="inlineStr">
        <is>
          <t>1.7</t>
        </is>
      </c>
      <c r="B29" s="265" t="inlineStr">
        <is>
          <t>Размер средств на оплату труда рабочих-строителей в текущем уровне цен (ФОТр.тек.), руб/чел.-ч</t>
        </is>
      </c>
      <c r="C29" s="283" t="inlineStr">
        <is>
          <t>ФОТр.тек.</t>
        </is>
      </c>
      <c r="D29" s="283" t="inlineStr">
        <is>
          <t>(С1ср/tср*КТ*Т*Кув)*Кинф</t>
        </is>
      </c>
      <c r="E29" s="266">
        <f>((E23*E25/E24)*E27)*E28</f>
        <v/>
      </c>
      <c r="F29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2025-01-24T12:12:03Z</dcterms:modified>
  <cp:lastModifiedBy>Nikolay Ivanov</cp:lastModifiedBy>
  <cp:lastPrinted>2023-11-29T09:19:06Z</cp:lastPrinted>
</cp:coreProperties>
</file>