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color rgb="FFFF0000"/>
      <sz val="11"/>
    </font>
    <font>
      <name val="Arial"/>
      <color rgb="FFFF0000"/>
      <sz val="11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2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2" fontId="2" fillId="0" borderId="4" applyAlignment="1" pivotButton="0" quotePrefix="0" xfId="0">
      <alignment horizontal="center" vertical="center" wrapText="1"/>
    </xf>
    <xf numFmtId="4" fontId="2" fillId="0" borderId="4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13" fillId="0" borderId="0" pivotButton="0" quotePrefix="0" xfId="0"/>
    <xf numFmtId="0" fontId="13" fillId="0" borderId="0" pivotButton="0" quotePrefix="0" xfId="0"/>
    <xf numFmtId="4" fontId="14" fillId="0" borderId="0" pivotButton="0" quotePrefix="0" xfId="0"/>
    <xf numFmtId="0" fontId="1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1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vertical="center" wrapText="1"/>
    </xf>
    <xf numFmtId="0" fontId="6" fillId="0" borderId="4" applyAlignment="1" pivotButton="0" quotePrefix="0" xfId="0">
      <alignment horizontal="center" vertical="center" wrapText="1"/>
    </xf>
    <xf numFmtId="4" fontId="10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5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7" pivotButton="0" quotePrefix="0" xfId="0"/>
    <xf numFmtId="166" fontId="12" fillId="0" borderId="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3" zoomScale="60" zoomScaleNormal="85" workbookViewId="0">
      <selection activeCell="C28" sqref="C28"/>
    </sheetView>
  </sheetViews>
  <sheetFormatPr baseColWidth="8" defaultRowHeight="15.75"/>
  <cols>
    <col width="9.140625" customWidth="1" style="205" min="1" max="2"/>
    <col width="36.85546875" customWidth="1" style="205" min="3" max="3"/>
    <col width="36.5703125" customWidth="1" style="205" min="4" max="4"/>
    <col width="14.28515625" customWidth="1" style="203" min="5" max="5"/>
    <col width="12.140625" customWidth="1" style="203" min="6" max="6"/>
    <col width="12.28515625" customWidth="1" style="203" min="7" max="7"/>
    <col width="15" customWidth="1" style="203" min="8" max="8"/>
    <col width="9.140625" customWidth="1" style="203" min="9" max="9"/>
  </cols>
  <sheetData>
    <row r="1">
      <c r="E1" s="205" t="n"/>
      <c r="F1" s="205" t="n"/>
      <c r="G1" s="205" t="n"/>
      <c r="H1" s="205" t="n"/>
      <c r="I1" s="205" t="n"/>
    </row>
    <row r="2">
      <c r="E2" s="205" t="n"/>
      <c r="F2" s="205" t="n"/>
      <c r="G2" s="205" t="n"/>
      <c r="H2" s="205" t="n"/>
      <c r="I2" s="205" t="n"/>
    </row>
    <row r="3">
      <c r="B3" s="230" t="inlineStr">
        <is>
          <t>Приложение № 1</t>
        </is>
      </c>
      <c r="E3" s="205" t="n"/>
      <c r="F3" s="205" t="n"/>
      <c r="G3" s="205" t="n"/>
      <c r="H3" s="205" t="n"/>
      <c r="I3" s="205" t="n"/>
    </row>
    <row r="4">
      <c r="B4" s="231" t="inlineStr">
        <is>
          <t>Сравнительная таблица отбора объекта-представителя</t>
        </is>
      </c>
      <c r="E4" s="205" t="n"/>
      <c r="F4" s="205" t="n"/>
      <c r="G4" s="205" t="n"/>
      <c r="H4" s="205" t="n"/>
      <c r="I4" s="205" t="n"/>
    </row>
    <row r="5">
      <c r="B5" s="92" t="n"/>
      <c r="C5" s="92" t="n"/>
      <c r="D5" s="92" t="n"/>
      <c r="E5" s="205" t="n"/>
      <c r="F5" s="205" t="n"/>
      <c r="G5" s="205" t="n"/>
      <c r="H5" s="205" t="n"/>
      <c r="I5" s="205" t="n"/>
    </row>
    <row r="6">
      <c r="B6" s="92" t="n"/>
      <c r="C6" s="92" t="n"/>
      <c r="D6" s="92" t="n"/>
      <c r="E6" s="205" t="n"/>
      <c r="F6" s="205" t="n"/>
      <c r="G6" s="205" t="n"/>
      <c r="H6" s="205" t="n"/>
      <c r="I6" s="205" t="n"/>
    </row>
    <row r="7" ht="31.5" customHeight="1" s="203">
      <c r="B7" s="229">
        <f>_xlfn.CONCAT(TEXT('Прил.5 Расчет СМР и ОБ'!A6,0)," - ",TEXT('Прил.5 Расчет СМР и ОБ'!D6,0))</f>
        <v/>
      </c>
      <c r="E7" s="93" t="n"/>
      <c r="F7" s="205" t="n"/>
      <c r="G7" s="205" t="n"/>
      <c r="H7" s="205" t="n"/>
      <c r="I7" s="205" t="n"/>
    </row>
    <row r="8" ht="15.75" customHeight="1" s="203">
      <c r="B8" s="128" t="inlineStr">
        <is>
          <t xml:space="preserve">Сопоставимый уровень цен: </t>
        </is>
      </c>
      <c r="C8" s="128" t="n"/>
      <c r="D8" s="128" t="inlineStr">
        <is>
          <t>2 квартал 2011</t>
        </is>
      </c>
      <c r="E8" s="205" t="n"/>
      <c r="F8" s="205" t="n"/>
      <c r="G8" s="205" t="n"/>
      <c r="H8" s="205" t="n"/>
      <c r="I8" s="205" t="n"/>
    </row>
    <row r="9" ht="15.75" customHeight="1" s="203">
      <c r="B9" s="229" t="inlineStr">
        <is>
          <t>Единица измерения  — 1 ед.</t>
        </is>
      </c>
      <c r="E9" s="93" t="n"/>
      <c r="F9" s="205" t="n"/>
      <c r="G9" s="205" t="n"/>
      <c r="H9" s="205" t="n"/>
      <c r="I9" s="205" t="n"/>
    </row>
    <row r="10">
      <c r="B10" s="229" t="n"/>
      <c r="E10" s="205" t="n"/>
      <c r="F10" s="205" t="n"/>
      <c r="G10" s="205" t="n"/>
      <c r="H10" s="205" t="n"/>
      <c r="I10" s="205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>Объект-представитель 1</t>
        </is>
      </c>
      <c r="E11" s="93" t="n"/>
      <c r="F11" s="205" t="n"/>
      <c r="G11" s="205" t="n"/>
      <c r="H11" s="205" t="n"/>
      <c r="I11" s="205" t="n"/>
    </row>
    <row r="12" ht="31.5" customHeight="1" s="203">
      <c r="B12" s="233" t="n">
        <v>1</v>
      </c>
      <c r="C12" s="217" t="inlineStr">
        <is>
          <t>Наименование объекта-представителя</t>
        </is>
      </c>
      <c r="D12" s="201" t="inlineStr">
        <is>
          <t>ПС 35 кВ Ужовка-2 (МРСК Центра и Приволжья)</t>
        </is>
      </c>
      <c r="E12" s="205" t="n"/>
      <c r="F12" s="205" t="n"/>
      <c r="G12" s="205" t="n"/>
      <c r="H12" s="205" t="n"/>
      <c r="I12" s="205" t="n"/>
    </row>
    <row r="13" ht="31.5" customHeight="1" s="203">
      <c r="B13" s="233" t="n">
        <v>2</v>
      </c>
      <c r="C13" s="217" t="inlineStr">
        <is>
          <t>Наименование субъекта Российской Федерации</t>
        </is>
      </c>
      <c r="D13" s="201" t="inlineStr">
        <is>
          <t>Нижегородская обл.</t>
        </is>
      </c>
      <c r="E13" s="205" t="n"/>
      <c r="F13" s="205" t="n"/>
      <c r="G13" s="205" t="n"/>
      <c r="H13" s="205" t="n"/>
      <c r="I13" s="205" t="n"/>
    </row>
    <row r="14">
      <c r="B14" s="233" t="n">
        <v>3</v>
      </c>
      <c r="C14" s="217" t="inlineStr">
        <is>
          <t>Климатический район и подрайон</t>
        </is>
      </c>
      <c r="D14" s="202" t="inlineStr">
        <is>
          <t>IIB</t>
        </is>
      </c>
      <c r="E14" s="205" t="n"/>
      <c r="F14" s="205" t="n"/>
      <c r="G14" s="205" t="n"/>
      <c r="H14" s="205" t="n"/>
      <c r="I14" s="205" t="n"/>
    </row>
    <row r="15">
      <c r="B15" s="233" t="n">
        <v>4</v>
      </c>
      <c r="C15" s="217" t="inlineStr">
        <is>
          <t>Мощность объекта</t>
        </is>
      </c>
      <c r="D15" s="233" t="n">
        <v>2</v>
      </c>
      <c r="E15" s="205" t="n"/>
      <c r="F15" s="205" t="n"/>
      <c r="G15" s="205" t="n"/>
      <c r="H15" s="205" t="n"/>
      <c r="I15" s="205" t="n"/>
    </row>
    <row r="16" ht="100.5" customHeight="1" s="203">
      <c r="B16" s="233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>ОПН 6 кВ</t>
        </is>
      </c>
      <c r="E16" s="205" t="n"/>
      <c r="F16" s="205" t="n"/>
      <c r="G16" s="205" t="n"/>
      <c r="H16" s="205" t="n"/>
      <c r="I16" s="205" t="n"/>
    </row>
    <row r="17" ht="82.5" customHeight="1" s="203">
      <c r="B17" s="233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D18+D19</f>
        <v/>
      </c>
      <c r="E17" s="96" t="n"/>
      <c r="F17" s="205" t="n"/>
      <c r="G17" s="205" t="n"/>
      <c r="H17" s="205" t="n"/>
      <c r="I17" s="205" t="n"/>
    </row>
    <row r="18">
      <c r="B18" s="97" t="inlineStr">
        <is>
          <t>6.1</t>
        </is>
      </c>
      <c r="C18" s="217" t="inlineStr">
        <is>
          <t>строительно-монтажные работы</t>
        </is>
      </c>
      <c r="D18" s="270">
        <f>'Прил.2 Расч стоим'!F14</f>
        <v/>
      </c>
      <c r="E18" s="205" t="n"/>
      <c r="F18" s="205" t="n"/>
      <c r="G18" s="205" t="n"/>
      <c r="H18" s="205" t="n"/>
      <c r="I18" s="205" t="n"/>
    </row>
    <row r="19">
      <c r="B19" s="97" t="inlineStr">
        <is>
          <t>6.2</t>
        </is>
      </c>
      <c r="C19" s="217" t="inlineStr">
        <is>
          <t>оборудование и инвентарь</t>
        </is>
      </c>
      <c r="D19" s="270" t="n">
        <v>0</v>
      </c>
      <c r="E19" s="205" t="n"/>
      <c r="F19" s="205" t="n"/>
      <c r="G19" s="205" t="n"/>
      <c r="H19" s="205" t="n"/>
      <c r="I19" s="205" t="n"/>
    </row>
    <row r="20">
      <c r="B20" s="97" t="inlineStr">
        <is>
          <t>6.3</t>
        </is>
      </c>
      <c r="C20" s="217" t="inlineStr">
        <is>
          <t>пусконаладочные работы</t>
        </is>
      </c>
      <c r="D20" s="270" t="n"/>
      <c r="E20" s="205" t="n"/>
      <c r="F20" s="205" t="n"/>
      <c r="G20" s="205" t="n"/>
      <c r="H20" s="205" t="n"/>
      <c r="I20" s="205" t="n"/>
    </row>
    <row r="21">
      <c r="B21" s="97" t="inlineStr">
        <is>
          <t>6.4</t>
        </is>
      </c>
      <c r="C21" s="98" t="inlineStr">
        <is>
          <t>прочие и лимитированные затраты</t>
        </is>
      </c>
      <c r="D21" s="270" t="n"/>
      <c r="E21" s="205" t="n"/>
      <c r="F21" s="205" t="n"/>
      <c r="G21" s="205" t="n"/>
      <c r="H21" s="205" t="n"/>
      <c r="I21" s="205" t="n"/>
    </row>
    <row r="22">
      <c r="B22" s="233" t="n">
        <v>7</v>
      </c>
      <c r="C22" s="98" t="inlineStr">
        <is>
          <t>Сопоставимый уровень цен</t>
        </is>
      </c>
      <c r="D22" s="233" t="inlineStr">
        <is>
          <t>2 квартал 2011</t>
        </is>
      </c>
      <c r="E22" s="96" t="n"/>
      <c r="F22" s="205" t="n"/>
      <c r="G22" s="205" t="n"/>
      <c r="H22" s="205" t="n"/>
      <c r="I22" s="205" t="n"/>
    </row>
    <row r="23" ht="119.25" customHeight="1" s="203">
      <c r="B23" s="233" t="n">
        <v>8</v>
      </c>
      <c r="C23" s="9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05" t="n"/>
      <c r="F23" s="205" t="n"/>
      <c r="G23" s="205" t="n"/>
      <c r="H23" s="205" t="n"/>
      <c r="I23" s="205" t="n"/>
    </row>
    <row r="24" ht="47.25" customHeight="1" s="203">
      <c r="B24" s="233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270">
        <f>D17/D15</f>
        <v/>
      </c>
      <c r="E24" s="96" t="n"/>
      <c r="F24" s="205" t="n"/>
      <c r="G24" s="205" t="n"/>
      <c r="H24" s="205" t="n"/>
      <c r="I24" s="205" t="n"/>
    </row>
    <row r="25" ht="47.25" customHeight="1" s="203">
      <c r="B25" s="233" t="n">
        <v>10</v>
      </c>
      <c r="C25" s="217" t="inlineStr">
        <is>
          <t>Примечание</t>
        </is>
      </c>
      <c r="D25" s="217" t="n"/>
      <c r="E25" s="205" t="n"/>
      <c r="F25" s="205" t="n"/>
      <c r="G25" s="205" t="n"/>
      <c r="H25" s="205" t="n"/>
      <c r="I25" s="205" t="n"/>
    </row>
    <row r="26">
      <c r="B26" s="268" t="n"/>
      <c r="C26" s="101" t="n"/>
      <c r="D26" s="101" t="n"/>
      <c r="E26" s="205" t="n"/>
      <c r="F26" s="205" t="n"/>
      <c r="G26" s="205" t="n"/>
      <c r="H26" s="205" t="n"/>
      <c r="I26" s="205" t="n"/>
    </row>
    <row r="27">
      <c r="B27" s="128" t="n"/>
      <c r="E27" s="205" t="n"/>
      <c r="F27" s="205" t="n"/>
      <c r="G27" s="205" t="n"/>
      <c r="H27" s="205" t="n"/>
      <c r="I27" s="205" t="n"/>
    </row>
    <row r="28">
      <c r="B28" s="205" t="inlineStr">
        <is>
          <t>Составил ______________________        Е.А. Князева</t>
        </is>
      </c>
      <c r="E28" s="205" t="n"/>
      <c r="F28" s="205" t="n"/>
      <c r="G28" s="205" t="n"/>
      <c r="H28" s="205" t="n"/>
      <c r="I28" s="205" t="n"/>
    </row>
    <row r="29" ht="22.5" customHeight="1" s="203">
      <c r="B29" s="111" t="inlineStr">
        <is>
          <t xml:space="preserve">                         (подпись, инициалы, фамилия)</t>
        </is>
      </c>
      <c r="E29" s="205" t="n"/>
      <c r="F29" s="205" t="n"/>
      <c r="G29" s="205" t="n"/>
      <c r="H29" s="205" t="n"/>
      <c r="I29" s="205" t="n"/>
    </row>
    <row r="30">
      <c r="E30" s="205" t="n"/>
      <c r="F30" s="205" t="n"/>
      <c r="G30" s="205" t="n"/>
      <c r="H30" s="205" t="n"/>
      <c r="I30" s="205" t="n"/>
    </row>
    <row r="31">
      <c r="B31" s="205" t="inlineStr">
        <is>
          <t>Проверил ______________________        А.В. Костянецкая</t>
        </is>
      </c>
      <c r="E31" s="205" t="n"/>
      <c r="F31" s="205" t="n"/>
      <c r="G31" s="205" t="n"/>
      <c r="H31" s="205" t="n"/>
      <c r="I31" s="205" t="n"/>
    </row>
    <row r="32" ht="22.5" customHeight="1" s="203">
      <c r="B32" s="111" t="inlineStr">
        <is>
          <t xml:space="preserve">                        (подпись, инициалы, фамилия)</t>
        </is>
      </c>
      <c r="E32" s="205" t="n"/>
      <c r="F32" s="205" t="n"/>
      <c r="G32" s="205" t="n"/>
      <c r="H32" s="205" t="n"/>
      <c r="I32" s="205" t="n"/>
    </row>
    <row r="33">
      <c r="E33" s="205" t="n"/>
      <c r="F33" s="205" t="n"/>
      <c r="G33" s="205" t="n"/>
      <c r="H33" s="205" t="n"/>
      <c r="I33" s="205" t="n"/>
    </row>
    <row r="34">
      <c r="E34" s="205" t="n"/>
      <c r="F34" s="205" t="n"/>
      <c r="G34" s="205" t="n"/>
      <c r="H34" s="205" t="n"/>
      <c r="I34" s="205" t="n"/>
    </row>
    <row r="35">
      <c r="E35" s="205" t="n"/>
      <c r="F35" s="205" t="n"/>
      <c r="G35" s="205" t="n"/>
      <c r="H35" s="205" t="n"/>
      <c r="I35" s="2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95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6"/>
  <sheetViews>
    <sheetView view="pageBreakPreview" topLeftCell="A3" zoomScale="60" zoomScaleNormal="100" workbookViewId="0">
      <selection activeCell="C19" sqref="C19"/>
    </sheetView>
  </sheetViews>
  <sheetFormatPr baseColWidth="8" defaultRowHeight="1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2.710937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9.140625" customWidth="1" style="203" min="11" max="11"/>
  </cols>
  <sheetData>
    <row r="1" ht="15.75" customHeight="1" s="203">
      <c r="A1" s="205" t="n"/>
      <c r="B1" s="205" t="n"/>
      <c r="C1" s="205" t="n"/>
      <c r="D1" s="205" t="n"/>
      <c r="E1" s="205" t="n"/>
      <c r="F1" s="205" t="n"/>
      <c r="G1" s="205" t="n"/>
      <c r="H1" s="205" t="n"/>
      <c r="I1" s="205" t="n"/>
      <c r="J1" s="205" t="n"/>
    </row>
    <row r="2" ht="15.75" customHeight="1" s="203">
      <c r="A2" s="205" t="n"/>
      <c r="B2" s="205" t="n"/>
      <c r="C2" s="205" t="n"/>
      <c r="D2" s="205" t="n"/>
      <c r="E2" s="205" t="n"/>
      <c r="F2" s="205" t="n"/>
      <c r="G2" s="205" t="n"/>
      <c r="H2" s="205" t="n"/>
      <c r="I2" s="205" t="n"/>
      <c r="J2" s="205" t="n"/>
    </row>
    <row r="3" ht="15.75" customHeight="1" s="203">
      <c r="A3" s="205" t="n"/>
      <c r="B3" s="230" t="inlineStr">
        <is>
          <t>Приложение № 2</t>
        </is>
      </c>
    </row>
    <row r="4" ht="15.75" customHeight="1" s="203">
      <c r="A4" s="205" t="n"/>
      <c r="B4" s="231" t="inlineStr">
        <is>
          <t>Расчет стоимости основных видов работ для выбора объекта-представителя</t>
        </is>
      </c>
    </row>
    <row r="5" ht="15.75" customHeight="1" s="203">
      <c r="A5" s="205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</row>
    <row r="6" ht="15.75" customHeight="1" s="203">
      <c r="A6" s="205" t="n"/>
      <c r="B6" s="232">
        <f>'Прил.1 Сравнит табл'!B7</f>
        <v/>
      </c>
    </row>
    <row r="7" ht="15.75" customHeight="1" s="203">
      <c r="A7" s="205" t="n"/>
      <c r="B7" s="229">
        <f>'Прил.1 Сравнит табл'!B9</f>
        <v/>
      </c>
    </row>
    <row r="8" ht="15.75" customHeight="1" s="203">
      <c r="A8" s="205" t="n"/>
      <c r="B8" s="229" t="n"/>
      <c r="C8" s="205" t="n"/>
      <c r="D8" s="205" t="n"/>
      <c r="E8" s="205" t="n"/>
      <c r="F8" s="205" t="n"/>
      <c r="G8" s="205" t="n"/>
      <c r="H8" s="205" t="n"/>
      <c r="I8" s="205" t="n"/>
      <c r="J8" s="205" t="n"/>
    </row>
    <row r="9" ht="15.75" customHeight="1" s="203">
      <c r="A9" s="205" t="n"/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271" t="n"/>
      <c r="F9" s="271" t="n"/>
      <c r="G9" s="271" t="n"/>
      <c r="H9" s="271" t="n"/>
      <c r="I9" s="271" t="n"/>
      <c r="J9" s="272" t="n"/>
    </row>
    <row r="10" ht="15.75" customHeight="1" s="203">
      <c r="A10" s="205" t="n"/>
      <c r="B10" s="273" t="n"/>
      <c r="C10" s="27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2 кв. 2011г., тыс. руб.</t>
        </is>
      </c>
      <c r="G10" s="271" t="n"/>
      <c r="H10" s="271" t="n"/>
      <c r="I10" s="271" t="n"/>
      <c r="J10" s="272" t="n"/>
    </row>
    <row r="11" ht="63" customHeight="1" s="203">
      <c r="A11" s="205" t="n"/>
      <c r="B11" s="274" t="n"/>
      <c r="C11" s="274" t="n"/>
      <c r="D11" s="274" t="n"/>
      <c r="E11" s="27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15.75" customHeight="1" s="203">
      <c r="A12" s="205" t="n"/>
      <c r="B12" s="233" t="n"/>
      <c r="C12" s="227" t="inlineStr">
        <is>
          <t>Демонтаж ОПН 6-15 кВ</t>
        </is>
      </c>
      <c r="D12" s="233" t="n"/>
      <c r="E12" s="233" t="n"/>
      <c r="F12" s="233" t="n">
        <v>10.1731402</v>
      </c>
      <c r="G12" s="272" t="n"/>
      <c r="H12" s="233" t="n">
        <v>0</v>
      </c>
      <c r="I12" s="233" t="n"/>
      <c r="J12" s="233" t="n">
        <v>10.1731402</v>
      </c>
    </row>
    <row r="13" ht="15.75" customHeight="1" s="203">
      <c r="A13" s="205" t="n"/>
      <c r="B13" s="236" t="inlineStr">
        <is>
          <t>Всего по объекту:</t>
        </is>
      </c>
      <c r="C13" s="271" t="n"/>
      <c r="D13" s="271" t="n"/>
      <c r="E13" s="272" t="n"/>
      <c r="F13" s="228" t="n"/>
      <c r="G13" s="228" t="n"/>
      <c r="H13" s="228" t="n"/>
      <c r="I13" s="228" t="n"/>
      <c r="J13" s="228" t="n"/>
    </row>
    <row r="14" ht="15.75" customHeight="1" s="203">
      <c r="A14" s="205" t="n"/>
      <c r="B14" s="236" t="inlineStr">
        <is>
          <t>Всего по объекту в сопоставимом уровне цен 2кв. 2011г:</t>
        </is>
      </c>
      <c r="C14" s="271" t="n"/>
      <c r="D14" s="271" t="n"/>
      <c r="E14" s="272" t="n"/>
      <c r="F14" s="275">
        <f>F12</f>
        <v/>
      </c>
      <c r="G14" s="272" t="n"/>
      <c r="H14" s="228">
        <f>H12</f>
        <v/>
      </c>
      <c r="I14" s="228" t="n"/>
      <c r="J14" s="228">
        <f>J12</f>
        <v/>
      </c>
    </row>
    <row r="15" ht="15" customHeight="1" s="203">
      <c r="A15" s="205" t="n"/>
      <c r="B15" s="205" t="n"/>
      <c r="C15" s="205" t="n"/>
      <c r="D15" s="205" t="n"/>
      <c r="E15" s="205" t="n"/>
      <c r="F15" s="205" t="n"/>
      <c r="G15" s="205" t="n"/>
      <c r="H15" s="205" t="n"/>
      <c r="I15" s="205" t="n"/>
      <c r="J15" s="205" t="n"/>
    </row>
    <row r="16" ht="15.75" customHeight="1" s="203">
      <c r="A16" s="205" t="n"/>
      <c r="B16" s="205" t="n"/>
      <c r="C16" s="205" t="n"/>
      <c r="D16" s="205" t="n"/>
      <c r="E16" s="205" t="n"/>
      <c r="F16" s="205" t="n"/>
      <c r="G16" s="205" t="n"/>
      <c r="H16" s="205" t="n"/>
      <c r="I16" s="205" t="n"/>
      <c r="J16" s="205" t="n"/>
    </row>
    <row r="17" ht="15.75" customHeight="1" s="203">
      <c r="A17" s="205" t="n"/>
      <c r="B17" s="205" t="n"/>
      <c r="C17" s="205" t="n"/>
      <c r="D17" s="205" t="n"/>
      <c r="E17" s="205" t="n"/>
      <c r="F17" s="205" t="n"/>
      <c r="G17" s="205" t="n"/>
      <c r="H17" s="205" t="n"/>
      <c r="I17" s="205" t="n"/>
      <c r="J17" s="205" t="n"/>
    </row>
    <row r="18" ht="15.75" customHeight="1" s="203">
      <c r="A18" s="205" t="n"/>
      <c r="B18" s="205" t="n"/>
      <c r="C18" s="205" t="n"/>
      <c r="D18" s="205" t="n"/>
      <c r="E18" s="205" t="n"/>
      <c r="F18" s="205" t="n"/>
      <c r="G18" s="205" t="n"/>
      <c r="H18" s="205" t="n"/>
      <c r="I18" s="205" t="n"/>
      <c r="J18" s="205" t="n"/>
    </row>
    <row r="19" ht="15.75" customHeight="1" s="203">
      <c r="A19" s="205" t="n"/>
      <c r="B19" s="205" t="inlineStr">
        <is>
          <t>Составил ______________________        Е.А. Князева</t>
        </is>
      </c>
      <c r="C19" s="205" t="n"/>
      <c r="D19" s="205" t="n"/>
      <c r="E19" s="205" t="n"/>
      <c r="F19" s="205" t="n"/>
      <c r="G19" s="205" t="n"/>
      <c r="H19" s="205" t="n"/>
      <c r="I19" s="205" t="n"/>
      <c r="J19" s="205" t="n"/>
    </row>
    <row r="20" ht="15.75" customHeight="1" s="203">
      <c r="A20" s="205" t="n"/>
      <c r="B20" s="111" t="inlineStr">
        <is>
          <t xml:space="preserve">                         (подпись, инициалы, фамилия)</t>
        </is>
      </c>
      <c r="C20" s="205" t="n"/>
      <c r="D20" s="205" t="n"/>
      <c r="E20" s="205" t="n"/>
      <c r="F20" s="205" t="n"/>
      <c r="G20" s="205" t="n"/>
      <c r="H20" s="205" t="n"/>
      <c r="I20" s="205" t="n"/>
      <c r="J20" s="205" t="n"/>
    </row>
    <row r="21" ht="15.75" customHeight="1" s="203">
      <c r="A21" s="205" t="n"/>
      <c r="B21" s="205" t="n"/>
      <c r="C21" s="205" t="n"/>
      <c r="D21" s="205" t="n"/>
      <c r="E21" s="205" t="n"/>
      <c r="F21" s="205" t="n"/>
      <c r="G21" s="205" t="n"/>
      <c r="H21" s="205" t="n"/>
      <c r="I21" s="205" t="n"/>
      <c r="J21" s="205" t="n"/>
    </row>
    <row r="22" ht="15.75" customHeight="1" s="203">
      <c r="A22" s="205" t="n"/>
      <c r="B22" s="205" t="inlineStr">
        <is>
          <t>Проверил ______________________        А.В. Костянецкая</t>
        </is>
      </c>
      <c r="C22" s="205" t="n"/>
      <c r="D22" s="205" t="n"/>
      <c r="E22" s="205" t="n"/>
      <c r="F22" s="205" t="n"/>
      <c r="G22" s="205" t="n"/>
      <c r="H22" s="205" t="n"/>
      <c r="I22" s="205" t="n"/>
      <c r="J22" s="205" t="n"/>
    </row>
    <row r="23" ht="22.5" customHeight="1" s="203">
      <c r="A23" s="205" t="n"/>
      <c r="B23" s="111" t="inlineStr">
        <is>
          <t xml:space="preserve">                        (подпись, инициалы, фамилия)</t>
        </is>
      </c>
      <c r="C23" s="205" t="n"/>
      <c r="D23" s="205" t="n"/>
      <c r="E23" s="205" t="n"/>
      <c r="F23" s="205" t="n"/>
      <c r="G23" s="205" t="n"/>
      <c r="H23" s="205" t="n"/>
      <c r="I23" s="205" t="n"/>
      <c r="J23" s="205" t="n"/>
    </row>
    <row r="24" ht="15.75" customHeight="1" s="203">
      <c r="A24" s="205" t="n"/>
    </row>
    <row r="25" ht="15.75" customHeight="1" s="203">
      <c r="A25" s="205" t="n"/>
    </row>
    <row r="26" ht="22.5" customHeight="1" s="203">
      <c r="A26" s="205" t="n"/>
      <c r="B26" s="111" t="n"/>
      <c r="C26" s="205" t="n"/>
      <c r="D26" s="205" t="n"/>
      <c r="E26" s="205" t="n"/>
      <c r="F26" s="205" t="n"/>
      <c r="G26" s="205" t="n"/>
      <c r="H26" s="205" t="n"/>
      <c r="I26" s="205" t="n"/>
      <c r="J26" s="20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"/>
  <sheetViews>
    <sheetView view="pageBreakPreview" topLeftCell="A46" workbookViewId="0">
      <selection activeCell="D63" sqref="D63"/>
    </sheetView>
  </sheetViews>
  <sheetFormatPr baseColWidth="8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16.140625" customWidth="1" style="205" min="7" max="7"/>
    <col width="16.7109375" customWidth="1" style="205" min="8" max="8"/>
    <col width="9.140625" customWidth="1" style="205" min="9" max="9"/>
    <col width="19.42578125" customWidth="1" style="205" min="10" max="10"/>
    <col width="13" customWidth="1" style="203" min="11" max="11"/>
    <col width="9.140625" customWidth="1" style="203" min="12" max="13"/>
  </cols>
  <sheetData>
    <row r="1">
      <c r="K1" s="205" t="n"/>
    </row>
    <row r="2">
      <c r="A2" s="230" t="inlineStr">
        <is>
          <t xml:space="preserve">Приложение № 3 </t>
        </is>
      </c>
      <c r="K2" s="205" t="n"/>
    </row>
    <row r="3">
      <c r="A3" s="231" t="inlineStr">
        <is>
          <t>Объектная ресурсная ведомость</t>
        </is>
      </c>
      <c r="K3" s="205" t="n"/>
    </row>
    <row r="4" ht="18.75" customHeight="1" s="203">
      <c r="A4" s="229" t="n"/>
      <c r="K4" s="205" t="n"/>
    </row>
    <row r="5" ht="36.75" customHeight="1" s="203">
      <c r="A5" s="242">
        <f>'Прил.1 Сравнит табл'!B7</f>
        <v/>
      </c>
      <c r="K5" s="205" t="n"/>
    </row>
    <row r="6" ht="36.75" customHeight="1" s="203">
      <c r="A6" s="242" t="n"/>
      <c r="B6" s="242" t="n"/>
      <c r="C6" s="242" t="n"/>
      <c r="D6" s="242" t="n"/>
      <c r="E6" s="242" t="n"/>
      <c r="F6" s="242" t="n"/>
      <c r="G6" s="242" t="n"/>
      <c r="H6" s="242" t="n"/>
      <c r="I6" s="205" t="n"/>
      <c r="J6" s="205" t="n"/>
      <c r="K6" s="205" t="n"/>
    </row>
    <row r="7" ht="36.75" customHeight="1" s="203">
      <c r="A7" s="242" t="n"/>
      <c r="B7" s="242" t="n"/>
      <c r="C7" s="242" t="n"/>
      <c r="D7" s="242" t="n"/>
      <c r="E7" s="242" t="n"/>
      <c r="F7" s="242" t="n"/>
      <c r="G7" s="242" t="n"/>
      <c r="H7" s="242" t="n"/>
      <c r="I7" s="205" t="n"/>
      <c r="J7" s="205" t="n"/>
      <c r="K7" s="205" t="n"/>
    </row>
    <row r="8">
      <c r="A8" s="232" t="n"/>
      <c r="B8" s="232" t="n"/>
      <c r="C8" s="232" t="n"/>
      <c r="D8" s="232" t="n"/>
      <c r="E8" s="232" t="n"/>
      <c r="F8" s="232" t="n"/>
      <c r="G8" s="232" t="n"/>
      <c r="H8" s="232" t="n"/>
      <c r="K8" s="205" t="n"/>
    </row>
    <row r="9" ht="33" customHeight="1" s="203">
      <c r="A9" s="233" t="inlineStr">
        <is>
          <t>п/п</t>
        </is>
      </c>
      <c r="B9" s="233" t="inlineStr">
        <is>
          <t>№ЛСР</t>
        </is>
      </c>
      <c r="C9" s="233" t="inlineStr">
        <is>
          <t>Код ресурса</t>
        </is>
      </c>
      <c r="D9" s="233" t="inlineStr">
        <is>
          <t>Наименование ресурса</t>
        </is>
      </c>
      <c r="E9" s="233" t="inlineStr">
        <is>
          <t>Ед. изм.</t>
        </is>
      </c>
      <c r="F9" s="233" t="inlineStr">
        <is>
          <t>Кол-во единиц по данным объекта-представителя</t>
        </is>
      </c>
      <c r="G9" s="233" t="inlineStr">
        <is>
          <t>Сметная стоимость в ценах на 01.01.2000 (руб.)</t>
        </is>
      </c>
      <c r="H9" s="272" t="n"/>
      <c r="K9" s="205" t="n"/>
    </row>
    <row r="10" ht="33" customHeight="1" s="203">
      <c r="A10" s="274" t="n"/>
      <c r="B10" s="274" t="n"/>
      <c r="C10" s="274" t="n"/>
      <c r="D10" s="274" t="n"/>
      <c r="E10" s="274" t="n"/>
      <c r="F10" s="274" t="n"/>
      <c r="G10" s="233" t="inlineStr">
        <is>
          <t>на ед.изм.</t>
        </is>
      </c>
      <c r="H10" s="233" t="inlineStr">
        <is>
          <t>общая</t>
        </is>
      </c>
      <c r="K10" s="205" t="n"/>
    </row>
    <row r="11">
      <c r="A11" s="222" t="n">
        <v>1</v>
      </c>
      <c r="B11" s="222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222" t="n">
        <v>6</v>
      </c>
      <c r="H11" s="222" t="n">
        <v>7</v>
      </c>
      <c r="I11" s="276" t="n"/>
      <c r="K11" s="205" t="n"/>
    </row>
    <row r="12">
      <c r="A12" s="239" t="inlineStr">
        <is>
          <t>Затраты труда рабочих</t>
        </is>
      </c>
      <c r="B12" s="271" t="n"/>
      <c r="C12" s="271" t="n"/>
      <c r="D12" s="271" t="n"/>
      <c r="E12" s="272" t="n"/>
      <c r="F12" s="104" t="n">
        <v>61.0848</v>
      </c>
      <c r="G12" s="104" t="n"/>
      <c r="H12" s="104">
        <f>SUM(H13:H16)</f>
        <v/>
      </c>
      <c r="I12" s="105" t="n"/>
      <c r="J12" s="105" t="n"/>
      <c r="K12" s="105" t="n"/>
    </row>
    <row r="13">
      <c r="A13" s="240" t="n">
        <v>1</v>
      </c>
      <c r="B13" s="126" t="n"/>
      <c r="C13" s="107" t="inlineStr">
        <is>
          <t>1-4-1</t>
        </is>
      </c>
      <c r="D13" s="241" t="inlineStr">
        <is>
          <t>Затраты труда рабочих (ср 4,1)</t>
        </is>
      </c>
      <c r="E13" s="240" t="inlineStr">
        <is>
          <t>чел.-ч</t>
        </is>
      </c>
      <c r="F13" s="240" t="n">
        <v>15.6168</v>
      </c>
      <c r="G13" s="109" t="n">
        <v>9.76</v>
      </c>
      <c r="H13" s="109">
        <f>ROUND(F13*G13,2)</f>
        <v/>
      </c>
      <c r="K13" s="205" t="n"/>
    </row>
    <row r="14" ht="15" customHeight="1" s="203">
      <c r="A14" s="240" t="n">
        <v>2</v>
      </c>
      <c r="B14" s="126" t="n"/>
      <c r="C14" s="107" t="inlineStr">
        <is>
          <t>1-4-0</t>
        </is>
      </c>
      <c r="D14" s="241" t="inlineStr">
        <is>
          <t>Затраты труда рабочих (ср 4)</t>
        </is>
      </c>
      <c r="E14" s="240" t="inlineStr">
        <is>
          <t>чел.-ч</t>
        </is>
      </c>
      <c r="F14" s="240" t="n">
        <v>37.02</v>
      </c>
      <c r="G14" s="109" t="n">
        <v>9.619999999999999</v>
      </c>
      <c r="H14" s="109">
        <f>ROUND(F14*G14,2)</f>
        <v/>
      </c>
      <c r="K14" s="205" t="n"/>
    </row>
    <row r="15" ht="15" customHeight="1" s="203">
      <c r="A15" s="240" t="n">
        <v>3</v>
      </c>
      <c r="B15" s="126" t="n"/>
      <c r="C15" s="107" t="inlineStr">
        <is>
          <t>1-3-8</t>
        </is>
      </c>
      <c r="D15" s="241" t="inlineStr">
        <is>
          <t>Затраты труда рабочих (ср 3,8)</t>
        </is>
      </c>
      <c r="E15" s="240" t="inlineStr">
        <is>
          <t>чел.-ч</t>
        </is>
      </c>
      <c r="F15" s="240" t="n">
        <v>7.424</v>
      </c>
      <c r="G15" s="109" t="n">
        <v>9.4</v>
      </c>
      <c r="H15" s="109">
        <f>ROUND(F15*G15,2)</f>
        <v/>
      </c>
      <c r="K15" s="205" t="n"/>
    </row>
    <row r="16">
      <c r="A16" s="240" t="n">
        <v>4</v>
      </c>
      <c r="B16" s="126" t="n"/>
      <c r="C16" s="107" t="inlineStr">
        <is>
          <t>1-3-6</t>
        </is>
      </c>
      <c r="D16" s="241" t="inlineStr">
        <is>
          <t>Затраты труда рабочих (ср 3,6)</t>
        </is>
      </c>
      <c r="E16" s="240" t="inlineStr">
        <is>
          <t>чел.-ч</t>
        </is>
      </c>
      <c r="F16" s="240" t="n">
        <v>1.024</v>
      </c>
      <c r="G16" s="109" t="n">
        <v>9.18</v>
      </c>
      <c r="H16" s="109">
        <f>ROUND(F16*G16,2)</f>
        <v/>
      </c>
      <c r="K16" s="205" t="n"/>
    </row>
    <row r="17">
      <c r="A17" s="239" t="inlineStr">
        <is>
          <t>Затраты труда машинистов</t>
        </is>
      </c>
      <c r="B17" s="271" t="n"/>
      <c r="C17" s="271" t="n"/>
      <c r="D17" s="271" t="n"/>
      <c r="E17" s="272" t="n"/>
      <c r="F17" s="239" t="n">
        <v>15.9199972</v>
      </c>
      <c r="G17" s="104" t="n"/>
      <c r="H17" s="104">
        <f>H18</f>
        <v/>
      </c>
      <c r="K17" s="205" t="n"/>
    </row>
    <row r="18">
      <c r="A18" s="240" t="n">
        <v>5</v>
      </c>
      <c r="B18" s="206" t="n"/>
      <c r="C18" s="117" t="n">
        <v>2</v>
      </c>
      <c r="D18" s="241" t="inlineStr">
        <is>
          <t>Затраты труда машинистов</t>
        </is>
      </c>
      <c r="E18" s="240" t="inlineStr">
        <is>
          <t>чел.-ч</t>
        </is>
      </c>
      <c r="F18" s="240" t="n">
        <v>15.9199972</v>
      </c>
      <c r="G18" s="109" t="n"/>
      <c r="H18" s="109" t="n">
        <v>183.44</v>
      </c>
      <c r="K18" s="205" t="n"/>
    </row>
    <row r="19">
      <c r="A19" s="239" t="inlineStr">
        <is>
          <t>Машины и механизмы</t>
        </is>
      </c>
      <c r="B19" s="271" t="n"/>
      <c r="C19" s="271" t="n"/>
      <c r="D19" s="271" t="n"/>
      <c r="E19" s="272" t="n"/>
      <c r="F19" s="239" t="n"/>
      <c r="G19" s="104" t="n"/>
      <c r="H19" s="104">
        <f>SUM(H20:H33)</f>
        <v/>
      </c>
      <c r="I19" s="105" t="n"/>
      <c r="J19" s="105" t="n"/>
      <c r="K19" s="105" t="n"/>
    </row>
    <row r="20" ht="31.5" customHeight="1" s="203">
      <c r="A20" s="240" t="n">
        <v>6</v>
      </c>
      <c r="B20" s="206" t="n"/>
      <c r="C20" s="241" t="inlineStr">
        <is>
          <t>91.05.05-015</t>
        </is>
      </c>
      <c r="D20" s="241" t="inlineStr">
        <is>
          <t>Краны на автомобильном ходу, грузоподъемность 16 т</t>
        </is>
      </c>
      <c r="E20" s="240" t="inlineStr">
        <is>
          <t>маш.час</t>
        </is>
      </c>
      <c r="F20" s="240" t="n">
        <v>4.8311676</v>
      </c>
      <c r="G20" s="109" t="n">
        <v>115.4</v>
      </c>
      <c r="H20" s="109">
        <f>ROUND(F20*G20,2)</f>
        <v/>
      </c>
      <c r="K20" s="205" t="n"/>
    </row>
    <row r="21" ht="31.5" customHeight="1" s="203">
      <c r="A21" s="240" t="n">
        <v>7</v>
      </c>
      <c r="B21" s="206" t="n"/>
      <c r="C21" s="241" t="inlineStr">
        <is>
          <t>91.04.01-031</t>
        </is>
      </c>
      <c r="D21" s="241" t="inlineStr">
        <is>
          <t>Машины бурильно-крановые на автомобиле, глубина бурения 3,5 м</t>
        </is>
      </c>
      <c r="E21" s="240" t="inlineStr">
        <is>
          <t>маш.час</t>
        </is>
      </c>
      <c r="F21" s="240" t="n">
        <v>2.14</v>
      </c>
      <c r="G21" s="109" t="n">
        <v>138.54</v>
      </c>
      <c r="H21" s="109">
        <f>ROUND(F21*G21,2)</f>
        <v/>
      </c>
      <c r="I21" s="105" t="n"/>
      <c r="J21" s="105" t="n"/>
      <c r="K21" s="105" t="n"/>
    </row>
    <row r="22" ht="31.5" customHeight="1" s="203">
      <c r="A22" s="240" t="n">
        <v>8</v>
      </c>
      <c r="B22" s="206" t="n"/>
      <c r="C22" s="241" t="inlineStr">
        <is>
          <t>91.06.06-042</t>
        </is>
      </c>
      <c r="D22" s="241" t="inlineStr">
        <is>
          <t>Подъемники гидравлические, высота подъема 10 м</t>
        </is>
      </c>
      <c r="E22" s="240" t="inlineStr">
        <is>
          <t>маш.час</t>
        </is>
      </c>
      <c r="F22" s="240" t="n">
        <v>5.95</v>
      </c>
      <c r="G22" s="109" t="n">
        <v>29.6</v>
      </c>
      <c r="H22" s="109">
        <f>ROUND(F22*G22,2)</f>
        <v/>
      </c>
      <c r="K22" s="205" t="n"/>
    </row>
    <row r="23" ht="47.25" customHeight="1" s="203">
      <c r="A23" s="240" t="n">
        <v>9</v>
      </c>
      <c r="B23" s="206" t="n"/>
      <c r="C23" s="241" t="inlineStr">
        <is>
          <t>91.18.01-007</t>
        </is>
      </c>
      <c r="D23" s="2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40" t="inlineStr">
        <is>
          <t>маш.час</t>
        </is>
      </c>
      <c r="F23" s="240" t="n">
        <v>1.504</v>
      </c>
      <c r="G23" s="109" t="n">
        <v>90</v>
      </c>
      <c r="H23" s="109">
        <f>ROUND(F23*G23,2)</f>
        <v/>
      </c>
      <c r="K23" s="205" t="n"/>
    </row>
    <row r="24">
      <c r="A24" s="240" t="n">
        <v>10</v>
      </c>
      <c r="B24" s="206" t="n"/>
      <c r="C24" s="241" t="inlineStr">
        <is>
          <t>91.14.02-001</t>
        </is>
      </c>
      <c r="D24" s="241" t="inlineStr">
        <is>
          <t>Автомобили бортовые, грузоподъемность до 5 т</t>
        </is>
      </c>
      <c r="E24" s="240" t="inlineStr">
        <is>
          <t>маш.час</t>
        </is>
      </c>
      <c r="F24" s="240" t="n">
        <v>0.892</v>
      </c>
      <c r="G24" s="109" t="n">
        <v>65.70999999999999</v>
      </c>
      <c r="H24" s="109">
        <f>ROUND(F24*G24,2)</f>
        <v/>
      </c>
      <c r="K24" s="205" t="n"/>
    </row>
    <row r="25" ht="31.5" customHeight="1" s="203">
      <c r="A25" s="240" t="n">
        <v>11</v>
      </c>
      <c r="B25" s="206" t="n"/>
      <c r="C25" s="241" t="inlineStr">
        <is>
          <t>91.05.06-012</t>
        </is>
      </c>
      <c r="D25" s="241" t="inlineStr">
        <is>
          <t>Краны на гусеничном ходу, грузоподъемность до 16 т</t>
        </is>
      </c>
      <c r="E25" s="240" t="inlineStr">
        <is>
          <t>маш.час</t>
        </is>
      </c>
      <c r="F25" s="240" t="n">
        <v>0.5600000000000001</v>
      </c>
      <c r="G25" s="109" t="n">
        <v>96.89</v>
      </c>
      <c r="H25" s="109">
        <f>ROUND(F25*G25,2)</f>
        <v/>
      </c>
      <c r="K25" s="205" t="n"/>
    </row>
    <row r="26" ht="47.25" customHeight="1" s="203">
      <c r="A26" s="240" t="n">
        <v>12</v>
      </c>
      <c r="B26" s="206" t="n"/>
      <c r="C26" s="241" t="inlineStr">
        <is>
          <t>91.17.04-036</t>
        </is>
      </c>
      <c r="D26" s="241" t="inlineStr">
        <is>
          <t>Агрегаты сварочные передвижные с дизельным двигателем, номинальный сварочный ток 250-400 А</t>
        </is>
      </c>
      <c r="E26" s="240" t="inlineStr">
        <is>
          <t>маш.час</t>
        </is>
      </c>
      <c r="F26" s="240" t="n">
        <v>1.9599944</v>
      </c>
      <c r="G26" s="109" t="n">
        <v>14</v>
      </c>
      <c r="H26" s="109">
        <f>ROUND(F26*G26,2)</f>
        <v/>
      </c>
      <c r="K26" s="205" t="n"/>
    </row>
    <row r="27" ht="47.25" customHeight="1" s="203">
      <c r="A27" s="240" t="n">
        <v>13</v>
      </c>
      <c r="B27" s="206" t="n"/>
      <c r="C27" s="241" t="inlineStr">
        <is>
          <t>91.19.06-011</t>
        </is>
      </c>
      <c r="D27" s="241" t="inlineStr">
        <is>
          <t>Насосы грязевые, подача 23,4-65,3 м3/ч, давление нагнетания 15,7-5,88 МПа (160-60 кгс/см2)</t>
        </is>
      </c>
      <c r="E27" s="240" t="inlineStr">
        <is>
          <t>маш.час</t>
        </is>
      </c>
      <c r="F27" s="240" t="n">
        <v>0.336</v>
      </c>
      <c r="G27" s="109" t="n">
        <v>32.71</v>
      </c>
      <c r="H27" s="109">
        <f>ROUND(F27*G27,2)</f>
        <v/>
      </c>
      <c r="K27" s="205" t="n"/>
    </row>
    <row r="28" ht="31.5" customHeight="1" s="203">
      <c r="A28" s="240" t="n">
        <v>14</v>
      </c>
      <c r="B28" s="206" t="n"/>
      <c r="C28" s="241" t="inlineStr">
        <is>
          <t>91.17.04-233</t>
        </is>
      </c>
      <c r="D28" s="241" t="inlineStr">
        <is>
          <t>Установки для сварки ручной дуговой (постоянного тока)</t>
        </is>
      </c>
      <c r="E28" s="240" t="inlineStr">
        <is>
          <t>маш.час</t>
        </is>
      </c>
      <c r="F28" s="240" t="n">
        <v>0.72</v>
      </c>
      <c r="G28" s="109" t="n">
        <v>8.1</v>
      </c>
      <c r="H28" s="109">
        <f>ROUND(F28*G28,2)</f>
        <v/>
      </c>
      <c r="K28" s="205" t="n"/>
    </row>
    <row r="29" ht="31.5" customHeight="1" s="203">
      <c r="A29" s="240" t="n">
        <v>15</v>
      </c>
      <c r="B29" s="206" t="n"/>
      <c r="C29" s="241" t="inlineStr">
        <is>
          <t>91.06.03-061</t>
        </is>
      </c>
      <c r="D29" s="241" t="inlineStr">
        <is>
          <t>Лебедки электрические тяговым усилием до 12,26 кН (1,25 т)</t>
        </is>
      </c>
      <c r="E29" s="240" t="inlineStr">
        <is>
          <t>маш.час</t>
        </is>
      </c>
      <c r="F29" s="240" t="n">
        <v>1.76</v>
      </c>
      <c r="G29" s="109" t="n">
        <v>3.28</v>
      </c>
      <c r="H29" s="109">
        <f>ROUND(F29*G29,2)</f>
        <v/>
      </c>
      <c r="K29" s="205" t="n"/>
    </row>
    <row r="30" ht="31.5" customHeight="1" s="203">
      <c r="A30" s="240" t="n">
        <v>16</v>
      </c>
      <c r="B30" s="206" t="n"/>
      <c r="C30" s="241" t="inlineStr">
        <is>
          <t>91.06.01-003</t>
        </is>
      </c>
      <c r="D30" s="241" t="inlineStr">
        <is>
          <t>Домкраты гидравлические, грузоподъемность 63-100 т</t>
        </is>
      </c>
      <c r="E30" s="240" t="inlineStr">
        <is>
          <t>маш.час</t>
        </is>
      </c>
      <c r="F30" s="240" t="n">
        <v>5.54</v>
      </c>
      <c r="G30" s="109" t="n">
        <v>0.9</v>
      </c>
      <c r="H30" s="109">
        <f>ROUND(F30*G30,2)</f>
        <v/>
      </c>
      <c r="K30" s="205" t="n"/>
    </row>
    <row r="31">
      <c r="A31" s="240" t="n">
        <v>17</v>
      </c>
      <c r="B31" s="206" t="n"/>
      <c r="C31" s="241" t="inlineStr">
        <is>
          <t>91.14.02-002</t>
        </is>
      </c>
      <c r="D31" s="241" t="inlineStr">
        <is>
          <t>Автомобили бортовые, грузоподъемность до 8 т</t>
        </is>
      </c>
      <c r="E31" s="240" t="inlineStr">
        <is>
          <t>маш.час</t>
        </is>
      </c>
      <c r="F31" s="240" t="n">
        <v>0.0428296</v>
      </c>
      <c r="G31" s="109" t="n">
        <v>85.84</v>
      </c>
      <c r="H31" s="109">
        <f>ROUND(F31*G31,2)</f>
        <v/>
      </c>
      <c r="K31" s="205" t="n"/>
    </row>
    <row r="32" ht="31.5" customHeight="1" s="203">
      <c r="A32" s="240" t="n">
        <v>18</v>
      </c>
      <c r="B32" s="206" t="n"/>
      <c r="C32" s="241" t="inlineStr">
        <is>
          <t>91.08.09-023</t>
        </is>
      </c>
      <c r="D32" s="241" t="inlineStr">
        <is>
          <t>Трамбовки пневматические при работе от передвижных компрессорных станций</t>
        </is>
      </c>
      <c r="E32" s="240" t="inlineStr">
        <is>
          <t>маш.час</t>
        </is>
      </c>
      <c r="F32" s="240" t="n">
        <v>3.008</v>
      </c>
      <c r="G32" s="109" t="n">
        <v>0.55</v>
      </c>
      <c r="H32" s="109">
        <f>ROUND(F32*G32,2)</f>
        <v/>
      </c>
      <c r="K32" s="205" t="n"/>
    </row>
    <row r="33">
      <c r="A33" s="240" t="n">
        <v>19</v>
      </c>
      <c r="B33" s="206" t="n"/>
      <c r="C33" s="241" t="inlineStr">
        <is>
          <t>91.07.04-001</t>
        </is>
      </c>
      <c r="D33" s="241" t="inlineStr">
        <is>
          <t>Вибраторы глубинные</t>
        </is>
      </c>
      <c r="E33" s="240" t="inlineStr">
        <is>
          <t>маш.час</t>
        </is>
      </c>
      <c r="F33" s="240" t="n">
        <v>0.384</v>
      </c>
      <c r="G33" s="109" t="n">
        <v>1.9</v>
      </c>
      <c r="H33" s="109">
        <f>ROUND(F33*G33,2)</f>
        <v/>
      </c>
      <c r="K33" s="205" t="n"/>
    </row>
    <row r="34">
      <c r="A34" s="239" t="inlineStr">
        <is>
          <t>Оборудование</t>
        </is>
      </c>
      <c r="B34" s="271" t="n"/>
      <c r="C34" s="271" t="n"/>
      <c r="D34" s="271" t="n"/>
      <c r="E34" s="272" t="n"/>
      <c r="F34" s="239" t="n"/>
      <c r="G34" s="104" t="n"/>
      <c r="H34" s="104">
        <f>H35</f>
        <v/>
      </c>
      <c r="J34" s="119" t="n"/>
    </row>
    <row r="35" ht="63" customHeight="1" s="203">
      <c r="A35" s="240" t="n"/>
      <c r="B35" s="206" t="n"/>
      <c r="C35" s="241" t="inlineStr">
        <is>
          <t>Прайс из СД ОП</t>
        </is>
      </c>
      <c r="D35" s="241" t="inlineStr">
        <is>
          <t>Ограничитель перенапряжений нелинейный полимерный, наружной установки Uном=50,6 кВ, Uном.р.=40,5 кВ ОПНп-35/550/40,5-10-II УХЛ1</t>
        </is>
      </c>
      <c r="E35" s="240" t="inlineStr">
        <is>
          <t>шт.</t>
        </is>
      </c>
      <c r="F35" s="240" t="n">
        <v>6</v>
      </c>
      <c r="G35" s="109" t="n">
        <v>5509.26</v>
      </c>
      <c r="H35" s="109">
        <f>ROUND(F35*G35,2)</f>
        <v/>
      </c>
      <c r="J35" s="119" t="n"/>
    </row>
    <row r="36">
      <c r="A36" s="239" t="inlineStr">
        <is>
          <t>Материалы</t>
        </is>
      </c>
      <c r="B36" s="271" t="n"/>
      <c r="C36" s="271" t="n"/>
      <c r="D36" s="271" t="n"/>
      <c r="E36" s="272" t="n"/>
      <c r="F36" s="239" t="n"/>
      <c r="G36" s="104" t="n"/>
      <c r="H36" s="104">
        <f>SUM(H37:H58)</f>
        <v/>
      </c>
      <c r="J36" s="119" t="n"/>
    </row>
    <row r="37">
      <c r="A37" s="240" t="n"/>
      <c r="B37" s="206" t="n"/>
      <c r="C37" s="241" t="inlineStr">
        <is>
          <t>22.2.02.07-0003</t>
        </is>
      </c>
      <c r="D37" s="241" t="inlineStr">
        <is>
          <t>Конструкции стальные порталов ОРУ</t>
        </is>
      </c>
      <c r="E37" s="240" t="inlineStr">
        <is>
          <t>т</t>
        </is>
      </c>
      <c r="F37" s="240" t="n">
        <v>0.40448</v>
      </c>
      <c r="G37" s="109" t="n">
        <v>12500</v>
      </c>
      <c r="H37" s="109">
        <f>ROUND(F37*G37,2)</f>
        <v/>
      </c>
      <c r="J37" s="119" t="n"/>
    </row>
    <row r="38" ht="31.5" customHeight="1" s="203">
      <c r="A38" s="240" t="n"/>
      <c r="B38" s="206" t="n"/>
      <c r="C38" s="241" t="inlineStr">
        <is>
          <t>07.2.07.13-0211</t>
        </is>
      </c>
      <c r="D38" s="241" t="inlineStr">
        <is>
          <t>Тяги, распорки, связи, стойки стальные оцинкованные</t>
        </is>
      </c>
      <c r="E38" s="240" t="inlineStr">
        <is>
          <t>т</t>
        </is>
      </c>
      <c r="F38" s="240" t="n">
        <v>0.1754</v>
      </c>
      <c r="G38" s="109" t="n">
        <v>22977.81</v>
      </c>
      <c r="H38" s="109">
        <f>ROUND(F38*G38,2)</f>
        <v/>
      </c>
      <c r="J38" s="119" t="n"/>
    </row>
    <row r="39" ht="47.25" customHeight="1" s="203">
      <c r="A39" s="240" t="n"/>
      <c r="B39" s="206" t="n"/>
      <c r="C39" s="241" t="inlineStr">
        <is>
          <t>05.1.02.07-0028</t>
        </is>
      </c>
      <c r="D39" s="241" t="inlineStr">
        <is>
          <t>Стойки железобетонные под оборудование подстанций УСО-1А, бетон B15, объем 0,32 м3, расход арматуры 66,53 кг</t>
        </is>
      </c>
      <c r="E39" s="240" t="inlineStr">
        <is>
          <t>шт</t>
        </is>
      </c>
      <c r="F39" s="240" t="n">
        <v>2</v>
      </c>
      <c r="G39" s="109" t="n">
        <v>1340.68</v>
      </c>
      <c r="H39" s="109">
        <f>ROUND(F39*G39,2)</f>
        <v/>
      </c>
      <c r="J39" s="119" t="n"/>
    </row>
    <row r="40">
      <c r="A40" s="240" t="n"/>
      <c r="B40" s="206" t="n"/>
      <c r="C40" s="241" t="inlineStr">
        <is>
          <t>20.1.01.02-0066</t>
        </is>
      </c>
      <c r="D40" s="241" t="inlineStr">
        <is>
          <t>Зажим аппаратный прессуемый: А4А-300-2</t>
        </is>
      </c>
      <c r="E40" s="240" t="inlineStr">
        <is>
          <t>100 шт</t>
        </is>
      </c>
      <c r="F40" s="240" t="n">
        <v>0.18</v>
      </c>
      <c r="G40" s="109" t="n">
        <v>6080</v>
      </c>
      <c r="H40" s="109">
        <f>ROUND(F40*G40,2)</f>
        <v/>
      </c>
      <c r="J40" s="119" t="n"/>
    </row>
    <row r="41" ht="31.5" customHeight="1" s="203">
      <c r="A41" s="240" t="n"/>
      <c r="B41" s="206" t="n"/>
      <c r="C41" s="241" t="inlineStr">
        <is>
          <t>21.2.01.02-0094</t>
        </is>
      </c>
      <c r="D41" s="241" t="inlineStr">
        <is>
          <t>Провод неизолированный для воздушных линий электропередачи АС 300/39</t>
        </is>
      </c>
      <c r="E41" s="240" t="inlineStr">
        <is>
          <t>т</t>
        </is>
      </c>
      <c r="F41" s="240" t="n">
        <v>0.0311753</v>
      </c>
      <c r="G41" s="109" t="n">
        <v>32758.86</v>
      </c>
      <c r="H41" s="109">
        <f>ROUND(F41*G41,2)</f>
        <v/>
      </c>
      <c r="J41" s="119" t="n"/>
    </row>
    <row r="42" ht="31.5" customHeight="1" s="203">
      <c r="A42" s="240" t="n"/>
      <c r="B42" s="206" t="n"/>
      <c r="C42" s="241" t="inlineStr">
        <is>
          <t>04.1.02.05-0003</t>
        </is>
      </c>
      <c r="D42" s="241" t="inlineStr">
        <is>
          <t>Смеси бетонные тяжелого бетона (БСТ), класс В7,5 (М100)</t>
        </is>
      </c>
      <c r="E42" s="240" t="inlineStr">
        <is>
          <t>м3</t>
        </is>
      </c>
      <c r="F42" s="240" t="n">
        <v>1.632</v>
      </c>
      <c r="G42" s="109" t="n">
        <v>560</v>
      </c>
      <c r="H42" s="109">
        <f>ROUND(F42*G42,2)</f>
        <v/>
      </c>
      <c r="J42" s="119" t="n"/>
    </row>
    <row r="43" ht="31.5" customHeight="1" s="203">
      <c r="A43" s="240" t="n"/>
      <c r="B43" s="206" t="n"/>
      <c r="C43" s="241" t="inlineStr">
        <is>
          <t>21.1.06.09-0177</t>
        </is>
      </c>
      <c r="D43" s="241" t="inlineStr">
        <is>
          <t>Кабель силовой с медными жилами ВВГнг(A)-LS 5х4-660</t>
        </is>
      </c>
      <c r="E43" s="240" t="inlineStr">
        <is>
          <t>1000 м</t>
        </is>
      </c>
      <c r="F43" s="240" t="n">
        <v>0.04</v>
      </c>
      <c r="G43" s="109" t="n">
        <v>18047.85</v>
      </c>
      <c r="H43" s="109">
        <f>ROUND(F43*G43,2)</f>
        <v/>
      </c>
      <c r="J43" s="119" t="n"/>
    </row>
    <row r="44">
      <c r="A44" s="240" t="n"/>
      <c r="B44" s="206" t="n"/>
      <c r="C44" s="241" t="inlineStr">
        <is>
          <t>21.1.08.03-0693</t>
        </is>
      </c>
      <c r="D44" s="241" t="inlineStr">
        <is>
          <t>Кабель контрольный КВВГЭнг-LS 4х1,5</t>
        </is>
      </c>
      <c r="E44" s="240" t="inlineStr">
        <is>
          <t>1000 м</t>
        </is>
      </c>
      <c r="F44" s="240" t="n">
        <v>0.04</v>
      </c>
      <c r="G44" s="109" t="n">
        <v>8958.610000000001</v>
      </c>
      <c r="H44" s="109">
        <f>ROUND(F44*G44,2)</f>
        <v/>
      </c>
      <c r="J44" s="119" t="n"/>
    </row>
    <row r="45">
      <c r="A45" s="240" t="n"/>
      <c r="B45" s="206" t="n"/>
      <c r="C45" s="241" t="inlineStr">
        <is>
          <t>01.7.15.03-0042</t>
        </is>
      </c>
      <c r="D45" s="241" t="inlineStr">
        <is>
          <t>Болты с гайками и шайбами строительные</t>
        </is>
      </c>
      <c r="E45" s="240" t="inlineStr">
        <is>
          <t>кг</t>
        </is>
      </c>
      <c r="F45" s="240" t="n">
        <v>29.8</v>
      </c>
      <c r="G45" s="109" t="n">
        <v>9.039999999999999</v>
      </c>
      <c r="H45" s="109">
        <f>ROUND(F45*G45,2)</f>
        <v/>
      </c>
      <c r="J45" s="119" t="n"/>
    </row>
    <row r="46" ht="47.25" customHeight="1" s="203">
      <c r="A46" s="240" t="n"/>
      <c r="B46" s="206" t="n"/>
      <c r="C46" s="241" t="inlineStr">
        <is>
          <t>23.3.01.04-0074</t>
        </is>
      </c>
      <c r="D46" s="241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46" s="240" t="inlineStr">
        <is>
          <t>м</t>
        </is>
      </c>
      <c r="F46" s="240" t="n">
        <v>0.24</v>
      </c>
      <c r="G46" s="109" t="n">
        <v>1001.3</v>
      </c>
      <c r="H46" s="109">
        <f>ROUND(F46*G46,2)</f>
        <v/>
      </c>
      <c r="J46" s="119" t="n"/>
    </row>
    <row r="47" ht="31.5" customHeight="1" s="203">
      <c r="A47" s="240" t="n"/>
      <c r="B47" s="206" t="n"/>
      <c r="C47" s="241" t="inlineStr">
        <is>
          <t>08.3.07.01-0076</t>
        </is>
      </c>
      <c r="D47" s="241" t="inlineStr">
        <is>
          <t>Прокат полосовой, горячекатаный, марка стали Ст3сп, ширина 50-200 мм, толщина 4-5 мм</t>
        </is>
      </c>
      <c r="E47" s="240" t="inlineStr">
        <is>
          <t>т</t>
        </is>
      </c>
      <c r="F47" s="240" t="n">
        <v>0.018</v>
      </c>
      <c r="G47" s="109" t="n">
        <v>5000</v>
      </c>
      <c r="H47" s="109">
        <f>ROUND(F47*G47,2)</f>
        <v/>
      </c>
      <c r="J47" s="119" t="n"/>
    </row>
    <row r="48">
      <c r="A48" s="240" t="n"/>
      <c r="B48" s="206" t="n"/>
      <c r="C48" s="241" t="inlineStr">
        <is>
          <t>14.4.02.09-0001</t>
        </is>
      </c>
      <c r="D48" s="241" t="inlineStr">
        <is>
          <t>Краска</t>
        </is>
      </c>
      <c r="E48" s="240" t="inlineStr">
        <is>
          <t>кг</t>
        </is>
      </c>
      <c r="F48" s="240" t="n">
        <v>2.4</v>
      </c>
      <c r="G48" s="109" t="n">
        <v>28.6</v>
      </c>
      <c r="H48" s="109">
        <f>ROUND(F48*G48,2)</f>
        <v/>
      </c>
      <c r="J48" s="119" t="n"/>
    </row>
    <row r="49">
      <c r="A49" s="240" t="n"/>
      <c r="B49" s="206" t="n"/>
      <c r="C49" s="241" t="inlineStr">
        <is>
          <t>01.7.11.07-0032</t>
        </is>
      </c>
      <c r="D49" s="241" t="inlineStr">
        <is>
          <t>Электроды сварочные Э42, диаметр 4 мм</t>
        </is>
      </c>
      <c r="E49" s="240" t="inlineStr">
        <is>
          <t>т</t>
        </is>
      </c>
      <c r="F49" s="240" t="n">
        <v>0.0057988</v>
      </c>
      <c r="G49" s="109" t="n">
        <v>10315.01</v>
      </c>
      <c r="H49" s="109">
        <f>ROUND(F49*G49,2)</f>
        <v/>
      </c>
      <c r="J49" s="119" t="n"/>
    </row>
    <row r="50" ht="31.5" customHeight="1" s="203">
      <c r="A50" s="240" t="n"/>
      <c r="B50" s="206" t="n"/>
      <c r="C50" s="241" t="inlineStr">
        <is>
          <t>10.3.02.03-0011</t>
        </is>
      </c>
      <c r="D50" s="241" t="inlineStr">
        <is>
          <t>Припои оловянно-свинцовые бессурьмянистые, марка ПОС30</t>
        </is>
      </c>
      <c r="E50" s="240" t="inlineStr">
        <is>
          <t>т</t>
        </is>
      </c>
      <c r="F50" s="240" t="n">
        <v>0.000208</v>
      </c>
      <c r="G50" s="109" t="n">
        <v>68050</v>
      </c>
      <c r="H50" s="109">
        <f>ROUND(F50*G50,2)</f>
        <v/>
      </c>
      <c r="J50" s="119" t="n"/>
    </row>
    <row r="51" ht="31.5" customHeight="1" s="203">
      <c r="A51" s="240" t="n"/>
      <c r="B51" s="206" t="n"/>
      <c r="C51" s="241" t="inlineStr">
        <is>
          <t>01.3.01.06-0050</t>
        </is>
      </c>
      <c r="D51" s="241" t="inlineStr">
        <is>
          <t>Смазка универсальная тугоплавкая УТ (консталин жировой)</t>
        </is>
      </c>
      <c r="E51" s="240" t="inlineStr">
        <is>
          <t>т</t>
        </is>
      </c>
      <c r="F51" s="240" t="n">
        <v>0.00054</v>
      </c>
      <c r="G51" s="109" t="n">
        <v>17500</v>
      </c>
      <c r="H51" s="109">
        <f>ROUND(F51*G51,2)</f>
        <v/>
      </c>
      <c r="J51" s="119" t="n"/>
    </row>
    <row r="52" ht="31.5" customHeight="1" s="203">
      <c r="A52" s="240" t="n"/>
      <c r="B52" s="206" t="n"/>
      <c r="C52" s="241" t="inlineStr">
        <is>
          <t>999-9950</t>
        </is>
      </c>
      <c r="D52" s="241" t="inlineStr">
        <is>
          <t>Вспомогательные ненормируемые ресурсы (2% от Оплаты труда рабочих)</t>
        </is>
      </c>
      <c r="E52" s="240" t="inlineStr">
        <is>
          <t>руб</t>
        </is>
      </c>
      <c r="F52" s="240" t="n">
        <v>8.102</v>
      </c>
      <c r="G52" s="109" t="n">
        <v>1</v>
      </c>
      <c r="H52" s="109">
        <f>ROUND(F52*G52,2)</f>
        <v/>
      </c>
      <c r="J52" s="119" t="n"/>
    </row>
    <row r="53">
      <c r="A53" s="240" t="n"/>
      <c r="B53" s="206" t="n"/>
      <c r="C53" s="241" t="inlineStr">
        <is>
          <t>02.2.05.04-1777</t>
        </is>
      </c>
      <c r="D53" s="241" t="inlineStr">
        <is>
          <t>Щебень М 800, фракция 20-40 мм, группа 2</t>
        </is>
      </c>
      <c r="E53" s="240" t="inlineStr">
        <is>
          <t>м3</t>
        </is>
      </c>
      <c r="F53" s="240" t="n">
        <v>0.06</v>
      </c>
      <c r="G53" s="109" t="n">
        <v>108.4</v>
      </c>
      <c r="H53" s="109">
        <f>ROUND(F53*G53,2)</f>
        <v/>
      </c>
      <c r="J53" s="119" t="n"/>
    </row>
    <row r="54">
      <c r="A54" s="240" t="n"/>
      <c r="B54" s="206" t="n"/>
      <c r="C54" s="241" t="inlineStr">
        <is>
          <t>01.7.20.08-0031</t>
        </is>
      </c>
      <c r="D54" s="241" t="inlineStr">
        <is>
          <t>Бязь суровая</t>
        </is>
      </c>
      <c r="E54" s="240" t="inlineStr">
        <is>
          <t>10 м2</t>
        </is>
      </c>
      <c r="F54" s="240" t="n">
        <v>0.078</v>
      </c>
      <c r="G54" s="109" t="n">
        <v>79.09999999999999</v>
      </c>
      <c r="H54" s="109">
        <f>ROUND(F54*G54,2)</f>
        <v/>
      </c>
      <c r="J54" s="119" t="n"/>
    </row>
    <row r="55">
      <c r="A55" s="240" t="n"/>
      <c r="B55" s="206" t="n"/>
      <c r="C55" s="241" t="inlineStr">
        <is>
          <t>14.4.03.03-0002</t>
        </is>
      </c>
      <c r="D55" s="241" t="inlineStr">
        <is>
          <t>Лак битумный БТ-123</t>
        </is>
      </c>
      <c r="E55" s="240" t="inlineStr">
        <is>
          <t>т</t>
        </is>
      </c>
      <c r="F55" s="240" t="n">
        <v>0.000576</v>
      </c>
      <c r="G55" s="109" t="n">
        <v>7826.9</v>
      </c>
      <c r="H55" s="109">
        <f>ROUND(F55*G55,2)</f>
        <v/>
      </c>
      <c r="J55" s="119" t="n"/>
    </row>
    <row r="56">
      <c r="A56" s="240" t="n"/>
      <c r="B56" s="206" t="n"/>
      <c r="C56" s="241" t="inlineStr">
        <is>
          <t>01.7.11.07-0034</t>
        </is>
      </c>
      <c r="D56" s="241" t="inlineStr">
        <is>
          <t>Электроды сварочные Э42А, диаметр 4 мм</t>
        </is>
      </c>
      <c r="E56" s="240" t="inlineStr">
        <is>
          <t>кг</t>
        </is>
      </c>
      <c r="F56" s="240" t="n">
        <v>0.3</v>
      </c>
      <c r="G56" s="109" t="n">
        <v>10.57</v>
      </c>
      <c r="H56" s="109">
        <f>ROUND(F56*G56,2)</f>
        <v/>
      </c>
      <c r="J56" s="119" t="n"/>
    </row>
    <row r="57">
      <c r="A57" s="240" t="n"/>
      <c r="B57" s="206" t="n"/>
      <c r="C57" s="241" t="inlineStr">
        <is>
          <t>01.7.06.07-0002</t>
        </is>
      </c>
      <c r="D57" s="241" t="inlineStr">
        <is>
          <t>Лента монтажная, тип ЛМ-5</t>
        </is>
      </c>
      <c r="E57" s="240" t="inlineStr">
        <is>
          <t>10 м</t>
        </is>
      </c>
      <c r="F57" s="240" t="n">
        <v>0.196</v>
      </c>
      <c r="G57" s="109" t="n">
        <v>6.9</v>
      </c>
      <c r="H57" s="109">
        <f>ROUND(F57*G57,2)</f>
        <v/>
      </c>
      <c r="J57" s="119" t="n"/>
    </row>
    <row r="58">
      <c r="A58" s="240" t="n"/>
      <c r="B58" s="206" t="n"/>
      <c r="C58" s="241" t="inlineStr">
        <is>
          <t>01.7.15.14-0165</t>
        </is>
      </c>
      <c r="D58" s="241" t="inlineStr">
        <is>
          <t>Шурупы с полукруглой головкой 4х40 мм</t>
        </is>
      </c>
      <c r="E58" s="240" t="inlineStr">
        <is>
          <t>т</t>
        </is>
      </c>
      <c r="F58" s="240" t="n">
        <v>8.8e-05</v>
      </c>
      <c r="G58" s="109" t="n">
        <v>12430</v>
      </c>
      <c r="H58" s="109">
        <f>ROUND(F58*G58,2)</f>
        <v/>
      </c>
      <c r="J58" s="119" t="n"/>
    </row>
    <row r="59">
      <c r="J59" s="119" t="n"/>
    </row>
    <row r="61">
      <c r="B61" s="205" t="inlineStr">
        <is>
          <t>Составил ______________________        Е.А. Князева</t>
        </is>
      </c>
    </row>
    <row r="62">
      <c r="B62" s="128" t="inlineStr">
        <is>
          <t xml:space="preserve">                         (подпись, инициалы, фамилия)</t>
        </is>
      </c>
    </row>
    <row r="64">
      <c r="B64" s="205" t="inlineStr">
        <is>
          <t>Проверил ______________________        А.В. Костянецкая</t>
        </is>
      </c>
    </row>
    <row r="65">
      <c r="B65" s="12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34:E34"/>
    <mergeCell ref="A9:A10"/>
    <mergeCell ref="A2:H2"/>
    <mergeCell ref="A19:E19"/>
    <mergeCell ref="A36:E36"/>
    <mergeCell ref="A5:H5"/>
    <mergeCell ref="G9:H9"/>
    <mergeCell ref="A17:E17"/>
  </mergeCells>
  <pageMargins left="0.7" right="0.7" top="0.75" bottom="0.75" header="0.3" footer="0.3"/>
  <pageSetup orientation="portrait" paperSize="9" scale="49"/>
  <rowBreaks count="1" manualBreakCount="1">
    <brk id="5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03" min="1" max="1"/>
    <col width="36.28515625" customWidth="1" style="203" min="2" max="2"/>
    <col width="18.85546875" customWidth="1" style="203" min="3" max="3"/>
    <col width="18.28515625" customWidth="1" style="203" min="4" max="4"/>
    <col width="18.85546875" customWidth="1" style="203" min="5" max="5"/>
    <col width="9.140625" customWidth="1" style="203" min="6" max="6"/>
    <col width="12.85546875" customWidth="1" style="203" min="7" max="7"/>
    <col width="9.140625" customWidth="1" style="203" min="8" max="11"/>
    <col width="13.5703125" customWidth="1" style="203" min="12" max="12"/>
    <col width="9.140625" customWidth="1" style="203" min="13" max="13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66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43" t="inlineStr">
        <is>
          <t>Ресурсная модель</t>
        </is>
      </c>
    </row>
    <row r="6">
      <c r="B6" s="18" t="n"/>
      <c r="C6" s="200" t="n"/>
      <c r="D6" s="200" t="n"/>
      <c r="E6" s="200" t="n"/>
    </row>
    <row r="7" ht="39.75" customHeight="1" s="203">
      <c r="B7" s="244">
        <f>'Прил.1 Сравнит табл'!B7</f>
        <v/>
      </c>
    </row>
    <row r="8">
      <c r="B8" s="245">
        <f>'Прил.1 Сравнит табл'!B9</f>
        <v/>
      </c>
    </row>
    <row r="9">
      <c r="B9" s="18" t="n"/>
      <c r="C9" s="200" t="n"/>
      <c r="D9" s="200" t="n"/>
      <c r="E9" s="200" t="n"/>
    </row>
    <row r="10" ht="51" customHeight="1" s="203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191">
        <f>'Прил.5 Расчет СМР и ОБ'!J15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191">
        <f>'Прил.5 Расчет СМР и ОБ'!J26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191">
        <f>'Прил.5 Расчет СМР и ОБ'!J38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191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191">
        <f>'Прил.5 Расчет СМР и ОБ'!J18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191">
        <f>'Прил.5 Расчет СМР и ОБ'!J49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191">
        <f>'Прил.5 Расчет СМР и ОБ'!J50</f>
        <v/>
      </c>
      <c r="D17" s="30">
        <f>C17/$C$24</f>
        <v/>
      </c>
      <c r="E17" s="30">
        <f>C17/$C$40</f>
        <v/>
      </c>
      <c r="G17" s="277" t="n"/>
    </row>
    <row r="18">
      <c r="B18" s="28" t="inlineStr">
        <is>
          <t>МАТЕРИАЛЫ, ВСЕГО:</t>
        </is>
      </c>
      <c r="C18" s="191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191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191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159">
        <f>'Прил.5 Расчет СМР и ОБ'!E56</f>
        <v/>
      </c>
      <c r="D21" s="30" t="n"/>
      <c r="E21" s="28" t="n"/>
    </row>
    <row r="22">
      <c r="B22" s="28" t="inlineStr">
        <is>
          <t>Накладные расходы, руб.</t>
        </is>
      </c>
      <c r="C22" s="191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159">
        <f>'Прил.5 Расчет СМР и ОБ'!E54</f>
        <v/>
      </c>
      <c r="D23" s="30" t="n"/>
      <c r="E23" s="28" t="n"/>
    </row>
    <row r="24">
      <c r="B24" s="28" t="inlineStr">
        <is>
          <t>ВСЕГО СМР с НР и СП</t>
        </is>
      </c>
      <c r="C24" s="191">
        <f>'Прил.5 Расчет СМР и ОБ'!J58</f>
        <v/>
      </c>
      <c r="D24" s="30">
        <f>C24/$C$24</f>
        <v/>
      </c>
      <c r="E24" s="30">
        <f>C24/$C$40</f>
        <v/>
      </c>
      <c r="G24" s="181" t="n"/>
      <c r="H24" s="182" t="n"/>
    </row>
    <row r="25" ht="25.5" customHeight="1" s="203">
      <c r="B25" s="28" t="inlineStr">
        <is>
          <t>ВСЕГО стоимость оборудования, в том числе</t>
        </is>
      </c>
      <c r="C25" s="191">
        <f>'Прил.5 Расчет СМР и ОБ'!J45</f>
        <v/>
      </c>
      <c r="D25" s="30" t="n"/>
      <c r="E25" s="30">
        <f>C25/$C$40</f>
        <v/>
      </c>
    </row>
    <row r="26" ht="25.5" customHeight="1" s="203">
      <c r="B26" s="28" t="inlineStr">
        <is>
          <t>стоимость оборудования технологического</t>
        </is>
      </c>
      <c r="C26" s="191">
        <f>'Прил.5 Расчет СМР и ОБ'!J46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161">
        <f>C24+C25</f>
        <v/>
      </c>
      <c r="D27" s="30" t="n"/>
      <c r="E27" s="30">
        <f>C27/$C$40</f>
        <v/>
      </c>
    </row>
    <row r="28" ht="33" customHeight="1" s="203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203">
      <c r="B29" s="28" t="inlineStr">
        <is>
          <t>Временные здания и сооружения - 2,5%</t>
        </is>
      </c>
      <c r="C29" s="161">
        <f>ROUND(C24*2.5%,2)</f>
        <v/>
      </c>
      <c r="D29" s="28" t="n"/>
      <c r="E29" s="30">
        <f>C29/$C$40</f>
        <v/>
      </c>
    </row>
    <row r="30" ht="38.25" customHeight="1" s="203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161">
        <f>ROUND((C24+C29)*2.1%,2)</f>
        <v/>
      </c>
      <c r="D30" s="28" t="n"/>
      <c r="E30" s="30">
        <f>C30/$C$40</f>
        <v/>
      </c>
    </row>
    <row r="31">
      <c r="B31" s="28" t="inlineStr">
        <is>
          <t xml:space="preserve">Пусконаладочные работы </t>
        </is>
      </c>
      <c r="C31" s="161" t="n">
        <v>0</v>
      </c>
      <c r="D31" s="28" t="n"/>
      <c r="E31" s="30">
        <f>C31/$C$40</f>
        <v/>
      </c>
    </row>
    <row r="32" ht="25.5" customHeight="1" s="203">
      <c r="B32" s="28" t="inlineStr">
        <is>
          <t xml:space="preserve">Затраты по перевозке работников к месту работы и обратно </t>
        </is>
      </c>
      <c r="C32" s="161" t="n">
        <v>0</v>
      </c>
      <c r="D32" s="28" t="n"/>
      <c r="E32" s="30">
        <f>C32/$C$40</f>
        <v/>
      </c>
      <c r="G32" s="122" t="n"/>
    </row>
    <row r="33" ht="25.5" customHeight="1" s="203">
      <c r="B33" s="28" t="inlineStr">
        <is>
          <t>Затраты, связанные с осуществлением работ вахтовым методом</t>
        </is>
      </c>
      <c r="C33" s="161" t="n">
        <v>0</v>
      </c>
      <c r="D33" s="28" t="n"/>
      <c r="E33" s="30">
        <f>C33/$C$40</f>
        <v/>
      </c>
      <c r="G33" s="122" t="n"/>
    </row>
    <row r="34" ht="51" customHeight="1" s="203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1" t="n">
        <v>0</v>
      </c>
      <c r="D34" s="28" t="n"/>
      <c r="E34" s="30">
        <f>C34/$C$40</f>
        <v/>
      </c>
      <c r="G34" s="122" t="n"/>
    </row>
    <row r="35" ht="76.5" customHeight="1" s="203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1" t="n">
        <v>0</v>
      </c>
      <c r="D35" s="28" t="n"/>
      <c r="E35" s="30">
        <f>C35/$C$40</f>
        <v/>
      </c>
      <c r="G35" s="122" t="n"/>
    </row>
    <row r="36" ht="25.5" customHeight="1" s="203">
      <c r="B36" s="28" t="inlineStr">
        <is>
          <t>Строительный контроль и содержание службы заказчика - 2,14%</t>
        </is>
      </c>
      <c r="C36" s="161">
        <f>ROUND(SUM(C27:C35)*2.14%,2)</f>
        <v/>
      </c>
      <c r="D36" s="28" t="n"/>
      <c r="E36" s="30">
        <f>C36/$C$40</f>
        <v/>
      </c>
      <c r="G36" s="63" t="n"/>
      <c r="L36" s="20" t="n"/>
    </row>
    <row r="37">
      <c r="B37" s="28" t="inlineStr">
        <is>
          <t>Авторский надзор - 0,2%</t>
        </is>
      </c>
      <c r="C37" s="161">
        <f>ROUND(SUM(C27:C35)*0.2%,2)</f>
        <v/>
      </c>
      <c r="D37" s="28" t="n"/>
      <c r="E37" s="30">
        <f>C37/$C$40</f>
        <v/>
      </c>
      <c r="G37" s="63" t="n"/>
      <c r="L37" s="20" t="n"/>
    </row>
    <row r="38" ht="38.25" customHeight="1" s="203">
      <c r="B38" s="28" t="inlineStr">
        <is>
          <t>ИТОГО (СМР+ОБОРУДОВАНИЕ+ПРОЧ. ЗАТР., УЧТЕННЫЕ ПОКАЗАТЕЛЕМ)</t>
        </is>
      </c>
      <c r="C38" s="191">
        <f>SUM(C27:C37)</f>
        <v/>
      </c>
      <c r="D38" s="28" t="n"/>
      <c r="E38" s="30">
        <f>C38/$C$40</f>
        <v/>
      </c>
    </row>
    <row r="39" ht="13.5" customHeight="1" s="203">
      <c r="B39" s="28" t="inlineStr">
        <is>
          <t>Непредвиденные расходы - 3%</t>
        </is>
      </c>
      <c r="C39" s="191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191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191">
        <f>C40/'Прил.5 Расчет СМР и ОБ'!E60</f>
        <v/>
      </c>
      <c r="D41" s="28" t="n"/>
      <c r="E41" s="28" t="n"/>
    </row>
    <row r="42">
      <c r="B42" s="193" t="n"/>
      <c r="C42" s="200" t="n"/>
      <c r="D42" s="200" t="n"/>
      <c r="E42" s="200" t="n"/>
    </row>
    <row r="43">
      <c r="B43" s="200" t="inlineStr">
        <is>
          <t>Составил ______________________        Е.А. Князева</t>
        </is>
      </c>
      <c r="C43" s="198" t="n"/>
      <c r="D43" s="200" t="n"/>
      <c r="E43" s="200" t="n"/>
    </row>
    <row r="44">
      <c r="B44" s="197" t="inlineStr">
        <is>
          <t xml:space="preserve">                         (подпись, инициалы, фамилия)</t>
        </is>
      </c>
      <c r="C44" s="198" t="n"/>
      <c r="D44" s="200" t="n"/>
      <c r="E44" s="200" t="n"/>
    </row>
    <row r="45">
      <c r="B45" s="200" t="n"/>
      <c r="C45" s="198" t="n"/>
      <c r="D45" s="200" t="n"/>
      <c r="E45" s="200" t="n"/>
    </row>
    <row r="46">
      <c r="B46" s="200" t="inlineStr">
        <is>
          <t>Проверил ______________________        А.В. Костянецкая</t>
        </is>
      </c>
      <c r="C46" s="198" t="n"/>
      <c r="D46" s="200" t="n"/>
      <c r="E46" s="200" t="n"/>
    </row>
    <row r="47">
      <c r="B47" s="197" t="inlineStr">
        <is>
          <t xml:space="preserve">                        (подпись, инициалы, фамилия)</t>
        </is>
      </c>
      <c r="C47" s="198" t="n"/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67"/>
  <sheetViews>
    <sheetView view="pageBreakPreview" topLeftCell="A40" workbookViewId="0">
      <selection activeCell="B63" sqref="B63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4.5703125" customWidth="1" style="198" min="9" max="9"/>
    <col width="15.140625" customWidth="1" style="198" min="10" max="10"/>
    <col width="2.85546875" customWidth="1" style="198" min="11" max="11"/>
    <col width="10.7109375" customWidth="1" style="198" min="12" max="12"/>
    <col width="10.85546875" customWidth="1" style="198" min="13" max="13"/>
    <col width="9.140625" customWidth="1" style="198" min="14" max="14"/>
    <col width="9.140625" customWidth="1" style="203" min="15" max="15"/>
  </cols>
  <sheetData>
    <row r="2" ht="15.75" customHeight="1" s="203">
      <c r="I2" s="205" t="n"/>
      <c r="J2" s="64" t="inlineStr">
        <is>
          <t>Приложение №5</t>
        </is>
      </c>
    </row>
    <row r="4" ht="12.75" customFormat="1" customHeight="1" s="200">
      <c r="A4" s="243" t="inlineStr">
        <is>
          <t>Расчет стоимости СМР и оборудования</t>
        </is>
      </c>
      <c r="I4" s="243" t="n"/>
      <c r="J4" s="243" t="n"/>
    </row>
    <row r="5" ht="12.75" customFormat="1" customHeight="1" s="200">
      <c r="A5" s="243" t="n"/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</row>
    <row r="6" ht="41.25" customFormat="1" customHeight="1" s="200">
      <c r="A6" s="112" t="inlineStr">
        <is>
          <t>Наименование разрабатываемого показателя УНЦ</t>
        </is>
      </c>
      <c r="B6" s="113" t="n"/>
      <c r="C6" s="113" t="n"/>
      <c r="D6" s="259" t="inlineStr">
        <is>
          <t>Демонтаж ОПН 6-15 кВ</t>
        </is>
      </c>
    </row>
    <row r="7" ht="12.75" customFormat="1" customHeight="1" s="200">
      <c r="A7" s="259">
        <f>'Прил.1 Сравнит табл'!B9</f>
        <v/>
      </c>
      <c r="I7" s="244" t="n"/>
      <c r="J7" s="244" t="n"/>
    </row>
    <row r="8" ht="12.75" customFormat="1" customHeight="1" s="200"/>
    <row r="9" ht="27" customHeight="1" s="203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272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272" t="n"/>
    </row>
    <row r="10" ht="28.5" customHeight="1" s="203">
      <c r="A10" s="274" t="n"/>
      <c r="B10" s="274" t="n"/>
      <c r="C10" s="274" t="n"/>
      <c r="D10" s="274" t="n"/>
      <c r="E10" s="274" t="n"/>
      <c r="F10" s="246" t="inlineStr">
        <is>
          <t>на ед. изм.</t>
        </is>
      </c>
      <c r="G10" s="246" t="inlineStr">
        <is>
          <t>общая</t>
        </is>
      </c>
      <c r="H10" s="274" t="n"/>
      <c r="I10" s="246" t="inlineStr">
        <is>
          <t>на ед. изм.</t>
        </is>
      </c>
      <c r="J10" s="246" t="inlineStr">
        <is>
          <t>общая</t>
        </is>
      </c>
    </row>
    <row r="1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6" t="n">
        <v>9</v>
      </c>
      <c r="J11" s="246" t="n">
        <v>10</v>
      </c>
    </row>
    <row r="12">
      <c r="A12" s="246" t="n"/>
      <c r="B12" s="260" t="inlineStr">
        <is>
          <t>Затраты труда рабочих-строителей</t>
        </is>
      </c>
      <c r="C12" s="271" t="n"/>
      <c r="D12" s="271" t="n"/>
      <c r="E12" s="271" t="n"/>
      <c r="F12" s="271" t="n"/>
      <c r="G12" s="271" t="n"/>
      <c r="H12" s="272" t="n"/>
      <c r="I12" s="39" t="n"/>
      <c r="J12" s="39" t="n"/>
      <c r="L12" s="278" t="n"/>
    </row>
    <row r="13" ht="25.5" customHeight="1" s="203">
      <c r="A13" s="246" t="n">
        <v>1</v>
      </c>
      <c r="B13" s="146" t="inlineStr">
        <is>
          <t>1-4-0</t>
        </is>
      </c>
      <c r="C13" s="251" t="inlineStr">
        <is>
          <t>Затраты труда рабочих-строителей среднего разряда (4)</t>
        </is>
      </c>
      <c r="D13" s="246" t="inlineStr">
        <is>
          <t>чел.-ч.</t>
        </is>
      </c>
      <c r="E13" s="279">
        <f>G13/F13</f>
        <v/>
      </c>
      <c r="F13" s="180" t="n">
        <v>9.619999999999999</v>
      </c>
      <c r="G13" s="180">
        <f>Прил.3!H12</f>
        <v/>
      </c>
      <c r="H13" s="261">
        <f>G13/G14</f>
        <v/>
      </c>
      <c r="I13" s="180">
        <f>ФОТр.тек.!E13</f>
        <v/>
      </c>
      <c r="J13" s="180">
        <f>ROUND(I13*E13,2)</f>
        <v/>
      </c>
    </row>
    <row r="14" ht="25.5" customFormat="1" customHeight="1" s="198">
      <c r="A14" s="246" t="n"/>
      <c r="B14" s="246" t="n"/>
      <c r="C14" s="260" t="inlineStr">
        <is>
          <t>Итого по разделу "Затраты труда рабочих-строителей"</t>
        </is>
      </c>
      <c r="D14" s="246" t="inlineStr">
        <is>
          <t>чел.-ч.</t>
        </is>
      </c>
      <c r="E14" s="279">
        <f>SUM(E13:E13)</f>
        <v/>
      </c>
      <c r="F14" s="180" t="n"/>
      <c r="G14" s="180">
        <f>SUM(G13:G13)</f>
        <v/>
      </c>
      <c r="H14" s="261" t="n">
        <v>1</v>
      </c>
      <c r="I14" s="180" t="n"/>
      <c r="J14" s="180">
        <f>SUM(J13:J13)</f>
        <v/>
      </c>
      <c r="L14" s="80" t="n"/>
    </row>
    <row r="15" ht="38.25" customFormat="1" customHeight="1" s="198">
      <c r="A15" s="246" t="n"/>
      <c r="B15" s="246" t="n"/>
      <c r="C15" s="260" t="inlineStr">
        <is>
          <t>Итого по разделу "Затраты труда рабочих-строителей" 
(с коэффициентом на демонтаж 0,7)</t>
        </is>
      </c>
      <c r="D15" s="246" t="inlineStr">
        <is>
          <t>чел.-ч.</t>
        </is>
      </c>
      <c r="E15" s="252" t="n"/>
      <c r="F15" s="253" t="n"/>
      <c r="G15" s="180">
        <f>SUM(G14)*0.7</f>
        <v/>
      </c>
      <c r="H15" s="254" t="n">
        <v>1</v>
      </c>
      <c r="I15" s="154" t="n"/>
      <c r="J15" s="180">
        <f>SUM(J13)*0.7</f>
        <v/>
      </c>
      <c r="L15" s="80" t="n"/>
    </row>
    <row r="16" ht="14.25" customFormat="1" customHeight="1" s="198">
      <c r="A16" s="246" t="n"/>
      <c r="B16" s="251" t="inlineStr">
        <is>
          <t>Затраты труда машинистов</t>
        </is>
      </c>
      <c r="C16" s="271" t="n"/>
      <c r="D16" s="271" t="n"/>
      <c r="E16" s="271" t="n"/>
      <c r="F16" s="271" t="n"/>
      <c r="G16" s="271" t="n"/>
      <c r="H16" s="272" t="n"/>
      <c r="I16" s="39" t="n"/>
      <c r="J16" s="39" t="n"/>
      <c r="L16" s="278" t="n"/>
    </row>
    <row r="17" ht="14.25" customFormat="1" customHeight="1" s="198">
      <c r="A17" s="246" t="n">
        <v>2</v>
      </c>
      <c r="B17" s="246" t="n">
        <v>2</v>
      </c>
      <c r="C17" s="251" t="inlineStr">
        <is>
          <t>Затраты труда машинистов</t>
        </is>
      </c>
      <c r="D17" s="246" t="inlineStr">
        <is>
          <t>чел.-ч.</t>
        </is>
      </c>
      <c r="E17" s="279">
        <f>Прил.3!F18</f>
        <v/>
      </c>
      <c r="F17" s="180">
        <f>G17/E17</f>
        <v/>
      </c>
      <c r="G17" s="180">
        <f>Прил.3!H18</f>
        <v/>
      </c>
      <c r="H17" s="261" t="n">
        <v>1</v>
      </c>
      <c r="I17" s="180">
        <f>ROUND(F17*Прил.10!D10,2)</f>
        <v/>
      </c>
      <c r="J17" s="180">
        <f>ROUND(I17*E17,2)</f>
        <v/>
      </c>
      <c r="L17" s="58" t="n"/>
    </row>
    <row r="18" ht="25.5" customFormat="1" customHeight="1" s="198">
      <c r="A18" s="246" t="n"/>
      <c r="B18" s="246" t="n"/>
      <c r="C18" s="162" t="inlineStr">
        <is>
          <t>Затраты труда машинистов 
(с коэффициентом на демонтаж 0,7)</t>
        </is>
      </c>
      <c r="D18" s="157" t="n"/>
      <c r="E18" s="157" t="n"/>
      <c r="F18" s="157" t="n"/>
      <c r="G18" s="161">
        <f>G17*0.7</f>
        <v/>
      </c>
      <c r="H18" s="159">
        <f>H17</f>
        <v/>
      </c>
      <c r="I18" s="160" t="n"/>
      <c r="J18" s="161">
        <f>J17*0.7</f>
        <v/>
      </c>
      <c r="L18" s="58" t="n"/>
    </row>
    <row r="19" ht="14.25" customFormat="1" customHeight="1" s="198">
      <c r="A19" s="246" t="n"/>
      <c r="B19" s="260" t="inlineStr">
        <is>
          <t>Машины и механизмы</t>
        </is>
      </c>
      <c r="C19" s="271" t="n"/>
      <c r="D19" s="271" t="n"/>
      <c r="E19" s="271" t="n"/>
      <c r="F19" s="271" t="n"/>
      <c r="G19" s="271" t="n"/>
      <c r="H19" s="272" t="n"/>
      <c r="I19" s="261" t="n"/>
      <c r="J19" s="261" t="n"/>
    </row>
    <row r="20" ht="14.25" customFormat="1" customHeight="1" s="198">
      <c r="A20" s="246" t="n"/>
      <c r="B20" s="251" t="inlineStr">
        <is>
          <t>Основные машины и механизмы</t>
        </is>
      </c>
      <c r="C20" s="271" t="n"/>
      <c r="D20" s="271" t="n"/>
      <c r="E20" s="271" t="n"/>
      <c r="F20" s="271" t="n"/>
      <c r="G20" s="271" t="n"/>
      <c r="H20" s="272" t="n"/>
      <c r="I20" s="39" t="n"/>
      <c r="J20" s="39" t="n"/>
    </row>
    <row r="21" ht="25.5" customFormat="1" customHeight="1" s="198">
      <c r="A21" s="246" t="n">
        <v>3</v>
      </c>
      <c r="B21" s="146" t="inlineStr">
        <is>
          <t>91.05.05-015</t>
        </is>
      </c>
      <c r="C21" s="251" t="inlineStr">
        <is>
          <t>Краны на автомобильном ходу, грузоподъемность 16 т</t>
        </is>
      </c>
      <c r="D21" s="246" t="inlineStr">
        <is>
          <t>маш.час</t>
        </is>
      </c>
      <c r="E21" s="279" t="n">
        <v>4.8311676</v>
      </c>
      <c r="F21" s="265" t="n">
        <v>115.4</v>
      </c>
      <c r="G21" s="180">
        <f>ROUND(E21*F21,2)</f>
        <v/>
      </c>
      <c r="H21" s="261">
        <f>G21/$G$39</f>
        <v/>
      </c>
      <c r="I21" s="180">
        <f>ROUND(F21*Прил.10!$D$11,2)</f>
        <v/>
      </c>
      <c r="J21" s="180">
        <f>ROUND(I21*E21,2)</f>
        <v/>
      </c>
    </row>
    <row r="22" ht="25.5" customFormat="1" customHeight="1" s="198">
      <c r="A22" s="246" t="n">
        <v>4</v>
      </c>
      <c r="B22" s="146" t="inlineStr">
        <is>
          <t>91.04.01-031</t>
        </is>
      </c>
      <c r="C22" s="251" t="inlineStr">
        <is>
          <t>Машины бурильно-крановые на автомобиле, глубина бурения 3,5 м</t>
        </is>
      </c>
      <c r="D22" s="246" t="inlineStr">
        <is>
          <t>маш.час</t>
        </is>
      </c>
      <c r="E22" s="279" t="n">
        <v>2.14</v>
      </c>
      <c r="F22" s="265" t="n">
        <v>138.54</v>
      </c>
      <c r="G22" s="180">
        <f>ROUND(E22*F22,2)</f>
        <v/>
      </c>
      <c r="H22" s="261">
        <f>G22/$G$39</f>
        <v/>
      </c>
      <c r="I22" s="180">
        <f>ROUND(F22*Прил.10!$D$11,2)</f>
        <v/>
      </c>
      <c r="J22" s="180">
        <f>ROUND(I22*E22,2)</f>
        <v/>
      </c>
    </row>
    <row r="23" ht="25.5" customFormat="1" customHeight="1" s="198">
      <c r="A23" s="246" t="n">
        <v>5</v>
      </c>
      <c r="B23" s="146" t="inlineStr">
        <is>
          <t>91.06.06-042</t>
        </is>
      </c>
      <c r="C23" s="251" t="inlineStr">
        <is>
          <t>Подъемники гидравлические, высота подъема 10 м</t>
        </is>
      </c>
      <c r="D23" s="246" t="inlineStr">
        <is>
          <t>маш.час</t>
        </is>
      </c>
      <c r="E23" s="279" t="n">
        <v>5.95</v>
      </c>
      <c r="F23" s="265" t="n">
        <v>29.6</v>
      </c>
      <c r="G23" s="180">
        <f>ROUND(E23*F23,2)</f>
        <v/>
      </c>
      <c r="H23" s="261">
        <f>G23/$G$39</f>
        <v/>
      </c>
      <c r="I23" s="180">
        <f>ROUND(F23*Прил.10!$D$11,2)</f>
        <v/>
      </c>
      <c r="J23" s="180">
        <f>ROUND(I23*E23,2)</f>
        <v/>
      </c>
    </row>
    <row r="24" ht="51" customFormat="1" customHeight="1" s="198">
      <c r="A24" s="246" t="n">
        <v>6</v>
      </c>
      <c r="B24" s="146" t="inlineStr">
        <is>
          <t>91.18.01-007</t>
        </is>
      </c>
      <c r="C24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46" t="inlineStr">
        <is>
          <t>маш.час</t>
        </is>
      </c>
      <c r="E24" s="279" t="n">
        <v>1.504</v>
      </c>
      <c r="F24" s="265" t="n">
        <v>90</v>
      </c>
      <c r="G24" s="180">
        <f>ROUND(E24*F24,2)</f>
        <v/>
      </c>
      <c r="H24" s="261">
        <f>G24/$G$39</f>
        <v/>
      </c>
      <c r="I24" s="180">
        <f>ROUND(F24*Прил.10!$D$11,2)</f>
        <v/>
      </c>
      <c r="J24" s="180">
        <f>ROUND(I24*E24,2)</f>
        <v/>
      </c>
    </row>
    <row r="25" ht="14.25" customFormat="1" customHeight="1" s="198">
      <c r="B25" s="246" t="n"/>
      <c r="C25" s="251" t="inlineStr">
        <is>
          <t>Итого основные машины и механизмы</t>
        </is>
      </c>
      <c r="D25" s="246" t="n"/>
      <c r="E25" s="280" t="n"/>
      <c r="F25" s="180" t="n"/>
      <c r="G25" s="180">
        <f>SUM(G21:G24)</f>
        <v/>
      </c>
      <c r="H25" s="261">
        <f>G25/G39</f>
        <v/>
      </c>
      <c r="I25" s="180" t="n"/>
      <c r="J25" s="180">
        <f>SUM(J21:J24)</f>
        <v/>
      </c>
      <c r="L25" s="278" t="n"/>
    </row>
    <row r="26" ht="25.5" customFormat="1" customHeight="1" s="198">
      <c r="A26" s="246" t="n"/>
      <c r="B26" s="246" t="n"/>
      <c r="C26" s="162" t="inlineStr">
        <is>
          <t>Итого основные машины и механизмы 
(с коэффициентом на демонтаж 0,7)</t>
        </is>
      </c>
      <c r="D26" s="246" t="n"/>
      <c r="E26" s="281" t="n"/>
      <c r="F26" s="252" t="n"/>
      <c r="G26" s="180">
        <f>G25*0.7</f>
        <v/>
      </c>
      <c r="H26" s="261">
        <f>G26/G40</f>
        <v/>
      </c>
      <c r="I26" s="180" t="n"/>
      <c r="J26" s="180">
        <f>J25*0.7</f>
        <v/>
      </c>
      <c r="L26" s="278" t="n"/>
    </row>
    <row r="27" outlineLevel="1" ht="25.5" customFormat="1" customHeight="1" s="198">
      <c r="A27" s="246" t="n">
        <v>7</v>
      </c>
      <c r="B27" s="146" t="inlineStr">
        <is>
          <t>91.14.02-001</t>
        </is>
      </c>
      <c r="C27" s="251" t="inlineStr">
        <is>
          <t>Автомобили бортовые, грузоподъемность до 5 т</t>
        </is>
      </c>
      <c r="D27" s="246" t="inlineStr">
        <is>
          <t>маш.час</t>
        </is>
      </c>
      <c r="E27" s="279" t="n">
        <v>0.892</v>
      </c>
      <c r="F27" s="265" t="n">
        <v>65.70999999999999</v>
      </c>
      <c r="G27" s="180">
        <f>ROUND(E27*F27,2)</f>
        <v/>
      </c>
      <c r="H27" s="261">
        <f>G27/$G$39</f>
        <v/>
      </c>
      <c r="I27" s="180">
        <f>ROUND(F27*Прил.10!$D$11,2)</f>
        <v/>
      </c>
      <c r="J27" s="180">
        <f>ROUND(I27*E27,2)</f>
        <v/>
      </c>
      <c r="L27" s="278" t="n"/>
    </row>
    <row r="28" outlineLevel="1" ht="25.5" customFormat="1" customHeight="1" s="198">
      <c r="A28" s="246" t="n">
        <v>8</v>
      </c>
      <c r="B28" s="146" t="inlineStr">
        <is>
          <t>91.05.06-012</t>
        </is>
      </c>
      <c r="C28" s="251" t="inlineStr">
        <is>
          <t>Краны на гусеничном ходу, грузоподъемность до 16 т</t>
        </is>
      </c>
      <c r="D28" s="246" t="inlineStr">
        <is>
          <t>маш.час</t>
        </is>
      </c>
      <c r="E28" s="279" t="n">
        <v>0.5600000000000001</v>
      </c>
      <c r="F28" s="265" t="n">
        <v>96.89</v>
      </c>
      <c r="G28" s="180">
        <f>ROUND(E28*F28,2)</f>
        <v/>
      </c>
      <c r="H28" s="261">
        <f>G28/$G$39</f>
        <v/>
      </c>
      <c r="I28" s="180">
        <f>ROUND(F28*Прил.10!$D$11,2)</f>
        <v/>
      </c>
      <c r="J28" s="180">
        <f>ROUND(I28*E28,2)</f>
        <v/>
      </c>
      <c r="L28" s="278" t="n"/>
    </row>
    <row r="29" outlineLevel="1" ht="38.25" customFormat="1" customHeight="1" s="198">
      <c r="A29" s="246" t="n">
        <v>9</v>
      </c>
      <c r="B29" s="146" t="inlineStr">
        <is>
          <t>91.17.04-036</t>
        </is>
      </c>
      <c r="C29" s="251" t="inlineStr">
        <is>
          <t>Агрегаты сварочные передвижные с дизельным двигателем, номинальный сварочный ток 250-400 А</t>
        </is>
      </c>
      <c r="D29" s="246" t="inlineStr">
        <is>
          <t>маш.час</t>
        </is>
      </c>
      <c r="E29" s="279" t="n">
        <v>1.9599944</v>
      </c>
      <c r="F29" s="265" t="n">
        <v>14</v>
      </c>
      <c r="G29" s="180">
        <f>ROUND(E29*F29,2)</f>
        <v/>
      </c>
      <c r="H29" s="261">
        <f>G29/$G$39</f>
        <v/>
      </c>
      <c r="I29" s="180">
        <f>ROUND(F29*Прил.10!$D$11,2)</f>
        <v/>
      </c>
      <c r="J29" s="180">
        <f>ROUND(I29*E29,2)</f>
        <v/>
      </c>
      <c r="L29" s="278" t="n"/>
    </row>
    <row r="30" outlineLevel="1" ht="38.25" customFormat="1" customHeight="1" s="198">
      <c r="A30" s="246" t="n">
        <v>10</v>
      </c>
      <c r="B30" s="146" t="inlineStr">
        <is>
          <t>91.19.06-011</t>
        </is>
      </c>
      <c r="C30" s="251" t="inlineStr">
        <is>
          <t>Насосы грязевые, подача 23,4-65,3 м3/ч, давление нагнетания 15,7-5,88 МПа (160-60 кгс/см2)</t>
        </is>
      </c>
      <c r="D30" s="246" t="inlineStr">
        <is>
          <t>маш.час</t>
        </is>
      </c>
      <c r="E30" s="279" t="n">
        <v>0.336</v>
      </c>
      <c r="F30" s="265" t="n">
        <v>32.71</v>
      </c>
      <c r="G30" s="180">
        <f>ROUND(E30*F30,2)</f>
        <v/>
      </c>
      <c r="H30" s="261">
        <f>G30/$G$39</f>
        <v/>
      </c>
      <c r="I30" s="180">
        <f>ROUND(F30*Прил.10!$D$11,2)</f>
        <v/>
      </c>
      <c r="J30" s="180">
        <f>ROUND(I30*E30,2)</f>
        <v/>
      </c>
      <c r="L30" s="278" t="n"/>
    </row>
    <row r="31" outlineLevel="1" ht="25.5" customFormat="1" customHeight="1" s="198">
      <c r="A31" s="246" t="n">
        <v>11</v>
      </c>
      <c r="B31" s="146" t="inlineStr">
        <is>
          <t>91.17.04-233</t>
        </is>
      </c>
      <c r="C31" s="251" t="inlineStr">
        <is>
          <t>Установки для сварки ручной дуговой (постоянного тока)</t>
        </is>
      </c>
      <c r="D31" s="246" t="inlineStr">
        <is>
          <t>маш.час</t>
        </is>
      </c>
      <c r="E31" s="279" t="n">
        <v>0.72</v>
      </c>
      <c r="F31" s="265" t="n">
        <v>8.1</v>
      </c>
      <c r="G31" s="180">
        <f>ROUND(E31*F31,2)</f>
        <v/>
      </c>
      <c r="H31" s="261">
        <f>G31/$G$39</f>
        <v/>
      </c>
      <c r="I31" s="180">
        <f>ROUND(F31*Прил.10!$D$11,2)</f>
        <v/>
      </c>
      <c r="J31" s="180">
        <f>ROUND(I31*E31,2)</f>
        <v/>
      </c>
      <c r="L31" s="278" t="n"/>
    </row>
    <row r="32" outlineLevel="1" ht="25.5" customFormat="1" customHeight="1" s="198">
      <c r="A32" s="246" t="n">
        <v>12</v>
      </c>
      <c r="B32" s="146" t="inlineStr">
        <is>
          <t>91.06.03-061</t>
        </is>
      </c>
      <c r="C32" s="251" t="inlineStr">
        <is>
          <t>Лебедки электрические тяговым усилием до 12,26 кН (1,25 т)</t>
        </is>
      </c>
      <c r="D32" s="246" t="inlineStr">
        <is>
          <t>маш.час</t>
        </is>
      </c>
      <c r="E32" s="279" t="n">
        <v>1.76</v>
      </c>
      <c r="F32" s="265" t="n">
        <v>3.28</v>
      </c>
      <c r="G32" s="180">
        <f>ROUND(E32*F32,2)</f>
        <v/>
      </c>
      <c r="H32" s="261">
        <f>G32/$G$39</f>
        <v/>
      </c>
      <c r="I32" s="180">
        <f>ROUND(F32*Прил.10!$D$11,2)</f>
        <v/>
      </c>
      <c r="J32" s="180">
        <f>ROUND(I32*E32,2)</f>
        <v/>
      </c>
      <c r="L32" s="278" t="n"/>
    </row>
    <row r="33" outlineLevel="1" ht="25.5" customFormat="1" customHeight="1" s="198">
      <c r="A33" s="246" t="n">
        <v>13</v>
      </c>
      <c r="B33" s="146" t="inlineStr">
        <is>
          <t>91.06.01-003</t>
        </is>
      </c>
      <c r="C33" s="251" t="inlineStr">
        <is>
          <t>Домкраты гидравлические, грузоподъемность 63-100 т</t>
        </is>
      </c>
      <c r="D33" s="246" t="inlineStr">
        <is>
          <t>маш.час</t>
        </is>
      </c>
      <c r="E33" s="279" t="n">
        <v>5.54</v>
      </c>
      <c r="F33" s="265" t="n">
        <v>0.9</v>
      </c>
      <c r="G33" s="180">
        <f>ROUND(E33*F33,2)</f>
        <v/>
      </c>
      <c r="H33" s="261">
        <f>G33/$G$39</f>
        <v/>
      </c>
      <c r="I33" s="180">
        <f>ROUND(F33*Прил.10!$D$11,2)</f>
        <v/>
      </c>
      <c r="J33" s="180">
        <f>ROUND(I33*E33,2)</f>
        <v/>
      </c>
      <c r="L33" s="278" t="n"/>
    </row>
    <row r="34" outlineLevel="1" ht="25.5" customFormat="1" customHeight="1" s="198">
      <c r="A34" s="246" t="n">
        <v>14</v>
      </c>
      <c r="B34" s="146" t="inlineStr">
        <is>
          <t>91.14.02-002</t>
        </is>
      </c>
      <c r="C34" s="251" t="inlineStr">
        <is>
          <t>Автомобили бортовые, грузоподъемность до 8 т</t>
        </is>
      </c>
      <c r="D34" s="246" t="inlineStr">
        <is>
          <t>маш.час</t>
        </is>
      </c>
      <c r="E34" s="279" t="n">
        <v>0.0428296</v>
      </c>
      <c r="F34" s="265" t="n">
        <v>85.84</v>
      </c>
      <c r="G34" s="180">
        <f>ROUND(E34*F34,2)</f>
        <v/>
      </c>
      <c r="H34" s="261">
        <f>G34/$G$39</f>
        <v/>
      </c>
      <c r="I34" s="180">
        <f>ROUND(F34*Прил.10!$D$11,2)</f>
        <v/>
      </c>
      <c r="J34" s="180">
        <f>ROUND(I34*E34,2)</f>
        <v/>
      </c>
      <c r="L34" s="278" t="n"/>
    </row>
    <row r="35" outlineLevel="1" ht="25.5" customFormat="1" customHeight="1" s="198">
      <c r="A35" s="246" t="n">
        <v>15</v>
      </c>
      <c r="B35" s="146" t="inlineStr">
        <is>
          <t>91.08.09-023</t>
        </is>
      </c>
      <c r="C35" s="251" t="inlineStr">
        <is>
          <t>Трамбовки пневматические при работе от передвижных компрессорных станций</t>
        </is>
      </c>
      <c r="D35" s="246" t="inlineStr">
        <is>
          <t>маш.час</t>
        </is>
      </c>
      <c r="E35" s="279" t="n">
        <v>3.008</v>
      </c>
      <c r="F35" s="265" t="n">
        <v>0.55</v>
      </c>
      <c r="G35" s="180">
        <f>ROUND(E35*F35,2)</f>
        <v/>
      </c>
      <c r="H35" s="261">
        <f>G35/$G$39</f>
        <v/>
      </c>
      <c r="I35" s="180">
        <f>ROUND(F35*Прил.10!$D$11,2)</f>
        <v/>
      </c>
      <c r="J35" s="180">
        <f>ROUND(I35*E35,2)</f>
        <v/>
      </c>
      <c r="L35" s="278" t="n"/>
    </row>
    <row r="36" outlineLevel="1" ht="14.25" customFormat="1" customHeight="1" s="198">
      <c r="A36" s="246" t="n">
        <v>16</v>
      </c>
      <c r="B36" s="146" t="inlineStr">
        <is>
          <t>91.07.04-001</t>
        </is>
      </c>
      <c r="C36" s="251" t="inlineStr">
        <is>
          <t>Вибраторы глубинные</t>
        </is>
      </c>
      <c r="D36" s="246" t="inlineStr">
        <is>
          <t>маш.час</t>
        </is>
      </c>
      <c r="E36" s="279" t="n">
        <v>0.384</v>
      </c>
      <c r="F36" s="265" t="n">
        <v>1.9</v>
      </c>
      <c r="G36" s="180">
        <f>ROUND(E36*F36,2)</f>
        <v/>
      </c>
      <c r="H36" s="261">
        <f>G36/$G$39</f>
        <v/>
      </c>
      <c r="I36" s="180">
        <f>ROUND(F36*Прил.10!$D$11,2)</f>
        <v/>
      </c>
      <c r="J36" s="180">
        <f>ROUND(I36*E36,2)</f>
        <v/>
      </c>
      <c r="L36" s="278" t="n"/>
    </row>
    <row r="37" ht="14.25" customFormat="1" customHeight="1" s="198">
      <c r="A37" s="246" t="n"/>
      <c r="B37" s="246" t="n"/>
      <c r="C37" s="251" t="inlineStr">
        <is>
          <t>Итого прочие машины и механизмы</t>
        </is>
      </c>
      <c r="D37" s="246" t="n"/>
      <c r="E37" s="252" t="n"/>
      <c r="F37" s="180" t="n"/>
      <c r="G37" s="180">
        <f>SUM(G27:G36)</f>
        <v/>
      </c>
      <c r="H37" s="261">
        <f>G37/G39</f>
        <v/>
      </c>
      <c r="I37" s="180" t="n"/>
      <c r="J37" s="180">
        <f>SUM(J27:J36)</f>
        <v/>
      </c>
      <c r="K37" s="282" t="n"/>
      <c r="L37" s="278" t="n"/>
    </row>
    <row r="38" ht="25.5" customFormat="1" customHeight="1" s="198">
      <c r="A38" s="247" t="n"/>
      <c r="B38" s="247" t="n"/>
      <c r="C38" s="170" t="inlineStr">
        <is>
          <t>Итого прочие машины и механизмы 
(с коэффициентом на демонтаж 0,7)</t>
        </is>
      </c>
      <c r="D38" s="247" t="n"/>
      <c r="E38" s="172" t="n"/>
      <c r="F38" s="173" t="n"/>
      <c r="G38" s="173">
        <f>G37*0.7</f>
        <v/>
      </c>
      <c r="H38" s="174">
        <f>G38/G40</f>
        <v/>
      </c>
      <c r="I38" s="173" t="n"/>
      <c r="J38" s="173">
        <f>J37*0.7</f>
        <v/>
      </c>
      <c r="K38" s="282" t="n"/>
      <c r="L38" s="278" t="n"/>
    </row>
    <row r="39" ht="25.5" customFormat="1" customHeight="1" s="198">
      <c r="A39" s="246" t="n"/>
      <c r="B39" s="246" t="n"/>
      <c r="C39" s="260" t="inlineStr">
        <is>
          <t>Итого по разделу «Машины и механизмы»</t>
        </is>
      </c>
      <c r="D39" s="246" t="n"/>
      <c r="E39" s="252" t="n"/>
      <c r="F39" s="180" t="n"/>
      <c r="G39" s="180">
        <f>G25+G37</f>
        <v/>
      </c>
      <c r="H39" s="261" t="n">
        <v>1</v>
      </c>
      <c r="I39" s="180" t="n"/>
      <c r="J39" s="180">
        <f>J25+J37</f>
        <v/>
      </c>
    </row>
    <row r="40" ht="38.25" customFormat="1" customHeight="1" s="198">
      <c r="A40" s="246" t="n"/>
      <c r="B40" s="246" t="n"/>
      <c r="C40" s="169" t="inlineStr">
        <is>
          <t>Итого по разделу «Машины и механизмы»  
(с коэффициентом на демонтаж 0,7)</t>
        </is>
      </c>
      <c r="D40" s="246" t="n"/>
      <c r="E40" s="252" t="n"/>
      <c r="F40" s="180" t="n"/>
      <c r="G40" s="180">
        <f>G26+G38</f>
        <v/>
      </c>
      <c r="H40" s="261" t="n">
        <v>1</v>
      </c>
      <c r="I40" s="180" t="n"/>
      <c r="J40" s="180">
        <f>J26+J38</f>
        <v/>
      </c>
    </row>
    <row r="41" s="203">
      <c r="A41" s="175" t="n"/>
      <c r="B41" s="255" t="inlineStr">
        <is>
          <t xml:space="preserve">Оборудование </t>
        </is>
      </c>
      <c r="J41" s="283" t="n"/>
      <c r="K41" s="198" t="n"/>
      <c r="L41" s="198" t="n"/>
      <c r="M41" s="198" t="n"/>
      <c r="N41" s="198" t="n"/>
    </row>
    <row r="42" ht="15" customHeight="1" s="203">
      <c r="A42" s="246" t="n"/>
      <c r="B42" s="251" t="inlineStr">
        <is>
          <t>Основное оборудование</t>
        </is>
      </c>
      <c r="C42" s="271" t="n"/>
      <c r="D42" s="271" t="n"/>
      <c r="E42" s="271" t="n"/>
      <c r="F42" s="271" t="n"/>
      <c r="G42" s="271" t="n"/>
      <c r="H42" s="271" t="n"/>
      <c r="I42" s="271" t="n"/>
      <c r="J42" s="272" t="n"/>
      <c r="K42" s="198" t="n"/>
      <c r="L42" s="198" t="n"/>
      <c r="M42" s="198" t="n"/>
      <c r="N42" s="198" t="n"/>
    </row>
    <row r="43" s="203">
      <c r="A43" s="86" t="n"/>
      <c r="B43" s="246" t="n"/>
      <c r="C43" s="251" t="inlineStr">
        <is>
          <t>Итого основное оборудование</t>
        </is>
      </c>
      <c r="D43" s="246" t="n"/>
      <c r="E43" s="279" t="n"/>
      <c r="F43" s="253" t="n"/>
      <c r="G43" s="180" t="n">
        <v>0</v>
      </c>
      <c r="H43" s="261" t="n"/>
      <c r="I43" s="180" t="n"/>
      <c r="J43" s="180" t="n">
        <v>0</v>
      </c>
      <c r="K43" s="282" t="n"/>
      <c r="L43" s="198" t="n"/>
      <c r="M43" s="198" t="n"/>
      <c r="N43" s="198" t="n"/>
    </row>
    <row r="44" s="203">
      <c r="A44" s="86" t="n"/>
      <c r="B44" s="246" t="n"/>
      <c r="C44" s="251" t="inlineStr">
        <is>
          <t>Итого прочее оборудование</t>
        </is>
      </c>
      <c r="D44" s="246" t="n"/>
      <c r="E44" s="252" t="n"/>
      <c r="F44" s="253" t="n"/>
      <c r="G44" s="180" t="n">
        <v>0</v>
      </c>
      <c r="H44" s="261" t="n"/>
      <c r="I44" s="180" t="n"/>
      <c r="J44" s="180" t="n">
        <v>0</v>
      </c>
      <c r="K44" s="282" t="n"/>
      <c r="L44" s="284" t="n"/>
      <c r="M44" s="198" t="n"/>
      <c r="N44" s="198" t="n"/>
    </row>
    <row r="45" s="203">
      <c r="A45" s="246" t="n"/>
      <c r="B45" s="246" t="n"/>
      <c r="C45" s="260" t="inlineStr">
        <is>
          <t>Итого по разделу «Оборудование»</t>
        </is>
      </c>
      <c r="D45" s="246" t="n"/>
      <c r="E45" s="252" t="n"/>
      <c r="F45" s="253" t="n"/>
      <c r="G45" s="180">
        <f>G43+G44</f>
        <v/>
      </c>
      <c r="H45" s="261" t="n"/>
      <c r="I45" s="180" t="n"/>
      <c r="J45" s="180">
        <f>J44+J43</f>
        <v/>
      </c>
      <c r="K45" s="282" t="n"/>
      <c r="L45" s="198" t="n"/>
      <c r="M45" s="198" t="n"/>
      <c r="N45" s="198" t="n"/>
    </row>
    <row r="46" ht="25.5" customHeight="1" s="203">
      <c r="A46" s="246" t="n"/>
      <c r="B46" s="246" t="n"/>
      <c r="C46" s="251" t="inlineStr">
        <is>
          <t>в том числе технологическое оборудование</t>
        </is>
      </c>
      <c r="D46" s="246" t="n"/>
      <c r="E46" s="252" t="n"/>
      <c r="F46" s="253" t="n"/>
      <c r="G46" s="180">
        <f>'Прил.6 Расчет ОБ'!G16</f>
        <v/>
      </c>
      <c r="H46" s="261" t="n"/>
      <c r="I46" s="180" t="n"/>
      <c r="J46" s="180">
        <f>ROUND(G46*Прил.10!$D$13,2)</f>
        <v/>
      </c>
      <c r="K46" s="282" t="n"/>
      <c r="L46" s="198" t="n"/>
      <c r="M46" s="198" t="n"/>
      <c r="N46" s="198" t="n"/>
    </row>
    <row r="47" ht="14.25" customFormat="1" customHeight="1" s="198">
      <c r="A47" s="248" t="n"/>
      <c r="B47" s="255" t="inlineStr">
        <is>
          <t>Материалы</t>
        </is>
      </c>
      <c r="J47" s="283" t="n"/>
      <c r="K47" s="282" t="n"/>
    </row>
    <row r="48" ht="14.25" customFormat="1" customHeight="1" s="198">
      <c r="A48" s="246" t="n"/>
      <c r="B48" s="251" t="inlineStr">
        <is>
          <t>Основные материалы</t>
        </is>
      </c>
      <c r="C48" s="271" t="n"/>
      <c r="D48" s="271" t="n"/>
      <c r="E48" s="271" t="n"/>
      <c r="F48" s="271" t="n"/>
      <c r="G48" s="271" t="n"/>
      <c r="H48" s="272" t="n"/>
      <c r="I48" s="261" t="n"/>
      <c r="J48" s="261" t="n"/>
    </row>
    <row r="49" ht="14.25" customFormat="1" customHeight="1" s="198">
      <c r="B49" s="246" t="n"/>
      <c r="C49" s="251" t="inlineStr">
        <is>
          <t>Итого основные материалы</t>
        </is>
      </c>
      <c r="D49" s="246" t="n"/>
      <c r="E49" s="279" t="n"/>
      <c r="F49" s="253" t="n"/>
      <c r="G49" s="180" t="n">
        <v>0</v>
      </c>
      <c r="H49" s="261" t="n"/>
      <c r="I49" s="180" t="n"/>
      <c r="J49" s="180" t="n">
        <v>0</v>
      </c>
      <c r="K49" s="282" t="n"/>
    </row>
    <row r="50" customFormat="1" s="198">
      <c r="A50" s="246" t="n"/>
      <c r="B50" s="246" t="n"/>
      <c r="C50" s="251" t="inlineStr">
        <is>
          <t>Итого прочие материалы</t>
        </is>
      </c>
      <c r="D50" s="246" t="n"/>
      <c r="E50" s="252" t="n"/>
      <c r="F50" s="253" t="n"/>
      <c r="G50" s="180" t="n">
        <v>0</v>
      </c>
      <c r="H50" s="261" t="n"/>
      <c r="I50" s="180" t="n"/>
      <c r="J50" s="180" t="n">
        <v>0</v>
      </c>
      <c r="L50" s="284" t="n"/>
    </row>
    <row r="51" ht="14.25" customFormat="1" customHeight="1" s="198">
      <c r="A51" s="246" t="n"/>
      <c r="B51" s="246" t="n"/>
      <c r="C51" s="260" t="inlineStr">
        <is>
          <t>Итого по разделу «Материалы»</t>
        </is>
      </c>
      <c r="D51" s="246" t="n"/>
      <c r="E51" s="252" t="n"/>
      <c r="F51" s="253" t="n"/>
      <c r="G51" s="180">
        <f>G49+G50</f>
        <v/>
      </c>
      <c r="H51" s="261" t="n"/>
      <c r="I51" s="253" t="n"/>
      <c r="J51" s="180">
        <f>J49+J50</f>
        <v/>
      </c>
      <c r="K51" s="282" t="n"/>
    </row>
    <row r="52" ht="14.25" customFormat="1" customHeight="1" s="198">
      <c r="A52" s="246" t="n"/>
      <c r="B52" s="246" t="n"/>
      <c r="C52" s="251" t="inlineStr">
        <is>
          <t>ИТОГО ПО РМ</t>
        </is>
      </c>
      <c r="D52" s="246" t="n"/>
      <c r="E52" s="252" t="n"/>
      <c r="F52" s="253" t="n"/>
      <c r="G52" s="180">
        <f>G14+G39+G51</f>
        <v/>
      </c>
      <c r="H52" s="261" t="n"/>
      <c r="I52" s="253" t="n"/>
      <c r="J52" s="180">
        <f>J14+J39+J51</f>
        <v/>
      </c>
    </row>
    <row r="53" ht="25.5" customFormat="1" customHeight="1" s="198">
      <c r="A53" s="246" t="n"/>
      <c r="B53" s="246" t="n"/>
      <c r="C53" s="251" t="inlineStr">
        <is>
          <t>ИТОГО ПО РМ
(с коэффициентом на демонтаж 0,7)</t>
        </is>
      </c>
      <c r="D53" s="246" t="n"/>
      <c r="E53" s="252" t="n"/>
      <c r="F53" s="253" t="n"/>
      <c r="G53" s="180">
        <f>G15+G40</f>
        <v/>
      </c>
      <c r="H53" s="261" t="n"/>
      <c r="I53" s="253" t="n"/>
      <c r="J53" s="180">
        <f>J15+J40</f>
        <v/>
      </c>
    </row>
    <row r="54" ht="14.25" customFormat="1" customHeight="1" s="198">
      <c r="A54" s="246" t="n"/>
      <c r="B54" s="246" t="n"/>
      <c r="C54" s="251" t="inlineStr">
        <is>
          <t>Накладные расходы</t>
        </is>
      </c>
      <c r="D54" s="246" t="inlineStr">
        <is>
          <t>%</t>
        </is>
      </c>
      <c r="E54" s="56">
        <f>ROUND(G54/(G14+G17),2)</f>
        <v/>
      </c>
      <c r="F54" s="253" t="n"/>
      <c r="G54" s="180" t="n">
        <v>767.74</v>
      </c>
      <c r="H54" s="261" t="n"/>
      <c r="I54" s="253" t="n"/>
      <c r="J54" s="180">
        <f>ROUND(81%*(J14+J17),2)</f>
        <v/>
      </c>
      <c r="K54" s="57" t="n"/>
      <c r="L54" s="183" t="n"/>
      <c r="M54" s="184" t="n"/>
    </row>
    <row r="55" ht="25.5" customFormat="1" customHeight="1" s="198">
      <c r="A55" s="246" t="n"/>
      <c r="B55" s="246" t="n"/>
      <c r="C55" s="251" t="inlineStr">
        <is>
          <t>Накладные расходы 
(с коэффициентом на демонтаж 0,7)</t>
        </is>
      </c>
      <c r="D55" s="246" t="n"/>
      <c r="E55" s="56">
        <f>E54</f>
        <v/>
      </c>
      <c r="F55" s="253" t="n"/>
      <c r="G55" s="173">
        <f>G54*0.7</f>
        <v/>
      </c>
      <c r="H55" s="261" t="n"/>
      <c r="I55" s="253" t="n"/>
      <c r="J55" s="180">
        <f>J54*0.7</f>
        <v/>
      </c>
      <c r="K55" s="57" t="n"/>
    </row>
    <row r="56" ht="14.25" customFormat="1" customHeight="1" s="198">
      <c r="A56" s="246" t="n"/>
      <c r="B56" s="246" t="n"/>
      <c r="C56" s="251" t="inlineStr">
        <is>
          <t>Сметная прибыль</t>
        </is>
      </c>
      <c r="D56" s="246" t="inlineStr">
        <is>
          <t>%</t>
        </is>
      </c>
      <c r="E56" s="56">
        <f>ROUND(G56/(G14+G17),2)</f>
        <v/>
      </c>
      <c r="F56" s="253" t="n"/>
      <c r="G56" s="180" t="n">
        <v>420.83</v>
      </c>
      <c r="H56" s="261" t="n"/>
      <c r="I56" s="253" t="n"/>
      <c r="J56" s="180">
        <f>ROUND(60%*(J14+J17),2)</f>
        <v/>
      </c>
      <c r="K56" s="57" t="n"/>
      <c r="L56" s="183" t="n"/>
      <c r="M56" s="184" t="n"/>
    </row>
    <row r="57" ht="25.5" customFormat="1" customHeight="1" s="198">
      <c r="A57" s="246" t="n"/>
      <c r="B57" s="246" t="n"/>
      <c r="C57" s="251" t="inlineStr">
        <is>
          <t>Сметная прибыль 
(с коэффициентом на демонтаж 0,7)</t>
        </is>
      </c>
      <c r="D57" s="246" t="n"/>
      <c r="E57" s="56">
        <f>E56</f>
        <v/>
      </c>
      <c r="F57" s="253" t="n"/>
      <c r="G57" s="173">
        <f>G56*0.7</f>
        <v/>
      </c>
      <c r="H57" s="261" t="n"/>
      <c r="I57" s="253" t="n"/>
      <c r="J57" s="180">
        <f>J56*0.7</f>
        <v/>
      </c>
      <c r="K57" s="57" t="n"/>
    </row>
    <row r="58" ht="25.5" customFormat="1" customHeight="1" s="198">
      <c r="A58" s="246" t="n"/>
      <c r="B58" s="246" t="n"/>
      <c r="C58" s="251" t="inlineStr">
        <is>
          <t>Итого СМР (с НР и СП) 
(с коэффициентом на демонтаж 0,7)</t>
        </is>
      </c>
      <c r="D58" s="246" t="n"/>
      <c r="E58" s="252" t="n"/>
      <c r="F58" s="253" t="n"/>
      <c r="G58" s="180">
        <f>G53+G55+G57</f>
        <v/>
      </c>
      <c r="H58" s="261" t="n"/>
      <c r="I58" s="253" t="n"/>
      <c r="J58" s="180">
        <f>J53+J55+J57</f>
        <v/>
      </c>
      <c r="L58" s="58" t="n"/>
    </row>
    <row r="59" ht="25.5" customFormat="1" customHeight="1" s="198">
      <c r="A59" s="246" t="n"/>
      <c r="B59" s="246" t="n"/>
      <c r="C59" s="251" t="inlineStr">
        <is>
          <t>ВСЕГО СМР + ОБОРУДОВАНИЕ 
(с коэффициентом на демонтаж 0,7)</t>
        </is>
      </c>
      <c r="D59" s="246" t="n"/>
      <c r="E59" s="252" t="n"/>
      <c r="F59" s="253" t="n"/>
      <c r="G59" s="180">
        <f>G58+G45</f>
        <v/>
      </c>
      <c r="H59" s="261" t="n"/>
      <c r="I59" s="253" t="n"/>
      <c r="J59" s="180">
        <f>J58+J45</f>
        <v/>
      </c>
      <c r="L59" s="57" t="n"/>
    </row>
    <row r="60" ht="14.25" customFormat="1" customHeight="1" s="198">
      <c r="A60" s="246" t="n"/>
      <c r="B60" s="246" t="n"/>
      <c r="C60" s="251" t="inlineStr">
        <is>
          <t>ИТОГО ПОКАЗАТЕЛЬ НА ЕД. ИЗМ.</t>
        </is>
      </c>
      <c r="D60" s="246" t="inlineStr">
        <is>
          <t>ед.</t>
        </is>
      </c>
      <c r="E60" s="120">
        <f>'Прил.1 Сравнит табл'!D15</f>
        <v/>
      </c>
      <c r="F60" s="253" t="n"/>
      <c r="G60" s="180">
        <f>G59/E60</f>
        <v/>
      </c>
      <c r="H60" s="261" t="n"/>
      <c r="I60" s="253" t="n"/>
      <c r="J60" s="180">
        <f>J59/E60</f>
        <v/>
      </c>
      <c r="L60" s="278" t="n"/>
    </row>
    <row r="62" ht="14.25" customFormat="1" customHeight="1" s="198">
      <c r="A62" s="199" t="n"/>
    </row>
    <row r="63" ht="14.25" customFormat="1" customHeight="1" s="198">
      <c r="A63" s="200" t="inlineStr">
        <is>
          <t>Составил ______________________        Е.А. Князева</t>
        </is>
      </c>
      <c r="B63" s="198" t="n"/>
    </row>
    <row r="64" ht="14.25" customFormat="1" customHeight="1" s="198">
      <c r="A64" s="197" t="inlineStr">
        <is>
          <t xml:space="preserve">                         (подпись, инициалы, фамилия)</t>
        </is>
      </c>
      <c r="B64" s="198" t="n"/>
    </row>
    <row r="65" ht="14.25" customFormat="1" customHeight="1" s="198">
      <c r="A65" s="200" t="n"/>
      <c r="B65" s="198" t="n"/>
    </row>
    <row r="66" ht="14.25" customFormat="1" customHeight="1" s="198">
      <c r="A66" s="200" t="inlineStr">
        <is>
          <t>Проверил ______________________        А.В. Костянецкая</t>
        </is>
      </c>
      <c r="B66" s="198" t="n"/>
    </row>
    <row r="67" ht="14.25" customFormat="1" customHeight="1" s="198">
      <c r="A67" s="197" t="inlineStr">
        <is>
          <t xml:space="preserve">                        (подпись, инициалы, фамилия)</t>
        </is>
      </c>
      <c r="B67" s="198" t="n"/>
    </row>
  </sheetData>
  <mergeCells count="19">
    <mergeCell ref="H9:H10"/>
    <mergeCell ref="B42:J42"/>
    <mergeCell ref="B20:H20"/>
    <mergeCell ref="C9:C10"/>
    <mergeCell ref="E9:E10"/>
    <mergeCell ref="A7:H7"/>
    <mergeCell ref="B16:H16"/>
    <mergeCell ref="B9:B10"/>
    <mergeCell ref="D9:D10"/>
    <mergeCell ref="B12:H12"/>
    <mergeCell ref="D6:J6"/>
    <mergeCell ref="B41:J41"/>
    <mergeCell ref="B48:H48"/>
    <mergeCell ref="B47:J47"/>
    <mergeCell ref="F9:G9"/>
    <mergeCell ref="A4:H4"/>
    <mergeCell ref="A9:A10"/>
    <mergeCell ref="B19:H19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workbookViewId="0">
      <selection activeCell="C19" sqref="C19"/>
    </sheetView>
  </sheetViews>
  <sheetFormatPr baseColWidth="8" defaultRowHeight="15"/>
  <cols>
    <col width="5.7109375" customWidth="1" style="203" min="1" max="1"/>
    <col width="14.85546875" customWidth="1" style="203" min="2" max="2"/>
    <col width="39.140625" customWidth="1" style="203" min="3" max="3"/>
    <col width="8.28515625" customWidth="1" style="203" min="4" max="4"/>
    <col width="13.5703125" customWidth="1" style="203" min="5" max="5"/>
    <col width="12.42578125" customWidth="1" style="203" min="6" max="6"/>
    <col width="14.140625" customWidth="1" style="203" min="7" max="7"/>
  </cols>
  <sheetData>
    <row r="1">
      <c r="A1" s="266" t="inlineStr">
        <is>
          <t>Приложение №6</t>
        </is>
      </c>
    </row>
    <row r="2" s="203">
      <c r="A2" s="266" t="n"/>
      <c r="B2" s="266" t="n"/>
      <c r="C2" s="266" t="n"/>
      <c r="D2" s="266" t="n"/>
      <c r="E2" s="266" t="n"/>
      <c r="F2" s="266" t="n"/>
      <c r="G2" s="266" t="n"/>
    </row>
    <row r="3" s="203">
      <c r="A3" s="266" t="n"/>
      <c r="B3" s="266" t="n"/>
      <c r="C3" s="266" t="n"/>
      <c r="D3" s="266" t="n"/>
      <c r="E3" s="266" t="n"/>
      <c r="F3" s="266" t="n"/>
      <c r="G3" s="266" t="n"/>
    </row>
    <row r="4">
      <c r="A4" s="266" t="n"/>
      <c r="B4" s="266" t="n"/>
      <c r="C4" s="266" t="n"/>
      <c r="D4" s="266" t="n"/>
      <c r="E4" s="266" t="n"/>
      <c r="F4" s="266" t="n"/>
      <c r="G4" s="266" t="n"/>
    </row>
    <row r="5">
      <c r="A5" s="243" t="inlineStr">
        <is>
          <t>Расчет стоимости оборудования</t>
        </is>
      </c>
    </row>
    <row r="6" ht="64.5" customHeight="1" s="203">
      <c r="A6" s="268">
        <f>'Прил.1 Сравнит табл'!B7</f>
        <v/>
      </c>
    </row>
    <row r="7">
      <c r="A7" s="200" t="n"/>
      <c r="B7" s="200" t="n"/>
      <c r="C7" s="200" t="n"/>
      <c r="D7" s="200" t="n"/>
      <c r="E7" s="200" t="n"/>
      <c r="F7" s="200" t="n"/>
      <c r="G7" s="200" t="n"/>
    </row>
    <row r="8" ht="30" customHeight="1" s="203">
      <c r="A8" s="267" t="inlineStr">
        <is>
          <t>№ пп.</t>
        </is>
      </c>
      <c r="B8" s="267" t="inlineStr">
        <is>
          <t>Код ресурса</t>
        </is>
      </c>
      <c r="C8" s="267" t="inlineStr">
        <is>
          <t>Наименование</t>
        </is>
      </c>
      <c r="D8" s="267" t="inlineStr">
        <is>
          <t>Ед. изм.</t>
        </is>
      </c>
      <c r="E8" s="246" t="inlineStr">
        <is>
          <t>Кол-во единиц по проектным данным</t>
        </is>
      </c>
      <c r="F8" s="267" t="inlineStr">
        <is>
          <t>Сметная стоимость в ценах на 01.01.2000 (руб.)</t>
        </is>
      </c>
      <c r="G8" s="272" t="n"/>
    </row>
    <row r="9">
      <c r="A9" s="274" t="n"/>
      <c r="B9" s="274" t="n"/>
      <c r="C9" s="274" t="n"/>
      <c r="D9" s="274" t="n"/>
      <c r="E9" s="274" t="n"/>
      <c r="F9" s="246" t="inlineStr">
        <is>
          <t>на ед. изм.</t>
        </is>
      </c>
      <c r="G9" s="246" t="inlineStr">
        <is>
          <t>общая</t>
        </is>
      </c>
    </row>
    <row r="10">
      <c r="A10" s="246" t="n">
        <v>1</v>
      </c>
      <c r="B10" s="246" t="n">
        <v>2</v>
      </c>
      <c r="C10" s="246" t="n">
        <v>3</v>
      </c>
      <c r="D10" s="246" t="n">
        <v>4</v>
      </c>
      <c r="E10" s="246" t="n">
        <v>5</v>
      </c>
      <c r="F10" s="246" t="n">
        <v>6</v>
      </c>
      <c r="G10" s="246" t="n">
        <v>7</v>
      </c>
    </row>
    <row r="11" ht="15" customHeight="1" s="203">
      <c r="A11" s="28" t="n"/>
      <c r="B11" s="251" t="inlineStr">
        <is>
          <t>ИНЖЕНЕРНОЕ ОБОРУДОВАНИЕ</t>
        </is>
      </c>
      <c r="C11" s="271" t="n"/>
      <c r="D11" s="271" t="n"/>
      <c r="E11" s="271" t="n"/>
      <c r="F11" s="271" t="n"/>
      <c r="G11" s="272" t="n"/>
    </row>
    <row r="12" ht="27" customHeight="1" s="203">
      <c r="A12" s="246" t="n"/>
      <c r="B12" s="260" t="n"/>
      <c r="C12" s="251" t="inlineStr">
        <is>
          <t>ИТОГО ИНЖЕНЕРНОЕ ОБОРУДОВАНИЕ</t>
        </is>
      </c>
      <c r="D12" s="260" t="n"/>
      <c r="E12" s="9" t="n"/>
      <c r="F12" s="253" t="n"/>
      <c r="G12" s="253" t="n">
        <v>0</v>
      </c>
    </row>
    <row r="13">
      <c r="A13" s="246" t="n"/>
      <c r="B13" s="251" t="inlineStr">
        <is>
          <t>ТЕХНОЛОГИЧЕСКОЕ ОБОРУДОВАНИЕ</t>
        </is>
      </c>
      <c r="C13" s="271" t="n"/>
      <c r="D13" s="271" t="n"/>
      <c r="E13" s="271" t="n"/>
      <c r="F13" s="271" t="n"/>
      <c r="G13" s="272" t="n"/>
    </row>
    <row r="14">
      <c r="A14" s="246" t="n"/>
      <c r="B14" s="120" t="n"/>
      <c r="C14" s="121" t="n"/>
      <c r="D14" s="120" t="n"/>
      <c r="E14" s="120" t="n"/>
      <c r="F14" s="180" t="n"/>
      <c r="G14" s="180">
        <f>ROUND(E14*F14,2)</f>
        <v/>
      </c>
    </row>
    <row r="15" s="203">
      <c r="A15" s="246" t="n"/>
      <c r="B15" s="120" t="n"/>
      <c r="C15" s="121" t="n"/>
      <c r="D15" s="120" t="n"/>
      <c r="E15" s="120" t="n"/>
      <c r="F15" s="180" t="n"/>
      <c r="G15" s="180">
        <f>ROUND(E15*F15,2)</f>
        <v/>
      </c>
    </row>
    <row r="16" ht="25.5" customHeight="1" s="203">
      <c r="A16" s="246" t="n"/>
      <c r="B16" s="13" t="n"/>
      <c r="C16" s="13" t="inlineStr">
        <is>
          <t>ИТОГО ТЕХНОЛОГИЧЕСКОЕ ОБОРУДОВАНИЕ</t>
        </is>
      </c>
      <c r="D16" s="13" t="n"/>
      <c r="E16" s="14" t="n"/>
      <c r="F16" s="253" t="n"/>
      <c r="G16" s="180">
        <f>SUM(G14:G15)</f>
        <v/>
      </c>
    </row>
    <row r="17" ht="19.5" customHeight="1" s="203">
      <c r="A17" s="246" t="n"/>
      <c r="B17" s="251" t="n"/>
      <c r="C17" s="251" t="inlineStr">
        <is>
          <t>Всего по разделу «Оборудование»</t>
        </is>
      </c>
      <c r="D17" s="251" t="n"/>
      <c r="E17" s="265" t="n"/>
      <c r="F17" s="253" t="n"/>
      <c r="G17" s="180">
        <f>G12+G16</f>
        <v/>
      </c>
    </row>
    <row r="18">
      <c r="A18" s="199" t="n"/>
      <c r="B18" s="195" t="n"/>
      <c r="C18" s="199" t="n"/>
      <c r="D18" s="199" t="n"/>
      <c r="E18" s="199" t="n"/>
      <c r="F18" s="199" t="n"/>
      <c r="G18" s="199" t="n"/>
    </row>
    <row r="19" s="203">
      <c r="A19" s="200" t="inlineStr">
        <is>
          <t>Составил ______________________        Е.А. Князева</t>
        </is>
      </c>
      <c r="B19" s="198" t="n"/>
      <c r="C19" s="198" t="n"/>
      <c r="D19" s="199" t="n"/>
      <c r="E19" s="199" t="n"/>
      <c r="F19" s="199" t="n"/>
      <c r="G19" s="199" t="n"/>
    </row>
    <row r="20" s="203">
      <c r="A20" s="197" t="inlineStr">
        <is>
          <t xml:space="preserve">                         (подпись, инициалы, фамилия)</t>
        </is>
      </c>
      <c r="B20" s="198" t="n"/>
      <c r="C20" s="198" t="n"/>
      <c r="D20" s="199" t="n"/>
      <c r="E20" s="199" t="n"/>
      <c r="F20" s="199" t="n"/>
      <c r="G20" s="199" t="n"/>
    </row>
    <row r="21" s="203">
      <c r="A21" s="200" t="n"/>
      <c r="B21" s="198" t="n"/>
      <c r="C21" s="198" t="n"/>
      <c r="D21" s="199" t="n"/>
      <c r="E21" s="199" t="n"/>
      <c r="F21" s="199" t="n"/>
      <c r="G21" s="199" t="n"/>
    </row>
    <row r="22" s="203">
      <c r="A22" s="200" t="inlineStr">
        <is>
          <t>Проверил ______________________        А.В. Костянецкая</t>
        </is>
      </c>
      <c r="B22" s="198" t="n"/>
      <c r="C22" s="198" t="n"/>
      <c r="D22" s="199" t="n"/>
      <c r="E22" s="199" t="n"/>
      <c r="F22" s="199" t="n"/>
      <c r="G22" s="199" t="n"/>
    </row>
    <row r="23" s="203">
      <c r="A23" s="197" t="inlineStr">
        <is>
          <t xml:space="preserve">                        (подпись, инициалы, фамилия)</t>
        </is>
      </c>
      <c r="B23" s="198" t="n"/>
      <c r="C23" s="198" t="n"/>
      <c r="D23" s="199" t="n"/>
      <c r="E23" s="199" t="n"/>
      <c r="F23" s="199" t="n"/>
      <c r="G23" s="1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3" min="1" max="1"/>
    <col width="29.7109375" customWidth="1" style="203" min="2" max="2"/>
    <col width="38.140625" customWidth="1" style="203" min="3" max="3"/>
    <col width="34.42578125" customWidth="1" style="203" min="4" max="4"/>
    <col width="8.85546875" customWidth="1" style="203" min="5" max="5"/>
  </cols>
  <sheetData>
    <row r="1">
      <c r="B1" s="200" t="n"/>
      <c r="C1" s="200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 s="203">
      <c r="A3" s="243" t="inlineStr">
        <is>
          <t>Расчет показателя УНЦ</t>
        </is>
      </c>
    </row>
    <row r="4" ht="24.75" customHeight="1" s="203">
      <c r="A4" s="243" t="n"/>
      <c r="B4" s="243" t="n"/>
      <c r="C4" s="243" t="n"/>
      <c r="D4" s="243" t="n"/>
    </row>
    <row r="5" ht="49.5" customHeight="1" s="203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9.9" customHeight="1" s="203">
      <c r="A6" s="259" t="inlineStr">
        <is>
          <t>Единица измерения  — 1 ед.</t>
        </is>
      </c>
      <c r="D6" s="259" t="n"/>
    </row>
    <row r="7">
      <c r="A7" s="200" t="n"/>
      <c r="B7" s="200" t="n"/>
      <c r="C7" s="200" t="n"/>
      <c r="D7" s="200" t="n"/>
    </row>
    <row r="8" ht="14.45" customHeight="1" s="203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 ht="15" customHeight="1" s="203">
      <c r="A9" s="274" t="n"/>
      <c r="B9" s="274" t="n"/>
      <c r="C9" s="274" t="n"/>
      <c r="D9" s="274" t="n"/>
    </row>
    <row r="10">
      <c r="A10" s="246" t="n">
        <v>1</v>
      </c>
      <c r="B10" s="246" t="n">
        <v>2</v>
      </c>
      <c r="C10" s="246" t="n">
        <v>3</v>
      </c>
      <c r="D10" s="246" t="n">
        <v>4</v>
      </c>
    </row>
    <row r="11" ht="41.45" customHeight="1" s="203">
      <c r="A11" s="246" t="inlineStr">
        <is>
          <t>М6-11-1</t>
        </is>
      </c>
      <c r="B11" s="246" t="inlineStr">
        <is>
          <t>УНЦ на демонтажные работы ПС</t>
        </is>
      </c>
      <c r="C11" s="191" t="inlineStr">
        <is>
          <t>Демонтаж ОПН 6-15 кВ</t>
        </is>
      </c>
      <c r="D11" s="192">
        <f>'Прил.4 РМ'!C41/1000</f>
        <v/>
      </c>
      <c r="E11" s="193" t="n"/>
    </row>
    <row r="12">
      <c r="A12" s="199" t="n"/>
      <c r="B12" s="195" t="n"/>
      <c r="C12" s="199" t="n"/>
      <c r="D12" s="199" t="n"/>
    </row>
    <row r="13">
      <c r="A13" s="200" t="inlineStr">
        <is>
          <t>Составил ______________________      Р.Р. Шагеева</t>
        </is>
      </c>
      <c r="B13" s="198" t="n"/>
      <c r="C13" s="198" t="n"/>
      <c r="D13" s="199" t="n"/>
    </row>
    <row r="14">
      <c r="A14" s="197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200" t="n"/>
      <c r="B15" s="198" t="n"/>
      <c r="C15" s="198" t="n"/>
      <c r="D15" s="199" t="n"/>
    </row>
    <row r="16">
      <c r="A16" s="200" t="inlineStr">
        <is>
          <t>Проверил ______________________        А.В. Костянецкая</t>
        </is>
      </c>
      <c r="B16" s="198" t="n"/>
      <c r="C16" s="198" t="n"/>
      <c r="D16" s="199" t="n"/>
    </row>
    <row r="17">
      <c r="A17" s="197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3" zoomScale="60" zoomScaleNormal="100" workbookViewId="0">
      <selection activeCell="B26" sqref="B26"/>
    </sheetView>
  </sheetViews>
  <sheetFormatPr baseColWidth="8" defaultRowHeight="15"/>
  <cols>
    <col width="40.7109375" customWidth="1" style="203" min="2" max="2"/>
    <col width="37" customWidth="1" style="203" min="3" max="3"/>
    <col width="32" customWidth="1" style="203" min="4" max="4"/>
  </cols>
  <sheetData>
    <row r="4" ht="15.75" customHeight="1" s="203">
      <c r="B4" s="230" t="inlineStr">
        <is>
          <t>Приложение № 10</t>
        </is>
      </c>
    </row>
    <row r="5" ht="18.75" customHeight="1" s="203">
      <c r="B5" s="22" t="n"/>
    </row>
    <row r="6" ht="15.75" customHeight="1" s="203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 ht="47.25" customHeight="1" s="203">
      <c r="B8" s="233" t="inlineStr">
        <is>
          <t>Наименование индекса / норм сопутствующих затрат</t>
        </is>
      </c>
      <c r="C8" s="233" t="inlineStr">
        <is>
          <t>Дата применения и обоснование индекса / норм сопутствующих затрат</t>
        </is>
      </c>
      <c r="D8" s="233" t="inlineStr">
        <is>
          <t>Размер индекса / норма сопутствующих затрат</t>
        </is>
      </c>
    </row>
    <row r="9" ht="15.75" customHeight="1" s="203">
      <c r="B9" s="233" t="n">
        <v>1</v>
      </c>
      <c r="C9" s="233" t="n">
        <v>2</v>
      </c>
      <c r="D9" s="233" t="n">
        <v>3</v>
      </c>
    </row>
    <row r="10" ht="31.5" customHeight="1" s="203">
      <c r="B10" s="233" t="inlineStr">
        <is>
          <t xml:space="preserve">Индекс изменения сметной стоимости на 1 квартал 2023 года. ОЗП </t>
        </is>
      </c>
      <c r="C10" s="233" t="inlineStr">
        <is>
          <t>Письмо Минстроя России от 30.03.2023г. №17106-ИФ/09  прил.1</t>
        </is>
      </c>
      <c r="D10" s="233" t="n">
        <v>44.29</v>
      </c>
    </row>
    <row r="11" ht="31.5" customHeight="1" s="203">
      <c r="B11" s="233" t="inlineStr">
        <is>
          <t>Индекс изменения сметной стоимости на 1 квартал 2023 года. ЭМ</t>
        </is>
      </c>
      <c r="C11" s="233" t="inlineStr">
        <is>
          <t>Письмо Минстроя России от 30.03.2023г. №17106-ИФ/09  прил.1</t>
        </is>
      </c>
      <c r="D11" s="233" t="n">
        <v>13.47</v>
      </c>
    </row>
    <row r="12" ht="31.5" customHeight="1" s="203">
      <c r="B12" s="233" t="inlineStr">
        <is>
          <t>Индекс изменения сметной стоимости на 1 квартал 2023 года. МАТ</t>
        </is>
      </c>
      <c r="C12" s="233" t="inlineStr">
        <is>
          <t>Письмо Минстроя России от 30.03.2023г. №17106-ИФ/09  прил.1</t>
        </is>
      </c>
      <c r="D12" s="233" t="n">
        <v>8.039999999999999</v>
      </c>
    </row>
    <row r="13" ht="31.5" customHeight="1" s="203">
      <c r="B13" s="233" t="inlineStr">
        <is>
          <t>Индекс изменения сметной стоимости на 1 квартал 2023 года. ОБ</t>
        </is>
      </c>
      <c r="C13" s="143" t="inlineStr">
        <is>
          <t>Письмо Минстроя России от 23.02.2023г. №9791-ИФ/09 прил.6</t>
        </is>
      </c>
      <c r="D13" s="233" t="n">
        <v>6.26</v>
      </c>
    </row>
    <row r="14" ht="78.75" customHeight="1" s="203">
      <c r="B14" s="233" t="inlineStr">
        <is>
          <t>Временные здания и сооружения</t>
        </is>
      </c>
      <c r="C14" s="233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45" t="n">
        <v>0.025</v>
      </c>
    </row>
    <row r="15" ht="78.75" customHeight="1" s="203">
      <c r="B15" s="233" t="inlineStr">
        <is>
          <t>Дополнительные затраты при производстве строительно-монтажных работ в зимнее время</t>
        </is>
      </c>
      <c r="C15" s="2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45" t="n">
        <v>0.021</v>
      </c>
    </row>
    <row r="16" ht="15.75" customHeight="1" s="203">
      <c r="B16" s="233" t="n"/>
      <c r="C16" s="233" t="n"/>
      <c r="D16" s="145" t="n"/>
    </row>
    <row r="17" ht="31.5" customHeight="1" s="203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45" t="n">
        <v>0.0214</v>
      </c>
    </row>
    <row r="18" ht="31.5" customHeight="1" s="203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45" t="n">
        <v>0.002</v>
      </c>
    </row>
    <row r="19" ht="24" customHeight="1" s="203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45" t="n">
        <v>0.03</v>
      </c>
    </row>
    <row r="20" ht="18.75" customHeight="1" s="203">
      <c r="B20" s="23" t="n"/>
    </row>
    <row r="21" ht="18.75" customHeight="1" s="203">
      <c r="B21" s="23" t="n"/>
    </row>
    <row r="22" ht="18.75" customHeight="1" s="203">
      <c r="B22" s="23" t="n"/>
    </row>
    <row r="23" ht="18.75" customHeight="1" s="203">
      <c r="B23" s="23" t="n"/>
    </row>
    <row r="26">
      <c r="B26" s="200" t="inlineStr">
        <is>
          <t>Составил ______________________        Е.А. Князева</t>
        </is>
      </c>
      <c r="C26" s="198" t="n"/>
    </row>
    <row r="27">
      <c r="B27" s="197" t="inlineStr">
        <is>
          <t xml:space="preserve">                         (подпись, инициалы, фамилия)</t>
        </is>
      </c>
      <c r="C27" s="198" t="n"/>
    </row>
    <row r="28">
      <c r="B28" s="200" t="n"/>
      <c r="C28" s="198" t="n"/>
    </row>
    <row r="29">
      <c r="B29" s="200" t="inlineStr">
        <is>
          <t>Проверил ______________________        А.В. Костянецкая</t>
        </is>
      </c>
      <c r="C29" s="198" t="n"/>
    </row>
    <row r="30">
      <c r="B30" s="197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203" min="2" max="2"/>
    <col width="13" customWidth="1" style="203" min="3" max="3"/>
    <col width="22.85546875" customWidth="1" style="203" min="4" max="4"/>
    <col width="21.5703125" customWidth="1" style="203" min="5" max="5"/>
    <col width="43.85546875" customWidth="1" style="203" min="6" max="6"/>
  </cols>
  <sheetData>
    <row r="1" s="203"/>
    <row r="2" ht="17.25" customHeight="1" s="203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3" s="203"/>
    <row r="4" ht="18" customHeight="1" s="203">
      <c r="A4" s="20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3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205" t="n"/>
    </row>
    <row r="6" ht="15.75" customHeight="1" s="203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205" t="n"/>
    </row>
    <row r="7" ht="110.25" customHeight="1" s="203">
      <c r="A7" s="207" t="inlineStr">
        <is>
          <t>1.1</t>
        </is>
      </c>
      <c r="B7" s="2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10" t="n">
        <v>47872.94</v>
      </c>
      <c r="F7" s="2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3">
      <c r="A8" s="207" t="inlineStr">
        <is>
          <t>1.2</t>
        </is>
      </c>
      <c r="B8" s="212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11">
        <f>1973/12</f>
        <v/>
      </c>
      <c r="F8" s="212" t="inlineStr">
        <is>
          <t>Производственный календарь 2023 год
(40-часов.неделя)</t>
        </is>
      </c>
      <c r="G8" s="214" t="n"/>
    </row>
    <row r="9" ht="15.75" customHeight="1" s="203">
      <c r="A9" s="207" t="inlineStr">
        <is>
          <t>1.3</t>
        </is>
      </c>
      <c r="B9" s="212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11" t="n">
        <v>1</v>
      </c>
      <c r="F9" s="212" t="n"/>
      <c r="G9" s="214" t="n"/>
    </row>
    <row r="10" ht="15.75" customHeight="1" s="203">
      <c r="A10" s="207" t="inlineStr">
        <is>
          <t>1.4</t>
        </is>
      </c>
      <c r="B10" s="212" t="inlineStr">
        <is>
          <t>Средний разряд работ</t>
        </is>
      </c>
      <c r="C10" s="233" t="n"/>
      <c r="D10" s="233" t="n"/>
      <c r="E10" s="285" t="n">
        <v>4</v>
      </c>
      <c r="F10" s="212" t="inlineStr">
        <is>
          <t>РТМ</t>
        </is>
      </c>
      <c r="G10" s="214" t="n"/>
    </row>
    <row r="11" ht="78.75" customHeight="1" s="203">
      <c r="A11" s="207" t="inlineStr">
        <is>
          <t>1.5</t>
        </is>
      </c>
      <c r="B11" s="212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86" t="n">
        <v>1.34</v>
      </c>
      <c r="F11" s="2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3">
      <c r="A12" s="207" t="inlineStr">
        <is>
          <t>1.6</t>
        </is>
      </c>
      <c r="B12" s="217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287" t="n">
        <v>1.139</v>
      </c>
      <c r="F12" s="2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4" t="n"/>
    </row>
    <row r="13" ht="63" customHeight="1" s="203">
      <c r="A13" s="220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223">
        <f>((E7*E9/E8)*E11)*E12</f>
        <v/>
      </c>
      <c r="F1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2025-01-24T12:12:05Z</dcterms:modified>
  <cp:lastModifiedBy>Nikolay Ivanov</cp:lastModifiedBy>
  <cp:lastPrinted>2023-11-29T09:24:18Z</cp:lastPrinted>
</cp:coreProperties>
</file>