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85" workbookViewId="0">
      <selection activeCell="C28" sqref="C28"/>
    </sheetView>
  </sheetViews>
  <sheetFormatPr baseColWidth="8" defaultColWidth="9.140625" defaultRowHeight="15.75"/>
  <cols>
    <col width="9.140625" customWidth="1" style="242" min="1" max="2"/>
    <col width="51.7109375" customWidth="1" style="242" min="3" max="3"/>
    <col width="47" customWidth="1" style="242" min="4" max="4"/>
    <col width="37.42578125" customWidth="1" style="242" min="5" max="5"/>
    <col width="9.140625" customWidth="1" style="242" min="6" max="6"/>
  </cols>
  <sheetData>
    <row r="3">
      <c r="B3" s="268" t="inlineStr">
        <is>
          <t>Приложение № 1</t>
        </is>
      </c>
    </row>
    <row r="4">
      <c r="B4" s="269" t="inlineStr">
        <is>
          <t>Сравнительная таблица отбора объекта-представителя</t>
        </is>
      </c>
    </row>
    <row r="5" ht="84" customHeight="1" s="240">
      <c r="B5" s="2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0">
      <c r="B6" s="125" t="n"/>
      <c r="C6" s="125" t="n"/>
      <c r="D6" s="125" t="n"/>
    </row>
    <row r="7" ht="64.5" customHeight="1" s="240">
      <c r="B7" s="270" t="inlineStr">
        <is>
          <t>Наименование разрабатываемого показателя УНЦ - Демонтаж однополюсного разъединителя 6-15 кВ</t>
        </is>
      </c>
    </row>
    <row r="8" ht="31.5" customHeight="1" s="240">
      <c r="B8" s="271" t="inlineStr">
        <is>
          <t>Сопоставимый уровень цен: 2 квартал 2011</t>
        </is>
      </c>
    </row>
    <row r="9" ht="15.75" customHeight="1" s="240">
      <c r="B9" s="271" t="inlineStr">
        <is>
          <t>Единица измерения  — 1 ед.</t>
        </is>
      </c>
    </row>
    <row r="10">
      <c r="B10" s="271" t="n"/>
    </row>
    <row r="11">
      <c r="B11" s="275" t="inlineStr">
        <is>
          <t>№ п/п</t>
        </is>
      </c>
      <c r="C11" s="275" t="inlineStr">
        <is>
          <t>Параметр</t>
        </is>
      </c>
      <c r="D11" s="275" t="inlineStr">
        <is>
          <t xml:space="preserve">Объект-представитель </t>
        </is>
      </c>
      <c r="E11" s="126" t="n"/>
    </row>
    <row r="12" ht="96.75" customHeight="1" s="240">
      <c r="B12" s="275" t="n">
        <v>1</v>
      </c>
      <c r="C12" s="282" t="inlineStr">
        <is>
          <t>Наименование объекта-представителя</t>
        </is>
      </c>
      <c r="D12" s="258" t="inlineStr">
        <is>
          <t>ПС 35 кВ Ужовка-2 (МРСК Центра и Приволжья)</t>
        </is>
      </c>
    </row>
    <row r="13">
      <c r="B13" s="275" t="n">
        <v>2</v>
      </c>
      <c r="C13" s="282" t="inlineStr">
        <is>
          <t>Наименование субъекта Российской Федерации</t>
        </is>
      </c>
      <c r="D13" s="258" t="inlineStr">
        <is>
          <t>Нижегородская обл.</t>
        </is>
      </c>
    </row>
    <row r="14">
      <c r="B14" s="275" t="n">
        <v>3</v>
      </c>
      <c r="C14" s="282" t="inlineStr">
        <is>
          <t>Климатический район и подрайон</t>
        </is>
      </c>
      <c r="D14" s="259" t="inlineStr">
        <is>
          <t>IIB</t>
        </is>
      </c>
    </row>
    <row r="15">
      <c r="B15" s="275" t="n">
        <v>4</v>
      </c>
      <c r="C15" s="282" t="inlineStr">
        <is>
          <t>Мощность объекта</t>
        </is>
      </c>
      <c r="D15" s="275" t="n">
        <v>2</v>
      </c>
    </row>
    <row r="16" ht="126" customHeight="1" s="240">
      <c r="B16" s="27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5" t="inlineStr">
        <is>
      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 компл. Монолитные фундаменты, стальные конструкции</t>
        </is>
      </c>
    </row>
    <row r="17" ht="79.5" customHeight="1" s="240">
      <c r="B17" s="27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0">
        <f>D18+D19</f>
        <v/>
      </c>
      <c r="E17" s="128" t="n"/>
    </row>
    <row r="18">
      <c r="B18" s="129" t="inlineStr">
        <is>
          <t>6.1</t>
        </is>
      </c>
      <c r="C18" s="282" t="inlineStr">
        <is>
          <t>строительно-монтажные работы</t>
        </is>
      </c>
      <c r="D18" s="260">
        <f>'Прил.2 Расч стоим'!F14</f>
        <v/>
      </c>
    </row>
    <row r="19" ht="15.75" customHeight="1" s="240">
      <c r="B19" s="129" t="inlineStr">
        <is>
          <t>6.2</t>
        </is>
      </c>
      <c r="C19" s="282" t="inlineStr">
        <is>
          <t>оборудование и инвентарь</t>
        </is>
      </c>
      <c r="D19" s="260" t="n">
        <v>0</v>
      </c>
    </row>
    <row r="20" ht="16.5" customHeight="1" s="240">
      <c r="B20" s="129" t="inlineStr">
        <is>
          <t>6.3</t>
        </is>
      </c>
      <c r="C20" s="282" t="inlineStr">
        <is>
          <t>пусконаладочные работы</t>
        </is>
      </c>
      <c r="D20" s="260" t="n"/>
    </row>
    <row r="21" ht="35.25" customHeight="1" s="240">
      <c r="B21" s="129" t="inlineStr">
        <is>
          <t>6.4</t>
        </is>
      </c>
      <c r="C21" s="130" t="inlineStr">
        <is>
          <t>прочие и лимитированные затраты</t>
        </is>
      </c>
      <c r="D21" s="260" t="n"/>
    </row>
    <row r="22">
      <c r="B22" s="275" t="n">
        <v>7</v>
      </c>
      <c r="C22" s="130" t="inlineStr">
        <is>
          <t>Сопоставимый уровень цен</t>
        </is>
      </c>
      <c r="D22" s="275" t="inlineStr">
        <is>
          <t>2 квартал 2011</t>
        </is>
      </c>
      <c r="E22" s="131" t="n"/>
    </row>
    <row r="23" ht="78.75" customHeight="1" s="240">
      <c r="B23" s="275" t="n">
        <v>8</v>
      </c>
      <c r="C23" s="1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0">
        <f>D17</f>
        <v/>
      </c>
      <c r="E23" s="128" t="n"/>
    </row>
    <row r="24" ht="31.5" customHeight="1" s="240">
      <c r="B24" s="27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260">
        <f>D17/D15</f>
        <v/>
      </c>
      <c r="E24" s="131" t="n"/>
    </row>
    <row r="25">
      <c r="B25" s="275" t="n">
        <v>10</v>
      </c>
      <c r="C25" s="282" t="inlineStr">
        <is>
          <t>Примечание</t>
        </is>
      </c>
      <c r="D25" s="275" t="n"/>
    </row>
    <row r="26">
      <c r="B26" s="133" t="n"/>
      <c r="C26" s="134" t="n"/>
      <c r="D26" s="134" t="n"/>
    </row>
    <row r="27">
      <c r="B27" s="117" t="n"/>
    </row>
    <row r="28">
      <c r="B28" s="242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2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2" min="1" max="1"/>
    <col width="9.140625" customWidth="1" style="242" min="2" max="2"/>
    <col width="35.28515625" customWidth="1" style="242" min="3" max="3"/>
    <col width="13.85546875" customWidth="1" style="242" min="4" max="4"/>
    <col width="24.85546875" customWidth="1" style="242" min="5" max="5"/>
    <col width="15.5703125" customWidth="1" style="242" min="6" max="6"/>
    <col width="14.85546875" customWidth="1" style="242" min="7" max="7"/>
    <col width="16.7109375" customWidth="1" style="242" min="8" max="8"/>
    <col width="13" customWidth="1" style="242" min="9" max="10"/>
    <col width="18" customWidth="1" style="242" min="11" max="11"/>
    <col width="9.140625" customWidth="1" style="242" min="12" max="12"/>
  </cols>
  <sheetData>
    <row r="3">
      <c r="B3" s="268" t="inlineStr">
        <is>
          <t>Приложение № 2</t>
        </is>
      </c>
      <c r="K3" s="117" t="n"/>
    </row>
    <row r="4">
      <c r="B4" s="269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0">
      <c r="B6" s="271">
        <f>'Прил.1 Сравнит табл'!B7:D7</f>
        <v/>
      </c>
    </row>
    <row r="7">
      <c r="B7" s="271">
        <f>'Прил.1 Сравнит табл'!B9:D9</f>
        <v/>
      </c>
    </row>
    <row r="8" ht="18.75" customHeight="1" s="240">
      <c r="B8" s="112" t="n"/>
    </row>
    <row r="9" ht="15.75" customHeight="1" s="240">
      <c r="B9" s="275" t="inlineStr">
        <is>
          <t>№ п/п</t>
        </is>
      </c>
      <c r="C9" s="2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5" t="inlineStr">
        <is>
          <t>Объект-представитель 1</t>
        </is>
      </c>
      <c r="E9" s="366" t="n"/>
      <c r="F9" s="366" t="n"/>
      <c r="G9" s="366" t="n"/>
      <c r="H9" s="366" t="n"/>
      <c r="I9" s="366" t="n"/>
      <c r="J9" s="367" t="n"/>
    </row>
    <row r="10" ht="15.75" customHeight="1" s="240">
      <c r="B10" s="368" t="n"/>
      <c r="C10" s="368" t="n"/>
      <c r="D10" s="275" t="inlineStr">
        <is>
          <t>Номер сметы</t>
        </is>
      </c>
      <c r="E10" s="275" t="inlineStr">
        <is>
          <t>Наименование сметы</t>
        </is>
      </c>
      <c r="F10" s="275" t="inlineStr">
        <is>
          <t>Сметная стоимость в уровне цен 2 кв. 2011г., тыс. руб.</t>
        </is>
      </c>
      <c r="G10" s="366" t="n"/>
      <c r="H10" s="366" t="n"/>
      <c r="I10" s="366" t="n"/>
      <c r="J10" s="367" t="n"/>
    </row>
    <row r="11" ht="31.5" customHeight="1" s="240">
      <c r="B11" s="369" t="n"/>
      <c r="C11" s="369" t="n"/>
      <c r="D11" s="369" t="n"/>
      <c r="E11" s="369" t="n"/>
      <c r="F11" s="275" t="inlineStr">
        <is>
          <t>Строительные работы</t>
        </is>
      </c>
      <c r="G11" s="275" t="inlineStr">
        <is>
          <t>Монтажные работы</t>
        </is>
      </c>
      <c r="H11" s="275" t="inlineStr">
        <is>
          <t>Оборудование</t>
        </is>
      </c>
      <c r="I11" s="275" t="inlineStr">
        <is>
          <t>Прочее</t>
        </is>
      </c>
      <c r="J11" s="275" t="inlineStr">
        <is>
          <t>Всего</t>
        </is>
      </c>
    </row>
    <row r="12" ht="15" customHeight="1" s="240">
      <c r="B12" s="275" t="n"/>
      <c r="C12" s="127" t="inlineStr">
        <is>
          <t>Демонтаж однополюсного разъединителя 6-15 кВ</t>
        </is>
      </c>
      <c r="D12" s="275" t="n"/>
      <c r="E12" s="275" t="n"/>
      <c r="F12" s="275" t="n">
        <v>2.3259388144</v>
      </c>
      <c r="G12" s="367" t="n"/>
      <c r="H12" s="275" t="n">
        <v>0</v>
      </c>
      <c r="I12" s="275" t="n"/>
      <c r="J12" s="275" t="n">
        <v>2.3259388144</v>
      </c>
    </row>
    <row r="13" ht="15" customHeight="1" s="240">
      <c r="B13" s="278" t="inlineStr">
        <is>
          <t>Всего по объекту:</t>
        </is>
      </c>
      <c r="C13" s="366" t="n"/>
      <c r="D13" s="366" t="n"/>
      <c r="E13" s="367" t="n"/>
      <c r="F13" s="119" t="n"/>
      <c r="G13" s="119" t="n"/>
      <c r="H13" s="119" t="n"/>
      <c r="I13" s="119" t="n"/>
      <c r="J13" s="119" t="n"/>
    </row>
    <row r="14" ht="15.75" customHeight="1" s="240">
      <c r="B14" s="278" t="inlineStr">
        <is>
          <t>Всего по объекту в сопоставимом уровне цен 2кв. 2011г:</t>
        </is>
      </c>
      <c r="C14" s="366" t="n"/>
      <c r="D14" s="366" t="n"/>
      <c r="E14" s="367" t="n"/>
      <c r="F14" s="370">
        <f>F12</f>
        <v/>
      </c>
      <c r="G14" s="367" t="n"/>
      <c r="H14" s="119">
        <f>H12</f>
        <v/>
      </c>
      <c r="I14" s="119" t="n"/>
      <c r="J14" s="119">
        <f>J12</f>
        <v/>
      </c>
    </row>
    <row r="15" ht="15.75" customHeight="1" s="240">
      <c r="B15" s="242" t="n"/>
      <c r="C15" s="242" t="n"/>
      <c r="D15" s="242" t="n"/>
      <c r="E15" s="242" t="n"/>
      <c r="F15" s="242" t="n"/>
      <c r="G15" s="242" t="n"/>
      <c r="H15" s="242" t="n"/>
      <c r="I15" s="242" t="n"/>
      <c r="J15" s="242" t="n"/>
    </row>
    <row r="16" ht="15.75" customHeight="1" s="240">
      <c r="B16" s="242" t="n"/>
      <c r="C16" s="242" t="n"/>
      <c r="D16" s="242" t="n"/>
      <c r="E16" s="242" t="n"/>
      <c r="F16" s="242" t="n"/>
      <c r="G16" s="242" t="n"/>
      <c r="H16" s="242" t="n"/>
      <c r="I16" s="242" t="n"/>
      <c r="J16" s="242" t="n"/>
    </row>
    <row r="17" ht="15" customHeight="1" s="240"/>
    <row r="18" ht="15" customHeight="1" s="240"/>
    <row r="19" ht="15" customHeight="1" s="240"/>
    <row r="20" ht="15" customHeight="1" s="240">
      <c r="C20" s="239" t="inlineStr">
        <is>
          <t>Составил ______________________     Д.Ю. Нефедова</t>
        </is>
      </c>
      <c r="D20" s="237" t="n"/>
      <c r="E20" s="237" t="n"/>
    </row>
    <row r="21" ht="15" customHeight="1" s="240">
      <c r="C21" s="236" t="inlineStr">
        <is>
          <t xml:space="preserve">                         (подпись, инициалы, фамилия)</t>
        </is>
      </c>
      <c r="D21" s="237" t="n"/>
      <c r="E21" s="237" t="n"/>
    </row>
    <row r="22" ht="15" customHeight="1" s="240">
      <c r="C22" s="239" t="n"/>
      <c r="D22" s="237" t="n"/>
      <c r="E22" s="237" t="n"/>
    </row>
    <row r="23" ht="15" customHeight="1" s="240">
      <c r="C23" s="239" t="inlineStr">
        <is>
          <t>Проверил ______________________        А.В. Костянецкая</t>
        </is>
      </c>
      <c r="D23" s="237" t="n"/>
      <c r="E23" s="237" t="n"/>
    </row>
    <row r="24" ht="15" customHeight="1" s="240">
      <c r="C24" s="236" t="inlineStr">
        <is>
          <t xml:space="preserve">                        (подпись, инициалы, фамилия)</t>
        </is>
      </c>
      <c r="D24" s="237" t="n"/>
      <c r="E24" s="237" t="n"/>
    </row>
    <row r="25" ht="15" customHeight="1" s="240"/>
    <row r="26" ht="15" customHeight="1" s="240"/>
    <row r="27" ht="15" customHeight="1" s="240"/>
    <row r="28" ht="15" customHeight="1" s="240"/>
    <row r="29" ht="15" customHeight="1" s="240"/>
    <row r="30" ht="15" customHeight="1" s="2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96"/>
  <sheetViews>
    <sheetView view="pageBreakPreview" topLeftCell="A77" workbookViewId="0">
      <selection activeCell="C92" sqref="C92"/>
    </sheetView>
  </sheetViews>
  <sheetFormatPr baseColWidth="8" defaultColWidth="9.140625" defaultRowHeight="15.75"/>
  <cols>
    <col width="9.140625" customWidth="1" style="242" min="1" max="1"/>
    <col width="12.5703125" customWidth="1" style="242" min="2" max="2"/>
    <col width="22.42578125" customWidth="1" style="242" min="3" max="3"/>
    <col width="49.7109375" customWidth="1" style="242" min="4" max="4"/>
    <col width="10.140625" customWidth="1" style="242" min="5" max="5"/>
    <col width="20.7109375" customWidth="1" style="242" min="6" max="6"/>
    <col width="20" customWidth="1" style="242" min="7" max="7"/>
    <col width="16.7109375" customWidth="1" style="242" min="8" max="8"/>
    <col width="9.140625" customWidth="1" style="242" min="9" max="9"/>
    <col width="15.5703125" customWidth="1" style="242" min="10" max="10"/>
    <col width="15" customWidth="1" style="242" min="11" max="11"/>
    <col width="9.140625" customWidth="1" style="242" min="12" max="12"/>
  </cols>
  <sheetData>
    <row r="2">
      <c r="A2" s="268" t="inlineStr">
        <is>
          <t xml:space="preserve">Приложение № 3 </t>
        </is>
      </c>
    </row>
    <row r="3">
      <c r="A3" s="269" t="inlineStr">
        <is>
          <t>Объектная ресурсная ведомость</t>
        </is>
      </c>
    </row>
    <row r="4" ht="18.75" customHeight="1" s="240">
      <c r="A4" s="28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1" t="n"/>
    </row>
    <row r="6">
      <c r="A6" s="286" t="inlineStr">
        <is>
          <t>Наименование разрабатываемого показателя УНЦ -  Демонтаж однополюсного разъединителя 6-15 кВ</t>
        </is>
      </c>
    </row>
    <row r="7" s="240">
      <c r="A7" s="286" t="n"/>
      <c r="B7" s="286" t="n"/>
      <c r="C7" s="286" t="n"/>
      <c r="D7" s="286" t="n"/>
      <c r="E7" s="286" t="n"/>
      <c r="F7" s="286" t="n"/>
      <c r="G7" s="286" t="n"/>
      <c r="H7" s="286" t="n"/>
      <c r="I7" s="242" t="n"/>
      <c r="J7" s="242" t="n"/>
      <c r="K7" s="242" t="n"/>
      <c r="L7" s="242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 ht="38.25" customHeight="1" s="240">
      <c r="A9" s="275" t="inlineStr">
        <is>
          <t>п/п</t>
        </is>
      </c>
      <c r="B9" s="275" t="inlineStr">
        <is>
          <t>№ЛСР</t>
        </is>
      </c>
      <c r="C9" s="275" t="inlineStr">
        <is>
          <t>Код ресурса</t>
        </is>
      </c>
      <c r="D9" s="275" t="inlineStr">
        <is>
          <t>Наименование ресурса</t>
        </is>
      </c>
      <c r="E9" s="275" t="inlineStr">
        <is>
          <t>Ед. изм.</t>
        </is>
      </c>
      <c r="F9" s="275" t="inlineStr">
        <is>
          <t>Кол-во единиц по данным объекта-представителя</t>
        </is>
      </c>
      <c r="G9" s="275" t="inlineStr">
        <is>
          <t>Сметная стоимость в ценах на 01.01.2000 (руб.)</t>
        </is>
      </c>
      <c r="H9" s="367" t="n"/>
    </row>
    <row r="10" ht="40.5" customHeight="1" s="240">
      <c r="A10" s="369" t="n"/>
      <c r="B10" s="369" t="n"/>
      <c r="C10" s="369" t="n"/>
      <c r="D10" s="369" t="n"/>
      <c r="E10" s="369" t="n"/>
      <c r="F10" s="369" t="n"/>
      <c r="G10" s="275" t="inlineStr">
        <is>
          <t>на ед.изм.</t>
        </is>
      </c>
      <c r="H10" s="275" t="inlineStr">
        <is>
          <t>общая</t>
        </is>
      </c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</row>
    <row r="12" customFormat="1" s="137">
      <c r="A12" s="283" t="inlineStr">
        <is>
          <t>Затраты труда рабочих</t>
        </is>
      </c>
      <c r="B12" s="366" t="n"/>
      <c r="C12" s="366" t="n"/>
      <c r="D12" s="366" t="n"/>
      <c r="E12" s="367" t="n"/>
      <c r="F12" s="371" t="n">
        <v>22.690765078897</v>
      </c>
      <c r="G12" s="10" t="n"/>
      <c r="H12" s="371">
        <f>SUM(H13:H20)</f>
        <v/>
      </c>
    </row>
    <row r="13">
      <c r="A13" s="138" t="n">
        <v>1</v>
      </c>
      <c r="B13" s="139" t="n"/>
      <c r="C13" s="195" t="inlineStr">
        <is>
          <t>1-4-0</t>
        </is>
      </c>
      <c r="D13" s="196" t="inlineStr">
        <is>
          <t>Затраты труда рабочих (средний разряд работы 4,0)</t>
        </is>
      </c>
      <c r="E13" s="311" t="inlineStr">
        <is>
          <t>чел.-ч</t>
        </is>
      </c>
      <c r="F13" s="198" t="n">
        <v>17.268568145771</v>
      </c>
      <c r="G13" s="140" t="n">
        <v>9.619999999999999</v>
      </c>
      <c r="H13" s="174">
        <f>ROUND(F13*G13,2)</f>
        <v/>
      </c>
      <c r="I13" s="242" t="n"/>
      <c r="J13" s="242" t="n"/>
      <c r="K13" s="242" t="n"/>
      <c r="L13" s="242" t="n"/>
      <c r="M13" s="209" t="n"/>
    </row>
    <row r="14">
      <c r="A14" s="138" t="n">
        <v>2</v>
      </c>
      <c r="B14" s="139" t="n"/>
      <c r="C14" s="195" t="inlineStr">
        <is>
          <t>1-2-0</t>
        </is>
      </c>
      <c r="D14" s="196" t="inlineStr">
        <is>
          <t>Затраты труда рабочих (средний разряд работы 2,0)</t>
        </is>
      </c>
      <c r="E14" s="311" t="inlineStr">
        <is>
          <t>чел.-ч</t>
        </is>
      </c>
      <c r="F14" s="198" t="n">
        <v>2.4669427337336</v>
      </c>
      <c r="G14" s="140" t="n">
        <v>7.8</v>
      </c>
      <c r="H14" s="174">
        <f>ROUND(F14*G14,2)</f>
        <v/>
      </c>
      <c r="I14" s="242" t="n"/>
      <c r="J14" s="242" t="n"/>
      <c r="K14" s="242" t="n"/>
      <c r="L14" s="242" t="n"/>
      <c r="M14" s="209" t="n"/>
    </row>
    <row r="15">
      <c r="A15" s="138" t="n">
        <v>3</v>
      </c>
      <c r="B15" s="139" t="n"/>
      <c r="C15" s="195" t="inlineStr">
        <is>
          <t>1-2-9</t>
        </is>
      </c>
      <c r="D15" s="196" t="inlineStr">
        <is>
          <t>Затраты труда рабочих (средний разряд работы 2,9)</t>
        </is>
      </c>
      <c r="E15" s="311" t="inlineStr">
        <is>
          <t>чел.-ч</t>
        </is>
      </c>
      <c r="F15" s="198" t="n">
        <v>1.2029421921986</v>
      </c>
      <c r="G15" s="140" t="n">
        <v>8.460000000000001</v>
      </c>
      <c r="H15" s="174">
        <f>ROUND(F15*G15,2)</f>
        <v/>
      </c>
      <c r="I15" s="242" t="n"/>
      <c r="J15" s="242" t="n"/>
      <c r="K15" s="242" t="n"/>
      <c r="L15" s="242" t="n"/>
      <c r="M15" s="209" t="n"/>
    </row>
    <row r="16">
      <c r="A16" s="138" t="n">
        <v>4</v>
      </c>
      <c r="B16" s="139" t="n"/>
      <c r="C16" s="195" t="inlineStr">
        <is>
          <t>1-3-0</t>
        </is>
      </c>
      <c r="D16" s="196" t="inlineStr">
        <is>
          <t>Затраты труда рабочих (средний разряд работы 3,0)</t>
        </is>
      </c>
      <c r="E16" s="311" t="inlineStr">
        <is>
          <t>чел.-ч</t>
        </is>
      </c>
      <c r="F16" s="198" t="n">
        <v>0.81762270066858</v>
      </c>
      <c r="G16" s="140" t="n">
        <v>8.529999999999999</v>
      </c>
      <c r="H16" s="174">
        <f>ROUND(F16*G16,2)</f>
        <v/>
      </c>
      <c r="I16" s="242" t="n"/>
      <c r="J16" s="242" t="n"/>
      <c r="K16" s="242" t="n"/>
      <c r="L16" s="242" t="n"/>
      <c r="M16" s="209" t="n"/>
    </row>
    <row r="17">
      <c r="A17" s="138" t="n">
        <v>5</v>
      </c>
      <c r="B17" s="139" t="n"/>
      <c r="C17" s="195" t="inlineStr">
        <is>
          <t>1-4-1</t>
        </is>
      </c>
      <c r="D17" s="196" t="inlineStr">
        <is>
          <t>Затраты труда рабочих (средний разряд работы 4,1)</t>
        </is>
      </c>
      <c r="E17" s="311" t="inlineStr">
        <is>
          <t>чел.-ч</t>
        </is>
      </c>
      <c r="F17" s="198" t="n">
        <v>0.39185115673892</v>
      </c>
      <c r="G17" s="140" t="n">
        <v>9.76</v>
      </c>
      <c r="H17" s="174">
        <f>ROUND(F17*G17,2)</f>
        <v/>
      </c>
      <c r="I17" s="242" t="n"/>
      <c r="J17" s="242" t="n"/>
      <c r="K17" s="242" t="n"/>
      <c r="L17" s="242" t="n"/>
    </row>
    <row r="18">
      <c r="A18" s="138" t="n">
        <v>6</v>
      </c>
      <c r="B18" s="139" t="n"/>
      <c r="C18" s="195" t="inlineStr">
        <is>
          <t>1-3-9</t>
        </is>
      </c>
      <c r="D18" s="196" t="inlineStr">
        <is>
          <t>Затраты труда рабочих (средний разряд работы 3,9)</t>
        </is>
      </c>
      <c r="E18" s="311" t="inlineStr">
        <is>
          <t>чел.-ч</t>
        </is>
      </c>
      <c r="F18" s="198" t="n">
        <v>0.31138430371929</v>
      </c>
      <c r="G18" s="140" t="n">
        <v>9.51</v>
      </c>
      <c r="H18" s="174">
        <f>ROUND(F18*G18,2)</f>
        <v/>
      </c>
      <c r="I18" s="242" t="n"/>
      <c r="J18" s="242" t="n"/>
      <c r="K18" s="242" t="n"/>
      <c r="L18" s="242" t="n"/>
    </row>
    <row r="19">
      <c r="A19" s="138" t="n">
        <v>7</v>
      </c>
      <c r="B19" s="139" t="n"/>
      <c r="C19" s="195" t="inlineStr">
        <is>
          <t>1-3-4</t>
        </is>
      </c>
      <c r="D19" s="196" t="inlineStr">
        <is>
          <t>Затраты труда рабочих (средний разряд работы 3,4)</t>
        </is>
      </c>
      <c r="E19" s="311" t="inlineStr">
        <is>
          <t>чел.-ч</t>
        </is>
      </c>
      <c r="F19" s="198" t="n">
        <v>0.12487685614252</v>
      </c>
      <c r="G19" s="140" t="n">
        <v>8.970000000000001</v>
      </c>
      <c r="H19" s="174">
        <f>ROUND(F19*G19,2)</f>
        <v/>
      </c>
      <c r="I19" s="242" t="n"/>
      <c r="J19" s="242" t="n"/>
      <c r="K19" s="242" t="n"/>
      <c r="L19" s="242" t="n"/>
    </row>
    <row r="20">
      <c r="A20" s="138" t="n">
        <v>8</v>
      </c>
      <c r="B20" s="139" t="n"/>
      <c r="C20" s="195" t="inlineStr">
        <is>
          <t>1-3-5</t>
        </is>
      </c>
      <c r="D20" s="196" t="inlineStr">
        <is>
          <t>Затраты труда рабочих (средний разряд работы 3,5)</t>
        </is>
      </c>
      <c r="E20" s="311" t="inlineStr">
        <is>
          <t>чел.-ч</t>
        </is>
      </c>
      <c r="F20" s="198" t="n">
        <v>0.10657698992415</v>
      </c>
      <c r="G20" s="140" t="n">
        <v>9.07</v>
      </c>
      <c r="H20" s="174">
        <f>ROUND(F20*G20,2)</f>
        <v/>
      </c>
      <c r="I20" s="242" t="n"/>
      <c r="J20" s="242" t="n"/>
      <c r="K20" s="242" t="n"/>
      <c r="L20" s="242" t="n"/>
    </row>
    <row r="21">
      <c r="A21" s="279" t="inlineStr">
        <is>
          <t>Затраты труда машинистов</t>
        </is>
      </c>
      <c r="B21" s="366" t="n"/>
      <c r="C21" s="366" t="n"/>
      <c r="D21" s="366" t="n"/>
      <c r="E21" s="367" t="n"/>
      <c r="F21" s="283" t="n"/>
      <c r="G21" s="141" t="n"/>
      <c r="H21" s="371">
        <f>H22</f>
        <v/>
      </c>
    </row>
    <row r="22">
      <c r="A22" s="291" t="n">
        <v>9</v>
      </c>
      <c r="B22" s="281" t="n"/>
      <c r="C22" s="199" t="n">
        <v>2</v>
      </c>
      <c r="D22" s="290" t="inlineStr">
        <is>
          <t>Затраты труда машинистов</t>
        </is>
      </c>
      <c r="E22" s="291" t="inlineStr">
        <is>
          <t>чел.-ч</t>
        </is>
      </c>
      <c r="F22" s="292" t="n">
        <v>2.47656</v>
      </c>
      <c r="G22" s="140" t="n"/>
      <c r="H22" s="310" t="n">
        <v>31.81992</v>
      </c>
    </row>
    <row r="23" customFormat="1" s="137">
      <c r="A23" s="283" t="inlineStr">
        <is>
          <t>Машины и механизмы</t>
        </is>
      </c>
      <c r="B23" s="366" t="n"/>
      <c r="C23" s="366" t="n"/>
      <c r="D23" s="366" t="n"/>
      <c r="E23" s="367" t="n"/>
      <c r="F23" s="283" t="n"/>
      <c r="G23" s="141" t="n"/>
      <c r="H23" s="371">
        <f>SUM(H24:H43)</f>
        <v/>
      </c>
    </row>
    <row r="24" ht="25.5" customHeight="1" s="240">
      <c r="A24" s="291" t="n">
        <v>10</v>
      </c>
      <c r="B24" s="281" t="n"/>
      <c r="C24" s="199" t="inlineStr">
        <is>
          <t>91.05.05-014</t>
        </is>
      </c>
      <c r="D24" s="290" t="inlineStr">
        <is>
          <t>Краны на автомобильном ходу, грузоподъемность 10 т</t>
        </is>
      </c>
      <c r="E24" s="291" t="inlineStr">
        <is>
          <t>маш.-ч</t>
        </is>
      </c>
      <c r="F24" s="291" t="n">
        <v>1.39349792</v>
      </c>
      <c r="G24" s="310" t="n">
        <v>111.99</v>
      </c>
      <c r="H24" s="174">
        <f>ROUND(F24*G24,2)</f>
        <v/>
      </c>
      <c r="I24" s="143" t="n"/>
      <c r="J24" s="144" t="n"/>
      <c r="L24" s="143" t="n"/>
    </row>
    <row r="25" ht="25.5" customFormat="1" customHeight="1" s="137">
      <c r="A25" s="291" t="n">
        <v>11</v>
      </c>
      <c r="B25" s="281" t="n"/>
      <c r="C25" s="199" t="inlineStr">
        <is>
          <t>91.01.05-086</t>
        </is>
      </c>
      <c r="D25" s="290" t="inlineStr">
        <is>
          <t>Экскаваторы одноковшовые дизельные на гусеничном ходу, емкость ковша 0,65 м3</t>
        </is>
      </c>
      <c r="E25" s="291" t="inlineStr">
        <is>
          <t>маш.-ч</t>
        </is>
      </c>
      <c r="F25" s="291" t="n">
        <v>0.154203166</v>
      </c>
      <c r="G25" s="310" t="n">
        <v>115.27</v>
      </c>
      <c r="H25" s="174">
        <f>ROUND(F25*G25,2)</f>
        <v/>
      </c>
      <c r="I25" s="143" t="n"/>
      <c r="L25" s="143" t="n"/>
    </row>
    <row r="26" ht="38.25" customHeight="1" s="240">
      <c r="A26" s="291" t="n">
        <v>12</v>
      </c>
      <c r="B26" s="281" t="n"/>
      <c r="C26" s="199" t="inlineStr">
        <is>
          <t>91.18.01-007</t>
        </is>
      </c>
      <c r="D26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91" t="inlineStr">
        <is>
          <t>маш.-ч</t>
        </is>
      </c>
      <c r="F26" s="291" t="n">
        <v>0.19448096</v>
      </c>
      <c r="G26" s="310" t="n">
        <v>90</v>
      </c>
      <c r="H26" s="174">
        <f>ROUND(F26*G26,2)</f>
        <v/>
      </c>
      <c r="I26" s="143" t="n"/>
      <c r="L26" s="143" t="n"/>
    </row>
    <row r="27">
      <c r="A27" s="291" t="n">
        <v>13</v>
      </c>
      <c r="B27" s="281" t="n"/>
      <c r="C27" s="199" t="inlineStr">
        <is>
          <t>91.16.01-001</t>
        </is>
      </c>
      <c r="D27" s="290" t="inlineStr">
        <is>
          <t>Электростанции передвижные, мощность 2 кВт</t>
        </is>
      </c>
      <c r="E27" s="291" t="inlineStr">
        <is>
          <t>маш.-ч</t>
        </is>
      </c>
      <c r="F27" s="291" t="n">
        <v>0.4427492</v>
      </c>
      <c r="G27" s="310" t="n">
        <v>22.29</v>
      </c>
      <c r="H27" s="174">
        <f>ROUND(F27*G27,2)</f>
        <v/>
      </c>
      <c r="I27" s="143" t="n"/>
      <c r="L27" s="143" t="n"/>
    </row>
    <row r="28" ht="25.5" customHeight="1" s="240">
      <c r="A28" s="291" t="n">
        <v>14</v>
      </c>
      <c r="B28" s="281" t="n"/>
      <c r="C28" s="199" t="inlineStr">
        <is>
          <t>91.17.04-233</t>
        </is>
      </c>
      <c r="D28" s="290" t="inlineStr">
        <is>
          <t>Установки для сварки ручной дуговой (постоянного тока)</t>
        </is>
      </c>
      <c r="E28" s="291" t="inlineStr">
        <is>
          <t>маш.-ч</t>
        </is>
      </c>
      <c r="F28" s="291" t="n">
        <v>1.10594352</v>
      </c>
      <c r="G28" s="310" t="n">
        <v>8.1</v>
      </c>
      <c r="H28" s="174">
        <f>ROUND(F28*G28,2)</f>
        <v/>
      </c>
      <c r="I28" s="143" t="n"/>
      <c r="L28" s="143" t="n"/>
    </row>
    <row r="29">
      <c r="A29" s="291" t="n">
        <v>15</v>
      </c>
      <c r="B29" s="281" t="n"/>
      <c r="C29" s="199" t="inlineStr">
        <is>
          <t>91.14.02-001</t>
        </is>
      </c>
      <c r="D29" s="290" t="inlineStr">
        <is>
          <t>Автомобили бортовые, грузоподъемность до 5 т</t>
        </is>
      </c>
      <c r="E29" s="291" t="inlineStr">
        <is>
          <t>маш.-ч</t>
        </is>
      </c>
      <c r="F29" s="291" t="n">
        <v>0.12023395142148</v>
      </c>
      <c r="G29" s="310" t="n">
        <v>65.73999999999999</v>
      </c>
      <c r="H29" s="174">
        <f>ROUND(F29*G29,2)</f>
        <v/>
      </c>
      <c r="I29" s="143" t="n"/>
      <c r="L29" s="143" t="n"/>
    </row>
    <row r="30" ht="25.5" customHeight="1" s="240">
      <c r="A30" s="291" t="n">
        <v>16</v>
      </c>
      <c r="B30" s="281" t="n"/>
      <c r="C30" s="199" t="inlineStr">
        <is>
          <t>91.05.06-012</t>
        </is>
      </c>
      <c r="D30" s="290" t="inlineStr">
        <is>
          <t>Краны на гусеничном ходу, грузоподъемность до 16 т</t>
        </is>
      </c>
      <c r="E30" s="291" t="inlineStr">
        <is>
          <t>маш.-ч</t>
        </is>
      </c>
      <c r="F30" s="291" t="n">
        <v>0.061812129032258</v>
      </c>
      <c r="G30" s="310" t="n">
        <v>96.89</v>
      </c>
      <c r="H30" s="174">
        <f>ROUND(F30*G30,2)</f>
        <v/>
      </c>
      <c r="I30" s="143" t="n"/>
      <c r="L30" s="143" t="n"/>
    </row>
    <row r="31" ht="25.5" customHeight="1" s="240">
      <c r="A31" s="291" t="n">
        <v>17</v>
      </c>
      <c r="B31" s="281" t="n"/>
      <c r="C31" s="199" t="inlineStr">
        <is>
          <t>91.06.03-058</t>
        </is>
      </c>
      <c r="D31" s="290" t="inlineStr">
        <is>
          <t>Лебедки электрические тяговым усилием 156,96 кН (16 т)</t>
        </is>
      </c>
      <c r="E31" s="291" t="inlineStr">
        <is>
          <t>маш.-ч</t>
        </is>
      </c>
      <c r="F31" s="291" t="n">
        <v>0.024850762141085</v>
      </c>
      <c r="G31" s="310" t="n">
        <v>131.33</v>
      </c>
      <c r="H31" s="174">
        <f>ROUND(F31*G31,2)</f>
        <v/>
      </c>
      <c r="I31" s="143" t="n"/>
      <c r="L31" s="143" t="n"/>
    </row>
    <row r="32">
      <c r="A32" s="291" t="n">
        <v>18</v>
      </c>
      <c r="B32" s="281" t="n"/>
      <c r="C32" s="199" t="inlineStr">
        <is>
          <t>91.14.03-002</t>
        </is>
      </c>
      <c r="D32" s="290" t="inlineStr">
        <is>
          <t>Автомобиль-самосвал, грузоподъемность до 10 т</t>
        </is>
      </c>
      <c r="E32" s="291" t="inlineStr">
        <is>
          <t>маш.-ч</t>
        </is>
      </c>
      <c r="F32" s="291" t="n">
        <v>0.030040513506203</v>
      </c>
      <c r="G32" s="310" t="n">
        <v>87.55</v>
      </c>
      <c r="H32" s="174">
        <f>ROUND(F32*G32,2)</f>
        <v/>
      </c>
      <c r="I32" s="143" t="n"/>
      <c r="L32" s="143" t="n"/>
    </row>
    <row r="33" ht="38.25" customHeight="1" s="240">
      <c r="A33" s="291" t="n">
        <v>19</v>
      </c>
      <c r="B33" s="281" t="n"/>
      <c r="C33" s="199" t="inlineStr">
        <is>
          <t>91.21.01-014</t>
        </is>
      </c>
      <c r="D33" s="29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33" s="291" t="inlineStr">
        <is>
          <t>маш.-ч</t>
        </is>
      </c>
      <c r="F33" s="291" t="n">
        <v>0.45844396072315</v>
      </c>
      <c r="G33" s="310" t="n">
        <v>5.59</v>
      </c>
      <c r="H33" s="174">
        <f>ROUND(F33*G33,2)</f>
        <v/>
      </c>
      <c r="I33" s="143" t="n"/>
      <c r="L33" s="143" t="n"/>
    </row>
    <row r="34">
      <c r="A34" s="291" t="n">
        <v>20</v>
      </c>
      <c r="B34" s="281" t="n"/>
      <c r="C34" s="199" t="inlineStr">
        <is>
          <t>91.01.01-035</t>
        </is>
      </c>
      <c r="D34" s="290" t="inlineStr">
        <is>
          <t>Бульдозеры, мощность 79 кВт (108 л.с.)</t>
        </is>
      </c>
      <c r="E34" s="291" t="inlineStr">
        <is>
          <t>маш.-ч</t>
        </is>
      </c>
      <c r="F34" s="291" t="n">
        <v>0.023186796526055</v>
      </c>
      <c r="G34" s="310" t="n">
        <v>79.04000000000001</v>
      </c>
      <c r="H34" s="174">
        <f>ROUND(F34*G34,2)</f>
        <v/>
      </c>
      <c r="I34" s="143" t="n"/>
      <c r="L34" s="143" t="n"/>
    </row>
    <row r="35" ht="38.25" customHeight="1" s="240">
      <c r="A35" s="291" t="n">
        <v>21</v>
      </c>
      <c r="B35" s="281" t="n"/>
      <c r="C35" s="199" t="inlineStr">
        <is>
          <t>91.18.01-011</t>
        </is>
      </c>
      <c r="D35" s="290" t="inlineStr">
        <is>
          <t>Компрессоры передвижные с электродвигателем давлением 600 кПа (6 ат), производительность 0,5 м3/мин</t>
        </is>
      </c>
      <c r="E35" s="291" t="inlineStr">
        <is>
          <t>маш.-ч</t>
        </is>
      </c>
      <c r="F35" s="291" t="n">
        <v>0.45844396072315</v>
      </c>
      <c r="G35" s="310" t="n">
        <v>3.7</v>
      </c>
      <c r="H35" s="174">
        <f>ROUND(F35*G35,2)</f>
        <v/>
      </c>
      <c r="I35" s="143" t="n"/>
      <c r="L35" s="143" t="n"/>
    </row>
    <row r="36" ht="25.5" customHeight="1" s="240">
      <c r="A36" s="291" t="n">
        <v>22</v>
      </c>
      <c r="B36" s="281" t="n"/>
      <c r="C36" s="199" t="inlineStr">
        <is>
          <t>91.17.04-036</t>
        </is>
      </c>
      <c r="D36" s="290" t="inlineStr">
        <is>
          <t>Агрегаты сварочные передвижные с дизельным двигателем, номинальный сварочный ток 250-400 А</t>
        </is>
      </c>
      <c r="E36" s="291" t="inlineStr">
        <is>
          <t>маш.-ч</t>
        </is>
      </c>
      <c r="F36" s="291" t="n">
        <v>0.096550388160227</v>
      </c>
      <c r="G36" s="310" t="n">
        <v>14.01</v>
      </c>
      <c r="H36" s="174">
        <f>ROUND(F36*G36,2)</f>
        <v/>
      </c>
      <c r="I36" s="143" t="n"/>
      <c r="L36" s="143" t="n"/>
    </row>
    <row r="37">
      <c r="A37" s="291" t="n">
        <v>23</v>
      </c>
      <c r="B37" s="281" t="n"/>
      <c r="C37" s="199" t="inlineStr">
        <is>
          <t>91.08.04-021</t>
        </is>
      </c>
      <c r="D37" s="290" t="inlineStr">
        <is>
          <t>Котлы битумные передвижные 400 л</t>
        </is>
      </c>
      <c r="E37" s="291" t="inlineStr">
        <is>
          <t>маш.-ч</t>
        </is>
      </c>
      <c r="F37" s="291" t="n">
        <v>0.029075391705069</v>
      </c>
      <c r="G37" s="310" t="n">
        <v>29.99</v>
      </c>
      <c r="H37" s="174">
        <f>ROUND(F37*G37,2)</f>
        <v/>
      </c>
      <c r="I37" s="143" t="n"/>
      <c r="L37" s="143" t="n"/>
    </row>
    <row r="38">
      <c r="A38" s="291" t="n">
        <v>24</v>
      </c>
      <c r="B38" s="281" t="n"/>
      <c r="C38" s="199" t="inlineStr">
        <is>
          <t>91.05.01-017</t>
        </is>
      </c>
      <c r="D38" s="290" t="inlineStr">
        <is>
          <t>Краны башенные, грузоподъемность 8 т</t>
        </is>
      </c>
      <c r="E38" s="291" t="inlineStr">
        <is>
          <t>маш.-ч</t>
        </is>
      </c>
      <c r="F38" s="291" t="n">
        <v>0.0052186600496278</v>
      </c>
      <c r="G38" s="310" t="n">
        <v>86.51000000000001</v>
      </c>
      <c r="H38" s="174">
        <f>ROUND(F38*G38,2)</f>
        <v/>
      </c>
      <c r="I38" s="143" t="n"/>
      <c r="L38" s="143" t="n"/>
    </row>
    <row r="39" ht="25.5" customHeight="1" s="240">
      <c r="A39" s="291" t="n">
        <v>25</v>
      </c>
      <c r="B39" s="281" t="n"/>
      <c r="C39" s="199" t="inlineStr">
        <is>
          <t>91.08.09-023</t>
        </is>
      </c>
      <c r="D39" s="290" t="inlineStr">
        <is>
          <t>Трамбовки пневматические при работе от передвижных компрессорных станций</t>
        </is>
      </c>
      <c r="E39" s="291" t="inlineStr">
        <is>
          <t>маш.-ч</t>
        </is>
      </c>
      <c r="F39" s="291" t="n">
        <v>0.80682484853598</v>
      </c>
      <c r="G39" s="310" t="n">
        <v>0.55</v>
      </c>
      <c r="H39" s="174">
        <f>ROUND(F39*G39,2)</f>
        <v/>
      </c>
      <c r="I39" s="143" t="n"/>
      <c r="L39" s="143" t="n"/>
    </row>
    <row r="40">
      <c r="A40" s="291" t="n">
        <v>26</v>
      </c>
      <c r="B40" s="281" t="n"/>
      <c r="C40" s="199" t="inlineStr">
        <is>
          <t>91.07.04-001</t>
        </is>
      </c>
      <c r="D40" s="290" t="inlineStr">
        <is>
          <t>Вибратор глубинный</t>
        </is>
      </c>
      <c r="E40" s="291" t="inlineStr">
        <is>
          <t>маш.-ч</t>
        </is>
      </c>
      <c r="F40" s="291" t="n">
        <v>0.051258838709677</v>
      </c>
      <c r="G40" s="310" t="n">
        <v>1.9</v>
      </c>
      <c r="H40" s="174">
        <f>ROUND(F40*G40,2)</f>
        <v/>
      </c>
      <c r="I40" s="143" t="n"/>
      <c r="L40" s="143" t="n"/>
    </row>
    <row r="41">
      <c r="A41" s="291" t="n">
        <v>27</v>
      </c>
      <c r="B41" s="281" t="n"/>
      <c r="C41" s="199" t="inlineStr">
        <is>
          <t>91.06.05-011</t>
        </is>
      </c>
      <c r="D41" s="290" t="inlineStr">
        <is>
          <t>Погрузчик, грузоподъемность 5 т</t>
        </is>
      </c>
      <c r="E41" s="291" t="inlineStr">
        <is>
          <t>маш.-ч</t>
        </is>
      </c>
      <c r="F41" s="291" t="n">
        <v>0.00072688479262673</v>
      </c>
      <c r="G41" s="310" t="n">
        <v>91.17</v>
      </c>
      <c r="H41" s="174">
        <f>ROUND(F41*G41,2)</f>
        <v/>
      </c>
      <c r="I41" s="143" t="n"/>
      <c r="L41" s="143" t="n"/>
    </row>
    <row r="42">
      <c r="A42" s="291" t="n">
        <v>28</v>
      </c>
      <c r="B42" s="281" t="n"/>
      <c r="C42" s="199" t="inlineStr">
        <is>
          <t>91.14.02-002</t>
        </is>
      </c>
      <c r="D42" s="290" t="inlineStr">
        <is>
          <t>Автомобили бортовые, грузоподъемность до 8 т</t>
        </is>
      </c>
      <c r="E42" s="291" t="inlineStr">
        <is>
          <t>маш.-ч</t>
        </is>
      </c>
      <c r="F42" s="291" t="n">
        <v>0.00045435476781283</v>
      </c>
      <c r="G42" s="310" t="n">
        <v>86.59999999999999</v>
      </c>
      <c r="H42" s="174">
        <f>ROUND(F42*G42,2)</f>
        <v/>
      </c>
      <c r="I42" s="143" t="n"/>
      <c r="L42" s="143" t="n"/>
    </row>
    <row r="43">
      <c r="A43" s="291" t="n">
        <v>29</v>
      </c>
      <c r="B43" s="281" t="n"/>
      <c r="C43" s="199" t="inlineStr">
        <is>
          <t>91.07.04-002</t>
        </is>
      </c>
      <c r="D43" s="290" t="inlineStr">
        <is>
          <t>Вибратор поверхностный</t>
        </is>
      </c>
      <c r="E43" s="291" t="inlineStr">
        <is>
          <t>маш.-ч</t>
        </is>
      </c>
      <c r="F43" s="291" t="n">
        <v>0.020685774406239</v>
      </c>
      <c r="G43" s="310" t="n">
        <v>0.5</v>
      </c>
      <c r="H43" s="174">
        <f>ROUND(F43*G43,2)</f>
        <v/>
      </c>
      <c r="I43" s="143" t="n"/>
      <c r="L43" s="143" t="n"/>
    </row>
    <row r="44" ht="15" customHeight="1" s="240">
      <c r="A44" s="279" t="inlineStr">
        <is>
          <t>Оборудование</t>
        </is>
      </c>
      <c r="B44" s="366" t="n"/>
      <c r="C44" s="366" t="n"/>
      <c r="D44" s="366" t="n"/>
      <c r="E44" s="367" t="n"/>
      <c r="F44" s="10" t="n"/>
      <c r="G44" s="10" t="n"/>
      <c r="H44" s="371">
        <f>SUM(H45:H45)</f>
        <v/>
      </c>
    </row>
    <row r="45" ht="63.75" customHeight="1" s="240">
      <c r="A45" s="138" t="n">
        <v>30</v>
      </c>
      <c r="B45" s="279" t="n"/>
      <c r="C45" s="199" t="inlineStr">
        <is>
          <t>Прайс из СД ОП</t>
        </is>
      </c>
      <c r="D45" s="290" t="inlineStr">
        <is>
      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      </is>
      </c>
      <c r="E45" s="291" t="inlineStr">
        <is>
          <t>шт.</t>
        </is>
      </c>
      <c r="F45" s="372" t="n">
        <v>2</v>
      </c>
      <c r="G45" s="174" t="n"/>
      <c r="H45" s="174">
        <f>ROUND(F45*G45,2)</f>
        <v/>
      </c>
      <c r="I45" s="145" t="n"/>
      <c r="J45" s="373" t="n"/>
    </row>
    <row r="46">
      <c r="A46" s="280" t="inlineStr">
        <is>
          <t>Материалы</t>
        </is>
      </c>
      <c r="B46" s="366" t="n"/>
      <c r="C46" s="366" t="n"/>
      <c r="D46" s="366" t="n"/>
      <c r="E46" s="367" t="n"/>
      <c r="F46" s="280" t="n"/>
      <c r="G46" s="147" t="n"/>
      <c r="H46" s="371">
        <f>SUM(H47:H89)</f>
        <v/>
      </c>
    </row>
    <row r="47" ht="25.5" customHeight="1" s="240">
      <c r="A47" s="138" t="n">
        <v>31</v>
      </c>
      <c r="B47" s="281" t="n"/>
      <c r="C47" s="199" t="inlineStr">
        <is>
          <t>21.1.06.10-0411</t>
        </is>
      </c>
      <c r="D47" s="290" t="inlineStr">
        <is>
          <t>Кабель силовой с медными жилами ВВГнг(A)-LS 5х16мк(N, РЕ)-1000</t>
        </is>
      </c>
      <c r="E47" s="291" t="inlineStr">
        <is>
          <t>1000 м</t>
        </is>
      </c>
      <c r="F47" s="291" t="n">
        <v>0.0028</v>
      </c>
      <c r="G47" s="174" t="n">
        <v>98440.41</v>
      </c>
      <c r="H47" s="174">
        <f>ROUND(F47*G47,2)</f>
        <v/>
      </c>
      <c r="I47" s="145" t="n"/>
      <c r="K47" s="143" t="n"/>
    </row>
    <row r="48">
      <c r="A48" s="138" t="n">
        <v>32</v>
      </c>
      <c r="B48" s="281" t="n"/>
      <c r="C48" s="199" t="inlineStr">
        <is>
          <t>21.1.08.03-0574</t>
        </is>
      </c>
      <c r="D48" s="290" t="inlineStr">
        <is>
          <t>Кабель контрольный КВВГЭнг(А)-LS 4x2,5</t>
        </is>
      </c>
      <c r="E48" s="291" t="inlineStr">
        <is>
          <t>1000 м</t>
        </is>
      </c>
      <c r="F48" s="291" t="n">
        <v>0.0056</v>
      </c>
      <c r="G48" s="174" t="n">
        <v>38348.22</v>
      </c>
      <c r="H48" s="174">
        <f>ROUND(F48*G48,2)</f>
        <v/>
      </c>
      <c r="I48" s="145" t="n"/>
      <c r="K48" s="143" t="n"/>
    </row>
    <row r="49" ht="25.5" customHeight="1" s="240">
      <c r="A49" s="138" t="n">
        <v>33</v>
      </c>
      <c r="B49" s="281" t="n"/>
      <c r="C49" s="199" t="inlineStr">
        <is>
          <t>05.1.01.10-0131</t>
        </is>
      </c>
      <c r="D49" s="290" t="inlineStr">
        <is>
          <t>Лотки каналов и тоннелей железобетонные для прокладки коммуникаций</t>
        </is>
      </c>
      <c r="E49" s="291" t="inlineStr">
        <is>
          <t>м3</t>
        </is>
      </c>
      <c r="F49" s="291" t="n">
        <v>0.112</v>
      </c>
      <c r="G49" s="174" t="n">
        <v>1837.28</v>
      </c>
      <c r="H49" s="174">
        <f>ROUND(F49*G49,2)</f>
        <v/>
      </c>
      <c r="I49" s="145" t="n"/>
      <c r="K49" s="143" t="n"/>
    </row>
    <row r="50" ht="25.5" customHeight="1" s="240">
      <c r="A50" s="138" t="n">
        <v>34</v>
      </c>
      <c r="B50" s="281" t="n"/>
      <c r="C50" s="199" t="inlineStr">
        <is>
          <t>04.1.02.05-0046</t>
        </is>
      </c>
      <c r="D50" s="290" t="inlineStr">
        <is>
          <t>Бетон тяжелый, крупность заполнителя 20 мм, класс В25 (М350)</t>
        </is>
      </c>
      <c r="E50" s="291" t="inlineStr">
        <is>
          <t>м3</t>
        </is>
      </c>
      <c r="F50" s="291" t="n">
        <v>0.2639</v>
      </c>
      <c r="G50" s="174" t="n">
        <v>720</v>
      </c>
      <c r="H50" s="174">
        <f>ROUND(F50*G50,2)</f>
        <v/>
      </c>
      <c r="I50" s="145" t="n"/>
    </row>
    <row r="51" ht="51" customHeight="1" s="240">
      <c r="A51" s="138" t="n">
        <v>35</v>
      </c>
      <c r="B51" s="281" t="n"/>
      <c r="C51" s="199" t="inlineStr">
        <is>
          <t>07.2.07.12-0011</t>
        </is>
      </c>
      <c r="D51" s="29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51" s="291" t="inlineStr">
        <is>
          <t>т</t>
        </is>
      </c>
      <c r="F51" s="291" t="n">
        <v>0.0160928</v>
      </c>
      <c r="G51" s="174" t="n">
        <v>11255</v>
      </c>
      <c r="H51" s="174">
        <f>ROUND(F51*G51,2)</f>
        <v/>
      </c>
      <c r="I51" s="145" t="n"/>
    </row>
    <row r="52" ht="38.25" customHeight="1" s="240">
      <c r="A52" s="138" t="n">
        <v>36</v>
      </c>
      <c r="B52" s="281" t="n"/>
      <c r="C52" s="199" t="inlineStr">
        <is>
          <t>07.2.07.12-0019</t>
        </is>
      </c>
      <c r="D52" s="29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52" s="291" t="inlineStr">
        <is>
          <t>т</t>
        </is>
      </c>
      <c r="F52" s="291" t="n">
        <v>0.0065054</v>
      </c>
      <c r="G52" s="174" t="n">
        <v>8060</v>
      </c>
      <c r="H52" s="174">
        <f>ROUND(F52*G52,2)</f>
        <v/>
      </c>
      <c r="I52" s="145" t="n"/>
    </row>
    <row r="53">
      <c r="A53" s="138" t="n">
        <v>37</v>
      </c>
      <c r="B53" s="281" t="n"/>
      <c r="C53" s="199" t="inlineStr">
        <is>
          <t>20.1.01.02-0067</t>
        </is>
      </c>
      <c r="D53" s="290" t="inlineStr">
        <is>
          <t>Зажим аппаратный прессуемый: А4А-400-2</t>
        </is>
      </c>
      <c r="E53" s="291" t="inlineStr">
        <is>
          <t>100 шт.</t>
        </is>
      </c>
      <c r="F53" s="291" t="n">
        <v>0.008</v>
      </c>
      <c r="G53" s="174" t="n">
        <v>6505</v>
      </c>
      <c r="H53" s="174">
        <f>ROUND(F53*G53,2)</f>
        <v/>
      </c>
      <c r="I53" s="145" t="n"/>
    </row>
    <row r="54">
      <c r="A54" s="138" t="n">
        <v>38</v>
      </c>
      <c r="B54" s="281" t="n"/>
      <c r="C54" s="199" t="inlineStr">
        <is>
          <t>02.2.05.04-1777</t>
        </is>
      </c>
      <c r="D54" s="290" t="inlineStr">
        <is>
          <t>Щебень М 800, фракция 20-40 мм, группа 2</t>
        </is>
      </c>
      <c r="E54" s="291" t="inlineStr">
        <is>
          <t>м3</t>
        </is>
      </c>
      <c r="F54" s="291" t="n">
        <v>0.32</v>
      </c>
      <c r="G54" s="174" t="n">
        <v>108.4</v>
      </c>
      <c r="H54" s="174">
        <f>ROUND(F54*G54,2)</f>
        <v/>
      </c>
      <c r="I54" s="145" t="n"/>
    </row>
    <row r="55" ht="25.5" customHeight="1" s="240">
      <c r="A55" s="138" t="n">
        <v>39</v>
      </c>
      <c r="B55" s="281" t="n"/>
      <c r="C55" s="199" t="inlineStr">
        <is>
          <t>01.7.15.03-0035</t>
        </is>
      </c>
      <c r="D55" s="290" t="inlineStr">
        <is>
          <t>Болты с гайками и шайбами оцинкованные, диаметр 20 мм</t>
        </is>
      </c>
      <c r="E55" s="291" t="inlineStr">
        <is>
          <t>кг</t>
        </is>
      </c>
      <c r="F55" s="291" t="n">
        <v>1.306</v>
      </c>
      <c r="G55" s="174" t="n">
        <v>24.97</v>
      </c>
      <c r="H55" s="174">
        <f>ROUND(F55*G55,2)</f>
        <v/>
      </c>
      <c r="I55" s="145" t="n"/>
    </row>
    <row r="56" ht="38.25" customHeight="1" s="240">
      <c r="A56" s="138" t="n">
        <v>40</v>
      </c>
      <c r="B56" s="281" t="n"/>
      <c r="C56" s="199" t="inlineStr">
        <is>
          <t>08.4.01.01-0022</t>
        </is>
      </c>
      <c r="D56" s="29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6" s="291" t="inlineStr">
        <is>
          <t>т</t>
        </is>
      </c>
      <c r="F56" s="291" t="n">
        <v>0.002896</v>
      </c>
      <c r="G56" s="174" t="n">
        <v>10100</v>
      </c>
      <c r="H56" s="174">
        <f>ROUND(F56*G56,2)</f>
        <v/>
      </c>
      <c r="I56" s="145" t="n"/>
    </row>
    <row r="57" ht="25.5" customHeight="1" s="240">
      <c r="A57" s="138" t="n">
        <v>41</v>
      </c>
      <c r="B57" s="281" t="n"/>
      <c r="C57" s="199" t="inlineStr">
        <is>
          <t>21.2.01.02-0086</t>
        </is>
      </c>
      <c r="D57" s="290" t="inlineStr">
        <is>
          <t>Провод неизолированный для воздушных линий электропередачи АС 70/11</t>
        </is>
      </c>
      <c r="E57" s="291" t="inlineStr">
        <is>
          <t>т</t>
        </is>
      </c>
      <c r="F57" s="291" t="n">
        <v>0.000892</v>
      </c>
      <c r="G57" s="174" t="n">
        <v>31957.37</v>
      </c>
      <c r="H57" s="174">
        <f>ROUND(F57*G57,2)</f>
        <v/>
      </c>
      <c r="I57" s="145" t="n"/>
    </row>
    <row r="58" ht="25.5" customHeight="1" s="240">
      <c r="A58" s="138" t="n">
        <v>42</v>
      </c>
      <c r="B58" s="281" t="n"/>
      <c r="C58" s="199" t="inlineStr">
        <is>
          <t>08.4.03.03-0004</t>
        </is>
      </c>
      <c r="D58" s="290" t="inlineStr">
        <is>
          <t>Горячекатанная арматурная сталь класса А500 С, диаметром 12 мм</t>
        </is>
      </c>
      <c r="E58" s="291" t="inlineStr">
        <is>
          <t>т</t>
        </is>
      </c>
      <c r="F58" s="291" t="n">
        <v>0.004992</v>
      </c>
      <c r="G58" s="174" t="n">
        <v>5584.58</v>
      </c>
      <c r="H58" s="174">
        <f>ROUND(F58*G58,2)</f>
        <v/>
      </c>
      <c r="I58" s="145" t="n"/>
    </row>
    <row r="59" ht="51" customHeight="1" s="240">
      <c r="A59" s="138" t="n">
        <v>43</v>
      </c>
      <c r="B59" s="281" t="n"/>
      <c r="C59" s="199" t="inlineStr">
        <is>
          <t>14.4.04.04-0001</t>
        </is>
      </c>
      <c r="D59" s="290" t="inlineStr">
        <is>
          <t>Эмаль кремнийорганическая КО-88 серебристая термостойкая СЕРЕБРОЛ (0,55  кг на м2)  (прим) ((14,64*43,1+7,51*32,1+7,07*25,7+25,71*32,9)*1,03/1000*0,3*6/1000*2)</t>
        </is>
      </c>
      <c r="E59" s="291" t="inlineStr">
        <is>
          <t>т</t>
        </is>
      </c>
      <c r="F59" s="291" t="n">
        <v>0.00034</v>
      </c>
      <c r="G59" s="174" t="n">
        <v>74639.75</v>
      </c>
      <c r="H59" s="174">
        <f>ROUND(F59*G59,2)</f>
        <v/>
      </c>
      <c r="I59" s="145" t="n"/>
    </row>
    <row r="60" ht="25.5" customHeight="1" s="240">
      <c r="A60" s="138" t="n">
        <v>44</v>
      </c>
      <c r="B60" s="281" t="n"/>
      <c r="C60" s="199" t="inlineStr">
        <is>
          <t>08.3.07.01-0076</t>
        </is>
      </c>
      <c r="D60" s="290" t="inlineStr">
        <is>
          <t>Сталь полосовая, марка стали Ст3сп шириной 50-200 мм толщиной 4-5 мм</t>
        </is>
      </c>
      <c r="E60" s="291" t="inlineStr">
        <is>
          <t>т</t>
        </is>
      </c>
      <c r="F60" s="291" t="n">
        <v>0.0048</v>
      </c>
      <c r="G60" s="174" t="n">
        <v>5000</v>
      </c>
      <c r="H60" s="174">
        <f>ROUND(F60*G60,2)</f>
        <v/>
      </c>
      <c r="I60" s="145" t="n"/>
    </row>
    <row r="61">
      <c r="A61" s="138" t="n">
        <v>45</v>
      </c>
      <c r="B61" s="281" t="n"/>
      <c r="C61" s="199" t="inlineStr">
        <is>
          <t>14.4.02.09-0001</t>
        </is>
      </c>
      <c r="D61" s="290" t="inlineStr">
        <is>
          <t>Краска</t>
        </is>
      </c>
      <c r="E61" s="291" t="inlineStr">
        <is>
          <t>кг</t>
        </is>
      </c>
      <c r="F61" s="291" t="n">
        <v>0.704</v>
      </c>
      <c r="G61" s="174" t="n">
        <v>28.6</v>
      </c>
      <c r="H61" s="174">
        <f>ROUND(F61*G61,2)</f>
        <v/>
      </c>
      <c r="I61" s="145" t="n"/>
    </row>
    <row r="62" ht="25.5" customHeight="1" s="240">
      <c r="A62" s="138" t="n">
        <v>46</v>
      </c>
      <c r="B62" s="281" t="n"/>
      <c r="C62" s="199" t="inlineStr">
        <is>
          <t>08.4.03.03-0029</t>
        </is>
      </c>
      <c r="D62" s="290" t="inlineStr">
        <is>
          <t>Горячекатаная арматурная сталь периодического профиля класса А-III, диаметром 6 мм</t>
        </is>
      </c>
      <c r="E62" s="291" t="inlineStr">
        <is>
          <t>т</t>
        </is>
      </c>
      <c r="F62" s="291" t="n">
        <v>0.002156</v>
      </c>
      <c r="G62" s="174" t="n">
        <v>8213.360000000001</v>
      </c>
      <c r="H62" s="174">
        <f>ROUND(F62*G62,2)</f>
        <v/>
      </c>
      <c r="I62" s="145" t="n"/>
    </row>
    <row r="63">
      <c r="A63" s="138" t="n">
        <v>47</v>
      </c>
      <c r="B63" s="281" t="n"/>
      <c r="C63" s="199" t="inlineStr">
        <is>
          <t>04.1.02.05-0003</t>
        </is>
      </c>
      <c r="D63" s="290" t="inlineStr">
        <is>
          <t>Бетон тяжелый, класс В7,5 (М100)</t>
        </is>
      </c>
      <c r="E63" s="291" t="inlineStr">
        <is>
          <t>м3</t>
        </is>
      </c>
      <c r="F63" s="291" t="n">
        <v>0.02856</v>
      </c>
      <c r="G63" s="174" t="n">
        <v>560</v>
      </c>
      <c r="H63" s="174">
        <f>ROUND(F63*G63,2)</f>
        <v/>
      </c>
      <c r="I63" s="145" t="n"/>
    </row>
    <row r="64">
      <c r="A64" s="138" t="n">
        <v>48</v>
      </c>
      <c r="B64" s="281" t="n"/>
      <c r="C64" s="199" t="inlineStr">
        <is>
          <t>01.7.15.03-0042</t>
        </is>
      </c>
      <c r="D64" s="290" t="inlineStr">
        <is>
          <t>Болты с гайками и шайбами строительные</t>
        </is>
      </c>
      <c r="E64" s="291" t="inlineStr">
        <is>
          <t>кг</t>
        </is>
      </c>
      <c r="F64" s="291" t="n">
        <v>1.756</v>
      </c>
      <c r="G64" s="174" t="n">
        <v>9.039999999999999</v>
      </c>
      <c r="H64" s="174">
        <f>ROUND(F64*G64,2)</f>
        <v/>
      </c>
      <c r="I64" s="145" t="n"/>
    </row>
    <row r="65">
      <c r="A65" s="138" t="n">
        <v>49</v>
      </c>
      <c r="B65" s="281" t="n"/>
      <c r="C65" s="199" t="inlineStr">
        <is>
          <t>01.7.11.07-0034</t>
        </is>
      </c>
      <c r="D65" s="290" t="inlineStr">
        <is>
          <t>Электроды диаметром 4 мм Э42А</t>
        </is>
      </c>
      <c r="E65" s="291" t="inlineStr">
        <is>
          <t>кг</t>
        </is>
      </c>
      <c r="F65" s="291" t="n">
        <v>1.4</v>
      </c>
      <c r="G65" s="174" t="n">
        <v>10.57</v>
      </c>
      <c r="H65" s="174">
        <f>ROUND(F65*G65,2)</f>
        <v/>
      </c>
      <c r="I65" s="145" t="n"/>
    </row>
    <row r="66" ht="25.5" customHeight="1" s="240">
      <c r="A66" s="138" t="n">
        <v>50</v>
      </c>
      <c r="B66" s="281" t="n"/>
      <c r="C66" s="199" t="inlineStr">
        <is>
          <t>08.4.03.02-0001</t>
        </is>
      </c>
      <c r="D66" s="290" t="inlineStr">
        <is>
          <t>Горячекатаная арматурная сталь гладкая класса А-I, диаметром 6 мм</t>
        </is>
      </c>
      <c r="E66" s="291" t="inlineStr">
        <is>
          <t>т</t>
        </is>
      </c>
      <c r="F66" s="291" t="n">
        <v>0.0016</v>
      </c>
      <c r="G66" s="174" t="n">
        <v>7420</v>
      </c>
      <c r="H66" s="174">
        <f>ROUND(F66*G66,2)</f>
        <v/>
      </c>
      <c r="I66" s="145" t="n"/>
    </row>
    <row r="67">
      <c r="A67" s="138" t="n">
        <v>51</v>
      </c>
      <c r="B67" s="281" t="n"/>
      <c r="C67" s="199" t="inlineStr">
        <is>
          <t>01.2.03.03-0013</t>
        </is>
      </c>
      <c r="D67" s="290" t="inlineStr">
        <is>
          <t>Мастика битумная кровельная горячая</t>
        </is>
      </c>
      <c r="E67" s="291" t="inlineStr">
        <is>
          <t>т</t>
        </is>
      </c>
      <c r="F67" s="291" t="n">
        <v>0.003456</v>
      </c>
      <c r="G67" s="174" t="n">
        <v>3390.05</v>
      </c>
      <c r="H67" s="174">
        <f>ROUND(F67*G67,2)</f>
        <v/>
      </c>
      <c r="I67" s="145" t="n"/>
    </row>
    <row r="68">
      <c r="A68" s="138" t="n">
        <v>52</v>
      </c>
      <c r="B68" s="281" t="n"/>
      <c r="C68" s="199" t="inlineStr">
        <is>
          <t>01.7.15.11-0026</t>
        </is>
      </c>
      <c r="D68" s="290" t="inlineStr">
        <is>
          <t>Шайбы квадратные</t>
        </is>
      </c>
      <c r="E68" s="291" t="inlineStr">
        <is>
          <t>100 шт.</t>
        </is>
      </c>
      <c r="F68" s="291" t="n">
        <v>0.032</v>
      </c>
      <c r="G68" s="174" t="n">
        <v>254</v>
      </c>
      <c r="H68" s="174">
        <f>ROUND(F68*G68,2)</f>
        <v/>
      </c>
      <c r="I68" s="145" t="n"/>
    </row>
    <row r="69" ht="25.5" customHeight="1" s="240">
      <c r="A69" s="138" t="n">
        <v>53</v>
      </c>
      <c r="B69" s="281" t="n"/>
      <c r="C69" s="199" t="inlineStr">
        <is>
          <t>01.3.01.06-0050</t>
        </is>
      </c>
      <c r="D69" s="290" t="inlineStr">
        <is>
          <t>Смазка универсальная тугоплавкая УТ (консталин жировой)</t>
        </is>
      </c>
      <c r="E69" s="291" t="inlineStr">
        <is>
          <t>т</t>
        </is>
      </c>
      <c r="F69" s="291" t="n">
        <v>0.0004</v>
      </c>
      <c r="G69" s="174" t="n">
        <v>17500</v>
      </c>
      <c r="H69" s="174">
        <f>ROUND(F69*G69,2)</f>
        <v/>
      </c>
      <c r="I69" s="145" t="n"/>
    </row>
    <row r="70">
      <c r="A70" s="138" t="n">
        <v>54</v>
      </c>
      <c r="B70" s="281" t="n"/>
      <c r="C70" s="199" t="inlineStr">
        <is>
          <t>04.1.02.05-0011</t>
        </is>
      </c>
      <c r="D70" s="290" t="inlineStr">
        <is>
          <t>Бетон тяжелый, класс В30 (М400)</t>
        </is>
      </c>
      <c r="E70" s="291" t="inlineStr">
        <is>
          <t>м3</t>
        </is>
      </c>
      <c r="F70" s="291" t="n">
        <v>0.007344</v>
      </c>
      <c r="G70" s="174" t="n">
        <v>790.03</v>
      </c>
      <c r="H70" s="174">
        <f>ROUND(F70*G70,2)</f>
        <v/>
      </c>
      <c r="I70" s="145" t="n"/>
    </row>
    <row r="71">
      <c r="A71" s="138" t="n">
        <v>55</v>
      </c>
      <c r="B71" s="281" t="n"/>
      <c r="C71" s="199" t="inlineStr">
        <is>
          <t>11.2.13.04-0011</t>
        </is>
      </c>
      <c r="D71" s="290" t="inlineStr">
        <is>
          <t>Щиты из досок толщиной 25 мм</t>
        </is>
      </c>
      <c r="E71" s="291" t="inlineStr">
        <is>
          <t>м2</t>
        </is>
      </c>
      <c r="F71" s="291" t="n">
        <v>0.1287</v>
      </c>
      <c r="G71" s="174" t="n">
        <v>35.52</v>
      </c>
      <c r="H71" s="174">
        <f>ROUND(F71*G71,2)</f>
        <v/>
      </c>
      <c r="I71" s="145" t="n"/>
    </row>
    <row r="72">
      <c r="A72" s="138" t="n">
        <v>56</v>
      </c>
      <c r="B72" s="281" t="n"/>
      <c r="C72" s="199" t="inlineStr">
        <is>
          <t>01.7.20.08-0031</t>
        </is>
      </c>
      <c r="D72" s="290" t="inlineStr">
        <is>
          <t>Бязь суровая арт. 6804</t>
        </is>
      </c>
      <c r="E72" s="291" t="inlineStr">
        <is>
          <t>10 м2</t>
        </is>
      </c>
      <c r="F72" s="291" t="n">
        <v>0.04</v>
      </c>
      <c r="G72" s="174" t="n">
        <v>79.09999999999999</v>
      </c>
      <c r="H72" s="174">
        <f>ROUND(F72*G72,2)</f>
        <v/>
      </c>
      <c r="I72" s="145" t="n"/>
    </row>
    <row r="73">
      <c r="A73" s="138" t="n">
        <v>57</v>
      </c>
      <c r="B73" s="281" t="n"/>
      <c r="C73" s="199" t="inlineStr">
        <is>
          <t>999-9950</t>
        </is>
      </c>
      <c r="D73" s="290" t="inlineStr">
        <is>
          <t>Вспомогательные ненормируемые материалы</t>
        </is>
      </c>
      <c r="E73" s="291" t="inlineStr">
        <is>
          <t>руб</t>
        </is>
      </c>
      <c r="F73" s="291" t="n">
        <v>3.152</v>
      </c>
      <c r="G73" s="174" t="n">
        <v>1</v>
      </c>
      <c r="H73" s="174">
        <f>ROUND(F73*G73,2)</f>
        <v/>
      </c>
      <c r="I73" s="145" t="n"/>
    </row>
    <row r="74">
      <c r="A74" s="138" t="n">
        <v>58</v>
      </c>
      <c r="B74" s="281" t="n"/>
      <c r="C74" s="199" t="inlineStr">
        <is>
          <t>01.7.11.07-0032</t>
        </is>
      </c>
      <c r="D74" s="290" t="inlineStr">
        <is>
          <t>Электроды диаметром 4 мм Э42</t>
        </is>
      </c>
      <c r="E74" s="291" t="inlineStr">
        <is>
          <t>т</t>
        </is>
      </c>
      <c r="F74" s="291" t="n">
        <v>0.000269072</v>
      </c>
      <c r="G74" s="174" t="n">
        <v>10316.94</v>
      </c>
      <c r="H74" s="174">
        <f>ROUND(F74*G74,2)</f>
        <v/>
      </c>
      <c r="I74" s="145" t="n"/>
    </row>
    <row r="75" ht="25.5" customHeight="1" s="240">
      <c r="A75" s="138" t="n">
        <v>59</v>
      </c>
      <c r="B75" s="281" t="n"/>
      <c r="C75" s="199" t="inlineStr">
        <is>
          <t>11.1.03.06-0095</t>
        </is>
      </c>
      <c r="D75" s="290" t="inlineStr">
        <is>
          <t>Доски обрезные хвойных пород длиной 4-6,5 м, шириной 75-150 мм, толщиной 44 мм и более, III сорта</t>
        </is>
      </c>
      <c r="E75" s="291" t="inlineStr">
        <is>
          <t>м3</t>
        </is>
      </c>
      <c r="F75" s="291" t="n">
        <v>0.0018948</v>
      </c>
      <c r="G75" s="174" t="n">
        <v>1055.52</v>
      </c>
      <c r="H75" s="174">
        <f>ROUND(F75*G75,2)</f>
        <v/>
      </c>
      <c r="I75" s="145" t="n"/>
    </row>
    <row r="76">
      <c r="A76" s="138" t="n">
        <v>60</v>
      </c>
      <c r="B76" s="281" t="n"/>
      <c r="C76" s="199" t="inlineStr">
        <is>
          <t>01.7.15.06-0111</t>
        </is>
      </c>
      <c r="D76" s="290" t="inlineStr">
        <is>
          <t>Гвозди строительные</t>
        </is>
      </c>
      <c r="E76" s="291" t="inlineStr">
        <is>
          <t>т</t>
        </is>
      </c>
      <c r="F76" s="291" t="n">
        <v>0.0001034</v>
      </c>
      <c r="G76" s="174" t="n">
        <v>11972.92</v>
      </c>
      <c r="H76" s="174">
        <f>ROUND(F76*G76,2)</f>
        <v/>
      </c>
      <c r="I76" s="145" t="n"/>
    </row>
    <row r="77" ht="25.5" customHeight="1" s="240">
      <c r="A77" s="138" t="n">
        <v>61</v>
      </c>
      <c r="B77" s="281" t="n"/>
      <c r="C77" s="199" t="inlineStr">
        <is>
          <t>11.1.02.04-0031</t>
        </is>
      </c>
      <c r="D77" s="290" t="inlineStr">
        <is>
          <t>Лесоматериалы круглые хвойных пород для строительства диаметром 14-24 см, длиной 3-6,5 м</t>
        </is>
      </c>
      <c r="E77" s="291" t="inlineStr">
        <is>
          <t>м3</t>
        </is>
      </c>
      <c r="F77" s="291" t="n">
        <v>0.001794</v>
      </c>
      <c r="G77" s="174" t="n">
        <v>558.53</v>
      </c>
      <c r="H77" s="174">
        <f>ROUND(F77*G77,2)</f>
        <v/>
      </c>
      <c r="I77" s="145" t="n"/>
    </row>
    <row r="78">
      <c r="A78" s="138" t="n">
        <v>62</v>
      </c>
      <c r="B78" s="281" t="n"/>
      <c r="C78" s="199" t="inlineStr">
        <is>
          <t>01.3.01.03-0002</t>
        </is>
      </c>
      <c r="D78" s="290" t="inlineStr">
        <is>
          <t>Керосин для технических целей марок КТ-1, КТ-2</t>
        </is>
      </c>
      <c r="E78" s="291" t="inlineStr">
        <is>
          <t>т</t>
        </is>
      </c>
      <c r="F78" s="291" t="n">
        <v>0.0003456</v>
      </c>
      <c r="G78" s="174" t="n">
        <v>2609.95</v>
      </c>
      <c r="H78" s="174">
        <f>ROUND(F78*G78,2)</f>
        <v/>
      </c>
      <c r="I78" s="145" t="n"/>
    </row>
    <row r="79" ht="25.5" customHeight="1" s="240">
      <c r="A79" s="138" t="n">
        <v>63</v>
      </c>
      <c r="B79" s="281" t="n"/>
      <c r="C79" s="199" t="inlineStr">
        <is>
          <t>11.1.03.06-0087</t>
        </is>
      </c>
      <c r="D79" s="290" t="inlineStr">
        <is>
          <t>Доски обрезные хвойных пород длиной 4-6,5 м, шириной 75-150 мм, толщиной 25 мм, III сорта</t>
        </is>
      </c>
      <c r="E79" s="291" t="inlineStr">
        <is>
          <t>м3</t>
        </is>
      </c>
      <c r="F79" s="291" t="n">
        <v>0.0007504</v>
      </c>
      <c r="G79" s="174" t="n">
        <v>1100.75</v>
      </c>
      <c r="H79" s="174">
        <f>ROUND(F79*G79,2)</f>
        <v/>
      </c>
      <c r="I79" s="145" t="n"/>
    </row>
    <row r="80" ht="25.5" customHeight="1" s="240">
      <c r="A80" s="138" t="n">
        <v>64</v>
      </c>
      <c r="B80" s="281" t="n"/>
      <c r="C80" s="199" t="inlineStr">
        <is>
          <t>08.3.03.06-0002</t>
        </is>
      </c>
      <c r="D80" s="290" t="inlineStr">
        <is>
          <t>Проволока горячекатаная в мотках, диаметром 6,3-6,5 мм</t>
        </is>
      </c>
      <c r="E80" s="291" t="inlineStr">
        <is>
          <t>т</t>
        </is>
      </c>
      <c r="F80" s="291" t="n">
        <v>0.000104</v>
      </c>
      <c r="G80" s="174" t="n">
        <v>4461.54</v>
      </c>
      <c r="H80" s="174">
        <f>ROUND(F80*G80,2)</f>
        <v/>
      </c>
      <c r="I80" s="145" t="n"/>
    </row>
    <row r="81">
      <c r="A81" s="138" t="n">
        <v>65</v>
      </c>
      <c r="B81" s="281" t="n"/>
      <c r="C81" s="199" t="inlineStr">
        <is>
          <t>01.7.07.12-0024</t>
        </is>
      </c>
      <c r="D81" s="290" t="inlineStr">
        <is>
          <t>Пленка полиэтиленовая толщиной 0,15 мм</t>
        </is>
      </c>
      <c r="E81" s="291" t="inlineStr">
        <is>
          <t>м2</t>
        </is>
      </c>
      <c r="F81" s="291" t="n">
        <v>0.09626</v>
      </c>
      <c r="G81" s="174" t="n">
        <v>3.64</v>
      </c>
      <c r="H81" s="174">
        <f>ROUND(F81*G81,2)</f>
        <v/>
      </c>
      <c r="I81" s="145" t="n"/>
    </row>
    <row r="82">
      <c r="A82" s="138" t="n">
        <v>66</v>
      </c>
      <c r="B82" s="281" t="n"/>
      <c r="C82" s="199" t="inlineStr">
        <is>
          <t>01.2.01.02-0054</t>
        </is>
      </c>
      <c r="D82" s="290" t="inlineStr">
        <is>
          <t>Битумы нефтяные строительные марки БН-90/10</t>
        </is>
      </c>
      <c r="E82" s="291" t="inlineStr">
        <is>
          <t>т</t>
        </is>
      </c>
      <c r="F82" s="291" t="n">
        <v>0.0002304</v>
      </c>
      <c r="G82" s="174" t="n">
        <v>1380.21</v>
      </c>
      <c r="H82" s="174">
        <f>ROUND(F82*G82,2)</f>
        <v/>
      </c>
      <c r="I82" s="145" t="n"/>
    </row>
    <row r="83" ht="25.5" customHeight="1" s="240">
      <c r="A83" s="138" t="n">
        <v>67</v>
      </c>
      <c r="B83" s="281" t="n"/>
      <c r="C83" s="199" t="inlineStr">
        <is>
          <t>11.1.03.01-0079</t>
        </is>
      </c>
      <c r="D83" s="290" t="inlineStr">
        <is>
          <t>Бруски обрезные хвойных пород длиной 4-6,5 м, шириной 75-150 мм, толщиной 40-75 мм, III сорта</t>
        </is>
      </c>
      <c r="E83" s="291" t="inlineStr">
        <is>
          <t>м3</t>
        </is>
      </c>
      <c r="F83" s="291" t="n">
        <v>0.000208</v>
      </c>
      <c r="G83" s="174" t="n">
        <v>1288.46</v>
      </c>
      <c r="H83" s="174">
        <f>ROUND(F83*G83,2)</f>
        <v/>
      </c>
      <c r="I83" s="145" t="n"/>
    </row>
    <row r="84">
      <c r="A84" s="138" t="n">
        <v>68</v>
      </c>
      <c r="B84" s="281" t="n"/>
      <c r="C84" s="199" t="inlineStr">
        <is>
          <t>01.7.11.07-0054</t>
        </is>
      </c>
      <c r="D84" s="290" t="inlineStr">
        <is>
          <t>Электроды диаметром 6 мм Э42</t>
        </is>
      </c>
      <c r="E84" s="291" t="inlineStr">
        <is>
          <t>т</t>
        </is>
      </c>
      <c r="F84" s="291" t="n">
        <v>1.04e-05</v>
      </c>
      <c r="G84" s="174" t="n">
        <v>9423.08</v>
      </c>
      <c r="H84" s="174">
        <f>ROUND(F84*G84,2)</f>
        <v/>
      </c>
      <c r="I84" s="145" t="n"/>
    </row>
    <row r="85">
      <c r="A85" s="138" t="n">
        <v>69</v>
      </c>
      <c r="B85" s="281" t="n"/>
      <c r="C85" s="199" t="inlineStr">
        <is>
          <t>03.1.02.03-0011</t>
        </is>
      </c>
      <c r="D85" s="290" t="inlineStr">
        <is>
          <t>Известь строительная негашеная комовая, сорт I</t>
        </is>
      </c>
      <c r="E85" s="291" t="inlineStr">
        <is>
          <t>т</t>
        </is>
      </c>
      <c r="F85" s="291" t="n">
        <v>0.0001196</v>
      </c>
      <c r="G85" s="174" t="n">
        <v>735.79</v>
      </c>
      <c r="H85" s="174">
        <f>ROUND(F85*G85,2)</f>
        <v/>
      </c>
      <c r="I85" s="145" t="n"/>
    </row>
    <row r="86">
      <c r="A86" s="138" t="n">
        <v>70</v>
      </c>
      <c r="B86" s="281" t="n"/>
      <c r="C86" s="199" t="inlineStr">
        <is>
          <t>01.7.03.01-0001</t>
        </is>
      </c>
      <c r="D86" s="290" t="inlineStr">
        <is>
          <t>Вода</t>
        </is>
      </c>
      <c r="E86" s="291" t="inlineStr">
        <is>
          <t>м3</t>
        </is>
      </c>
      <c r="F86" s="291" t="n">
        <v>0.0076922</v>
      </c>
      <c r="G86" s="174" t="n">
        <v>2.34</v>
      </c>
      <c r="H86" s="174">
        <f>ROUND(F86*G86,2)</f>
        <v/>
      </c>
      <c r="I86" s="145" t="n"/>
    </row>
    <row r="87">
      <c r="A87" s="138" t="n">
        <v>71</v>
      </c>
      <c r="B87" s="281" t="n"/>
      <c r="C87" s="199" t="inlineStr">
        <is>
          <t>14.4.03.03-0102</t>
        </is>
      </c>
      <c r="D87" s="290" t="inlineStr">
        <is>
          <t>Лак БТ-577</t>
        </is>
      </c>
      <c r="E87" s="291" t="inlineStr">
        <is>
          <t>т</t>
        </is>
      </c>
      <c r="F87" s="291" t="n">
        <v>1.756e-06</v>
      </c>
      <c r="G87" s="174" t="n">
        <v>9111.309999999999</v>
      </c>
      <c r="H87" s="174">
        <f>ROUND(F87*G87,2)</f>
        <v/>
      </c>
      <c r="I87" s="145" t="n"/>
    </row>
    <row r="88">
      <c r="A88" s="138" t="n">
        <v>72</v>
      </c>
      <c r="B88" s="281" t="n"/>
      <c r="C88" s="199" t="inlineStr">
        <is>
          <t>07.2.07.02-0001</t>
        </is>
      </c>
      <c r="D88" s="290" t="inlineStr">
        <is>
          <t>Кондуктор инвентарный металлический</t>
        </is>
      </c>
      <c r="E88" s="291" t="inlineStr">
        <is>
          <t>шт.</t>
        </is>
      </c>
      <c r="F88" s="291" t="n">
        <v>3e-05</v>
      </c>
      <c r="G88" s="174" t="n">
        <v>333.33</v>
      </c>
      <c r="H88" s="174">
        <f>ROUND(F88*G88,2)</f>
        <v/>
      </c>
      <c r="I88" s="145" t="n"/>
    </row>
    <row r="89">
      <c r="A89" s="138" t="n">
        <v>73</v>
      </c>
      <c r="B89" s="281" t="n"/>
      <c r="C89" s="199" t="inlineStr">
        <is>
          <t>01.7.20.08-0051</t>
        </is>
      </c>
      <c r="D89" s="290" t="inlineStr">
        <is>
          <t>Ветошь</t>
        </is>
      </c>
      <c r="E89" s="291" t="inlineStr">
        <is>
          <t>кг</t>
        </is>
      </c>
      <c r="F89" s="291" t="n">
        <v>0.00144</v>
      </c>
      <c r="G89" s="174" t="n">
        <v>1.39</v>
      </c>
      <c r="H89" s="174">
        <f>ROUND(F89*G89,2)</f>
        <v/>
      </c>
      <c r="I89" s="145" t="n"/>
    </row>
    <row r="92">
      <c r="B92" s="242" t="inlineStr">
        <is>
          <t>Составил ______________________     Д.Ю. Нефедова</t>
        </is>
      </c>
    </row>
    <row r="93">
      <c r="B93" s="117" t="inlineStr">
        <is>
          <t xml:space="preserve">                         (подпись, инициалы, фамилия)</t>
        </is>
      </c>
    </row>
    <row r="95">
      <c r="B95" s="242" t="inlineStr">
        <is>
          <t>Проверил ______________________        А.В. Костянецкая</t>
        </is>
      </c>
    </row>
    <row r="96">
      <c r="B96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12:E12"/>
    <mergeCell ref="A9:A10"/>
    <mergeCell ref="A2:H2"/>
    <mergeCell ref="A46:E46"/>
    <mergeCell ref="A23:E23"/>
    <mergeCell ref="A44:E44"/>
    <mergeCell ref="G9:H9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4" sqref="B44"/>
    </sheetView>
  </sheetViews>
  <sheetFormatPr baseColWidth="8" defaultColWidth="9.140625" defaultRowHeight="15"/>
  <cols>
    <col width="4.140625" customWidth="1" style="240" min="1" max="1"/>
    <col width="36.28515625" customWidth="1" style="240" min="2" max="2"/>
    <col width="18.85546875" customWidth="1" style="240" min="3" max="3"/>
    <col width="18.28515625" customWidth="1" style="240" min="4" max="4"/>
    <col width="18.85546875" customWidth="1" style="240" min="5" max="5"/>
    <col width="13.42578125" customWidth="1" style="240" min="7" max="7"/>
    <col width="13.5703125" customWidth="1" style="240" min="12" max="12"/>
  </cols>
  <sheetData>
    <row r="1">
      <c r="B1" s="239" t="n"/>
      <c r="C1" s="239" t="n"/>
      <c r="D1" s="239" t="n"/>
      <c r="E1" s="239" t="n"/>
    </row>
    <row r="2">
      <c r="B2" s="239" t="n"/>
      <c r="C2" s="239" t="n"/>
      <c r="D2" s="239" t="n"/>
      <c r="E2" s="306" t="inlineStr">
        <is>
          <t>Приложение № 4</t>
        </is>
      </c>
    </row>
    <row r="3">
      <c r="B3" s="239" t="n"/>
      <c r="C3" s="239" t="n"/>
      <c r="D3" s="239" t="n"/>
      <c r="E3" s="239" t="n"/>
    </row>
    <row r="4">
      <c r="B4" s="239" t="n"/>
      <c r="C4" s="239" t="n"/>
      <c r="D4" s="239" t="n"/>
      <c r="E4" s="239" t="n"/>
    </row>
    <row r="5">
      <c r="B5" s="261" t="inlineStr">
        <is>
          <t>Ресурсная модель</t>
        </is>
      </c>
    </row>
    <row r="6">
      <c r="B6" s="148" t="n"/>
      <c r="C6" s="239" t="n"/>
      <c r="D6" s="239" t="n"/>
      <c r="E6" s="239" t="n"/>
    </row>
    <row r="7" ht="25.5" customHeight="1" s="240">
      <c r="B7" s="288" t="inlineStr">
        <is>
          <t>Наименование разрабатываемого показателя УНЦ — Демонтаж однополюсного разъединителя 6-15 кВ</t>
        </is>
      </c>
    </row>
    <row r="8">
      <c r="B8" s="289" t="inlineStr">
        <is>
          <t>Единица измерения  — 1 ед.</t>
        </is>
      </c>
    </row>
    <row r="9">
      <c r="B9" s="148" t="n"/>
      <c r="C9" s="239" t="n"/>
      <c r="D9" s="239" t="n"/>
      <c r="E9" s="239" t="n"/>
    </row>
    <row r="10" ht="51" customHeight="1" s="240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0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0">
        <f>'Прил.5 Расчет СМР и ОБ'!J44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0">
        <f>'Прил.5 Расчет СМР и ОБ'!J46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0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0">
        <f>'Прил.5 Расчет СМР и ОБ'!J55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0">
        <f>'Прил.5 Расчет СМР и ОБ'!J56</f>
        <v/>
      </c>
      <c r="D17" s="26">
        <f>C17/$C$24</f>
        <v/>
      </c>
      <c r="E17" s="26">
        <f>C17/$C$40</f>
        <v/>
      </c>
      <c r="G17" s="373" t="n"/>
    </row>
    <row r="18">
      <c r="B18" s="24" t="inlineStr">
        <is>
          <t>МАТЕРИАЛЫ, ВСЕГО:</t>
        </is>
      </c>
      <c r="C18" s="23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6">
        <f>'Прил.5 Расчет СМР и ОБ'!D62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6">
        <f>'Прил.5 Расчет СМР и ОБ'!D60</f>
        <v/>
      </c>
      <c r="D23" s="26" t="n"/>
      <c r="E23" s="24" t="n"/>
    </row>
    <row r="24">
      <c r="B24" s="24" t="inlineStr">
        <is>
          <t>ВСЕГО СМР с НР и СП</t>
        </is>
      </c>
      <c r="C24" s="230">
        <f>C19+C20+C22</f>
        <v/>
      </c>
      <c r="D24" s="26">
        <f>C24/$C$24</f>
        <v/>
      </c>
      <c r="E24" s="26">
        <f>C24/$C$40</f>
        <v/>
      </c>
    </row>
    <row r="25" ht="25.5" customHeight="1" s="240">
      <c r="B25" s="24" t="inlineStr">
        <is>
          <t>ВСЕГО стоимость оборудования, в том числе</t>
        </is>
      </c>
      <c r="C25" s="230">
        <f>'Прил.5 Расчет СМР и ОБ'!J51</f>
        <v/>
      </c>
      <c r="D25" s="26" t="n"/>
      <c r="E25" s="26">
        <f>C25/$C$40</f>
        <v/>
      </c>
    </row>
    <row r="26" ht="25.5" customHeight="1" s="240">
      <c r="B26" s="24" t="inlineStr">
        <is>
          <t>стоимость оборудования технологического</t>
        </is>
      </c>
      <c r="C26" s="230">
        <f>'Прил.5 Расчет СМР и ОБ'!J52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8">
        <f>'Прил.5 Расчет СМР и ОБ'!J65</f>
        <v/>
      </c>
      <c r="D27" s="26" t="n"/>
      <c r="E27" s="26">
        <f>C27/$C$40</f>
        <v/>
      </c>
      <c r="G27" s="150" t="n"/>
    </row>
    <row r="28" ht="33" customHeight="1" s="24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0">
      <c r="B29" s="24" t="inlineStr">
        <is>
          <t>Временные здания и сооружения - 2,5%</t>
        </is>
      </c>
      <c r="C29" s="168">
        <f>ROUND(C24*2.5%,2)</f>
        <v/>
      </c>
      <c r="D29" s="24" t="n"/>
      <c r="E29" s="26">
        <f>C29/$C$40</f>
        <v/>
      </c>
    </row>
    <row r="30" ht="38.25" customHeight="1" s="24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40">
      <c r="B32" s="24" t="inlineStr">
        <is>
          <t>Затраты по перевозке работников к месту работы и обратно</t>
        </is>
      </c>
      <c r="C32" s="168" t="n">
        <v>0</v>
      </c>
      <c r="D32" s="24" t="n"/>
      <c r="E32" s="26">
        <f>C32/$C$40</f>
        <v/>
      </c>
    </row>
    <row r="33" ht="25.5" customHeight="1" s="240">
      <c r="B33" s="24" t="inlineStr">
        <is>
          <t>Затраты, связанные с осуществлением работ вахтовым методом</t>
        </is>
      </c>
      <c r="C33" s="168">
        <f>ROUND(C27*0%,2)</f>
        <v/>
      </c>
      <c r="D33" s="24" t="n"/>
      <c r="E33" s="26">
        <f>C33/$C$40</f>
        <v/>
      </c>
    </row>
    <row r="34" ht="68.25" customHeight="1" s="24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8" t="n">
        <v>0</v>
      </c>
      <c r="D34" s="24" t="n"/>
      <c r="E34" s="26">
        <f>C34/$C$40</f>
        <v/>
      </c>
    </row>
    <row r="35" ht="88.5" customHeight="1" s="24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8">
        <f>ROUND(C27*0%,2)</f>
        <v/>
      </c>
      <c r="D35" s="24" t="n"/>
      <c r="E35" s="26">
        <f>C35/$C$40</f>
        <v/>
      </c>
    </row>
    <row r="36" ht="25.5" customHeight="1" s="240">
      <c r="B36" s="24" t="inlineStr">
        <is>
          <t>Строительный контроль и содержание службы заказчика - 2,14%</t>
        </is>
      </c>
      <c r="C36" s="168">
        <f>ROUND((C27+C32+C33+C34+C35+C29+C31+C30)*2.14%,2)</f>
        <v/>
      </c>
      <c r="D36" s="24" t="n"/>
      <c r="E36" s="26">
        <f>C36/$C$40</f>
        <v/>
      </c>
      <c r="G36" s="151" t="n"/>
      <c r="L36" s="150" t="n"/>
    </row>
    <row r="37">
      <c r="B37" s="24" t="inlineStr">
        <is>
          <t>Авторский надзор - 0,2%</t>
        </is>
      </c>
      <c r="C37" s="168">
        <f>ROUND((C27+C32+C33+C34+C35+C29+C31+C30)*0.2%,2)</f>
        <v/>
      </c>
      <c r="D37" s="24" t="n"/>
      <c r="E37" s="26">
        <f>C37/$C$40</f>
        <v/>
      </c>
      <c r="G37" s="152" t="n"/>
      <c r="L37" s="150" t="n"/>
    </row>
    <row r="38" ht="38.25" customHeight="1" s="240">
      <c r="B38" s="24" t="inlineStr">
        <is>
          <t>ИТОГО (СМР+ОБОРУДОВАНИЕ+ПРОЧ. ЗАТР., УЧТЕННЫЕ ПОКАЗАТЕЛЕМ)</t>
        </is>
      </c>
      <c r="C38" s="230">
        <f>C27+C32+C33+C34+C35+C29+C31+C30+C36+C37</f>
        <v/>
      </c>
      <c r="D38" s="24" t="n"/>
      <c r="E38" s="26">
        <f>C38/$C$40</f>
        <v/>
      </c>
    </row>
    <row r="39" ht="13.5" customHeight="1" s="240">
      <c r="B39" s="24" t="inlineStr">
        <is>
          <t>Непредвиденные расходы</t>
        </is>
      </c>
      <c r="C39" s="23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0">
        <f>C40/'Прил.5 Расчет СМР и ОБ'!E66</f>
        <v/>
      </c>
      <c r="D41" s="24" t="n"/>
      <c r="E41" s="24" t="n"/>
    </row>
    <row r="42">
      <c r="B42" s="232" t="n"/>
      <c r="C42" s="239" t="n"/>
      <c r="D42" s="239" t="n"/>
      <c r="E42" s="239" t="n"/>
    </row>
    <row r="43">
      <c r="B43" s="232" t="inlineStr">
        <is>
          <t>Составил ____________________________  Д.Ю. Нефедова</t>
        </is>
      </c>
      <c r="C43" s="239" t="n"/>
      <c r="D43" s="239" t="n"/>
      <c r="E43" s="239" t="n"/>
    </row>
    <row r="44">
      <c r="B44" s="232" t="inlineStr">
        <is>
          <t xml:space="preserve">(должность, подпись, инициалы, фамилия) </t>
        </is>
      </c>
      <c r="C44" s="239" t="n"/>
      <c r="D44" s="239" t="n"/>
      <c r="E44" s="239" t="n"/>
    </row>
    <row r="45">
      <c r="B45" s="232" t="n"/>
      <c r="C45" s="239" t="n"/>
      <c r="D45" s="239" t="n"/>
      <c r="E45" s="239" t="n"/>
    </row>
    <row r="46">
      <c r="B46" s="232" t="inlineStr">
        <is>
          <t>Проверил ____________________________ А.В. Костянецкая</t>
        </is>
      </c>
      <c r="C46" s="239" t="n"/>
      <c r="D46" s="239" t="n"/>
      <c r="E46" s="239" t="n"/>
    </row>
    <row r="47">
      <c r="B47" s="289" t="inlineStr">
        <is>
          <t>(должность, подпись, инициалы, фамилия)</t>
        </is>
      </c>
      <c r="D47" s="239" t="n"/>
      <c r="E47" s="239" t="n"/>
    </row>
    <row r="49">
      <c r="B49" s="239" t="n"/>
      <c r="C49" s="239" t="n"/>
      <c r="D49" s="239" t="n"/>
      <c r="E49" s="239" t="n"/>
    </row>
    <row r="50">
      <c r="B50" s="239" t="n"/>
      <c r="C50" s="239" t="n"/>
      <c r="D50" s="239" t="n"/>
      <c r="E50" s="2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view="pageBreakPreview" topLeftCell="A46" zoomScale="70" workbookViewId="0">
      <selection activeCell="C68" sqref="C68"/>
    </sheetView>
  </sheetViews>
  <sheetFormatPr baseColWidth="8" defaultColWidth="9.140625" defaultRowHeight="15" outlineLevelRow="1"/>
  <cols>
    <col width="5.7109375" customWidth="1" style="237" min="1" max="1"/>
    <col width="22.5703125" customWidth="1" style="237" min="2" max="2"/>
    <col width="39.140625" customWidth="1" style="237" min="3" max="3"/>
    <col width="13.5703125" customWidth="1" style="237" min="4" max="4"/>
    <col width="12.7109375" customWidth="1" style="237" min="5" max="5"/>
    <col width="14.5703125" customWidth="1" style="237" min="6" max="6"/>
    <col width="15.85546875" customWidth="1" style="237" min="7" max="7"/>
    <col width="12.7109375" customWidth="1" style="237" min="8" max="8"/>
    <col width="15.85546875" customWidth="1" style="237" min="9" max="9"/>
    <col width="17.5703125" customWidth="1" style="237" min="10" max="10"/>
    <col width="10.85546875" customWidth="1" style="237" min="11" max="11"/>
    <col width="13.85546875" customWidth="1" style="237" min="12" max="12"/>
  </cols>
  <sheetData>
    <row r="1">
      <c r="M1" s="237" t="n"/>
      <c r="N1" s="237" t="n"/>
    </row>
    <row r="2" ht="15.75" customHeight="1" s="240">
      <c r="H2" s="301" t="inlineStr">
        <is>
          <t>Приложение №5</t>
        </is>
      </c>
      <c r="M2" s="237" t="n"/>
      <c r="N2" s="237" t="n"/>
    </row>
    <row r="3">
      <c r="M3" s="237" t="n"/>
      <c r="N3" s="237" t="n"/>
    </row>
    <row r="4" ht="12.75" customFormat="1" customHeight="1" s="239">
      <c r="A4" s="261" t="inlineStr">
        <is>
          <t>Расчет стоимости СМР и оборудования</t>
        </is>
      </c>
    </row>
    <row r="5" ht="12.75" customFormat="1" customHeight="1" s="239">
      <c r="A5" s="261" t="n"/>
      <c r="B5" s="261" t="n"/>
      <c r="C5" s="313" t="n"/>
      <c r="D5" s="261" t="n"/>
      <c r="E5" s="261" t="n"/>
      <c r="F5" s="261" t="n"/>
      <c r="G5" s="261" t="n"/>
      <c r="H5" s="261" t="n"/>
      <c r="I5" s="261" t="n"/>
      <c r="J5" s="261" t="n"/>
    </row>
    <row r="6" ht="12.75" customFormat="1" customHeight="1" s="239">
      <c r="A6" s="154" t="inlineStr">
        <is>
          <t>Наименование разрабатываемого показателя УНЦ</t>
        </is>
      </c>
      <c r="B6" s="155" t="n"/>
      <c r="C6" s="155" t="n"/>
      <c r="D6" s="264" t="inlineStr">
        <is>
          <t>Демонтаж однополюсного разъединителя 6-15 кВ</t>
        </is>
      </c>
    </row>
    <row r="7" ht="12.75" customFormat="1" customHeight="1" s="239">
      <c r="A7" s="264" t="inlineStr">
        <is>
          <t>Единица измерения  — 1 ед.</t>
        </is>
      </c>
      <c r="I7" s="288" t="n"/>
      <c r="J7" s="288" t="n"/>
    </row>
    <row r="8" ht="13.5" customFormat="1" customHeight="1" s="239">
      <c r="A8" s="264" t="n"/>
    </row>
    <row r="9" ht="27" customHeight="1" s="240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7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7" t="n"/>
      <c r="M9" s="237" t="n"/>
      <c r="N9" s="237" t="n"/>
    </row>
    <row r="10" ht="28.5" customHeight="1" s="240">
      <c r="A10" s="369" t="n"/>
      <c r="B10" s="369" t="n"/>
      <c r="C10" s="369" t="n"/>
      <c r="D10" s="369" t="n"/>
      <c r="E10" s="369" t="n"/>
      <c r="F10" s="291" t="inlineStr">
        <is>
          <t>на ед. изм.</t>
        </is>
      </c>
      <c r="G10" s="291" t="inlineStr">
        <is>
          <t>общая</t>
        </is>
      </c>
      <c r="H10" s="369" t="n"/>
      <c r="I10" s="291" t="inlineStr">
        <is>
          <t>на ед. изм.</t>
        </is>
      </c>
      <c r="J10" s="291" t="inlineStr">
        <is>
          <t>общая</t>
        </is>
      </c>
      <c r="M10" s="237" t="n"/>
      <c r="N10" s="237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304" t="n">
        <v>9</v>
      </c>
      <c r="J11" s="304" t="n">
        <v>10</v>
      </c>
      <c r="M11" s="237" t="n"/>
      <c r="N11" s="237" t="n"/>
    </row>
    <row r="12">
      <c r="A12" s="291" t="n"/>
      <c r="B12" s="279" t="inlineStr">
        <is>
          <t>Затраты труда рабочих-строителей</t>
        </is>
      </c>
      <c r="C12" s="366" t="n"/>
      <c r="D12" s="366" t="n"/>
      <c r="E12" s="366" t="n"/>
      <c r="F12" s="366" t="n"/>
      <c r="G12" s="366" t="n"/>
      <c r="H12" s="367" t="n"/>
      <c r="I12" s="161" t="n"/>
      <c r="J12" s="161" t="n"/>
    </row>
    <row r="13" ht="25.5" customHeight="1" s="240">
      <c r="A13" s="291" t="n">
        <v>1</v>
      </c>
      <c r="B13" s="199" t="inlineStr">
        <is>
          <t>1-3-7</t>
        </is>
      </c>
      <c r="C13" s="290" t="inlineStr">
        <is>
          <t>Затраты труда рабочих (средний разряд работы 3,7)</t>
        </is>
      </c>
      <c r="D13" s="291" t="inlineStr">
        <is>
          <t>чел.-ч.</t>
        </is>
      </c>
      <c r="E13" s="372">
        <f>G13/F13</f>
        <v/>
      </c>
      <c r="F13" s="174" t="n">
        <v>9.289999999999999</v>
      </c>
      <c r="G13" s="174" t="n">
        <v>211.38</v>
      </c>
      <c r="H13" s="294">
        <f>G13/$G$14</f>
        <v/>
      </c>
      <c r="I13" s="174">
        <f>ФОТр.тек.!E13</f>
        <v/>
      </c>
      <c r="J13" s="174">
        <f>ROUND(I13*E13,2)</f>
        <v/>
      </c>
    </row>
    <row r="14" ht="25.5" customFormat="1" customHeight="1" s="237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2">
        <f>SUM(E13:E13)</f>
        <v/>
      </c>
      <c r="F14" s="174" t="n"/>
      <c r="G14" s="174">
        <f>SUM(G13:G13)</f>
        <v/>
      </c>
      <c r="H14" s="295" t="n">
        <v>1</v>
      </c>
      <c r="I14" s="161" t="n"/>
      <c r="J14" s="174">
        <f>SUM(J13:J13)</f>
        <v/>
      </c>
      <c r="K14" s="374" t="n"/>
    </row>
    <row r="15" ht="38.25" customFormat="1" customHeight="1" s="237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2" t="n"/>
      <c r="F15" s="293" t="n"/>
      <c r="G15" s="174">
        <f>SUM(G14)*0.7</f>
        <v/>
      </c>
      <c r="H15" s="295" t="n">
        <v>1</v>
      </c>
      <c r="I15" s="161" t="n"/>
      <c r="J15" s="174">
        <f>SUM(J14)*0.7</f>
        <v/>
      </c>
    </row>
    <row r="16" ht="14.25" customFormat="1" customHeight="1" s="237">
      <c r="A16" s="291" t="n"/>
      <c r="B16" s="290" t="inlineStr">
        <is>
          <t>Затраты труда машинистов</t>
        </is>
      </c>
      <c r="C16" s="366" t="n"/>
      <c r="D16" s="366" t="n"/>
      <c r="E16" s="366" t="n"/>
      <c r="F16" s="366" t="n"/>
      <c r="G16" s="366" t="n"/>
      <c r="H16" s="367" t="n"/>
      <c r="I16" s="161" t="n"/>
      <c r="J16" s="161" t="n"/>
    </row>
    <row r="17" ht="14.25" customFormat="1" customHeight="1" s="237">
      <c r="A17" s="291" t="n">
        <v>2</v>
      </c>
      <c r="B17" s="291" t="n">
        <v>2</v>
      </c>
      <c r="C17" s="290" t="inlineStr">
        <is>
          <t>Затраты труда машинистов</t>
        </is>
      </c>
      <c r="D17" s="291" t="inlineStr">
        <is>
          <t>чел.-ч.</t>
        </is>
      </c>
      <c r="E17" s="372">
        <f>Прил.3!F22</f>
        <v/>
      </c>
      <c r="F17" s="174">
        <f>G17/E17</f>
        <v/>
      </c>
      <c r="G17" s="174">
        <f>Прил.3!H21</f>
        <v/>
      </c>
      <c r="H17" s="295" t="n">
        <v>1</v>
      </c>
      <c r="I17" s="174">
        <f>ROUND(F17*Прил.10!D11,2)</f>
        <v/>
      </c>
      <c r="J17" s="174">
        <f>ROUND(I17*E17,2)</f>
        <v/>
      </c>
    </row>
    <row r="18" ht="25.5" customFormat="1" customHeight="1" s="237">
      <c r="A18" s="291" t="n"/>
      <c r="B18" s="291" t="n"/>
      <c r="C18" s="170" t="inlineStr">
        <is>
          <t>Затраты труда машинистов 
(с коэффициентом на демонтаж 0,7)</t>
        </is>
      </c>
      <c r="D18" s="164" t="n"/>
      <c r="E18" s="164" t="n"/>
      <c r="F18" s="164" t="n"/>
      <c r="G18" s="168">
        <f>G17*0.7</f>
        <v/>
      </c>
      <c r="H18" s="166">
        <f>H17</f>
        <v/>
      </c>
      <c r="I18" s="167" t="n"/>
      <c r="J18" s="168">
        <f>J17*0.7</f>
        <v/>
      </c>
    </row>
    <row r="19" ht="14.25" customFormat="1" customHeight="1" s="237">
      <c r="A19" s="291" t="n"/>
      <c r="B19" s="279" t="inlineStr">
        <is>
          <t>Машины и механизмы</t>
        </is>
      </c>
      <c r="C19" s="366" t="n"/>
      <c r="D19" s="366" t="n"/>
      <c r="E19" s="366" t="n"/>
      <c r="F19" s="366" t="n"/>
      <c r="G19" s="366" t="n"/>
      <c r="H19" s="367" t="n"/>
      <c r="I19" s="161" t="n"/>
      <c r="J19" s="161" t="n"/>
    </row>
    <row r="20" ht="14.25" customFormat="1" customHeight="1" s="237">
      <c r="A20" s="291" t="n"/>
      <c r="B20" s="290" t="inlineStr">
        <is>
          <t>Основные машины и механизмы</t>
        </is>
      </c>
      <c r="C20" s="366" t="n"/>
      <c r="D20" s="366" t="n"/>
      <c r="E20" s="366" t="n"/>
      <c r="F20" s="366" t="n"/>
      <c r="G20" s="366" t="n"/>
      <c r="H20" s="367" t="n"/>
      <c r="I20" s="161" t="n"/>
      <c r="J20" s="161" t="n"/>
    </row>
    <row r="21" ht="25.5" customFormat="1" customHeight="1" s="237">
      <c r="A21" s="291" t="n">
        <v>3</v>
      </c>
      <c r="B21" s="199" t="inlineStr">
        <is>
          <t>91.05.05-014</t>
        </is>
      </c>
      <c r="C21" s="290" t="inlineStr">
        <is>
          <t>Краны на автомобильном ходу, грузоподъемность 10 т</t>
        </is>
      </c>
      <c r="D21" s="291" t="inlineStr">
        <is>
          <t>маш.-ч</t>
        </is>
      </c>
      <c r="E21" s="372" t="n">
        <v>1.39349792</v>
      </c>
      <c r="F21" s="293" t="n">
        <v>111.99</v>
      </c>
      <c r="G21" s="174">
        <f>ROUND(E21*F21,2)</f>
        <v/>
      </c>
      <c r="H21" s="294">
        <f>G21/$G$45</f>
        <v/>
      </c>
      <c r="I21" s="174">
        <f>ROUND(F21*Прил.10!$D$12,2)</f>
        <v/>
      </c>
      <c r="J21" s="174">
        <f>ROUND(I21*E21,2)</f>
        <v/>
      </c>
    </row>
    <row r="22" ht="38.25" customFormat="1" customHeight="1" s="237">
      <c r="A22" s="291" t="n">
        <v>4</v>
      </c>
      <c r="B22" s="199" t="inlineStr">
        <is>
          <t>91.01.05-086</t>
        </is>
      </c>
      <c r="C22" s="290" t="inlineStr">
        <is>
          <t>Экскаваторы одноковшовые дизельные на гусеничном ходу, емкость ковша 0,65 м3</t>
        </is>
      </c>
      <c r="D22" s="291" t="inlineStr">
        <is>
          <t>маш.-ч</t>
        </is>
      </c>
      <c r="E22" s="372" t="n">
        <v>0.154203166</v>
      </c>
      <c r="F22" s="293" t="n">
        <v>115.27</v>
      </c>
      <c r="G22" s="174">
        <f>ROUND(E22*F22,2)</f>
        <v/>
      </c>
      <c r="H22" s="294">
        <f>G22/$G$45</f>
        <v/>
      </c>
      <c r="I22" s="174">
        <f>ROUND(F22*Прил.10!$D$12,2)</f>
        <v/>
      </c>
      <c r="J22" s="174">
        <f>ROUND(I22*E22,2)</f>
        <v/>
      </c>
    </row>
    <row r="23" ht="51" customFormat="1" customHeight="1" s="237">
      <c r="A23" s="291" t="n">
        <v>5</v>
      </c>
      <c r="B23" s="199" t="inlineStr">
        <is>
          <t>91.18.01-007</t>
        </is>
      </c>
      <c r="C23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3" s="291" t="inlineStr">
        <is>
          <t>маш.-ч</t>
        </is>
      </c>
      <c r="E23" s="372" t="n">
        <v>0.19448096</v>
      </c>
      <c r="F23" s="293" t="n">
        <v>90</v>
      </c>
      <c r="G23" s="174">
        <f>ROUND(E23*F23,2)</f>
        <v/>
      </c>
      <c r="H23" s="294">
        <f>G23/$G$45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37">
      <c r="A24" s="291" t="n">
        <v>6</v>
      </c>
      <c r="B24" s="199" t="inlineStr">
        <is>
          <t>91.16.01-001</t>
        </is>
      </c>
      <c r="C24" s="290" t="inlineStr">
        <is>
          <t>Электростанции передвижные, мощность 2 кВт</t>
        </is>
      </c>
      <c r="D24" s="291" t="inlineStr">
        <is>
          <t>маш.-ч</t>
        </is>
      </c>
      <c r="E24" s="372" t="n">
        <v>0.4427492</v>
      </c>
      <c r="F24" s="293" t="n">
        <v>22.29</v>
      </c>
      <c r="G24" s="174">
        <f>ROUND(E24*F24,2)</f>
        <v/>
      </c>
      <c r="H24" s="294">
        <f>G24/$G$45</f>
        <v/>
      </c>
      <c r="I24" s="174">
        <f>ROUND(F24*Прил.10!$D$12,2)</f>
        <v/>
      </c>
      <c r="J24" s="174">
        <f>ROUND(I24*E24,2)</f>
        <v/>
      </c>
    </row>
    <row r="25" ht="25.5" customFormat="1" customHeight="1" s="237">
      <c r="A25" s="291" t="n">
        <v>7</v>
      </c>
      <c r="B25" s="199" t="inlineStr">
        <is>
          <t>91.17.04-233</t>
        </is>
      </c>
      <c r="C25" s="290" t="inlineStr">
        <is>
          <t>Установки для сварки ручной дуговой (постоянного тока)</t>
        </is>
      </c>
      <c r="D25" s="291" t="inlineStr">
        <is>
          <t>маш.-ч</t>
        </is>
      </c>
      <c r="E25" s="372" t="n">
        <v>1.10594352</v>
      </c>
      <c r="F25" s="293" t="n">
        <v>8.1</v>
      </c>
      <c r="G25" s="174">
        <f>ROUND(E25*F25,2)</f>
        <v/>
      </c>
      <c r="H25" s="294">
        <f>G25/$G$45</f>
        <v/>
      </c>
      <c r="I25" s="174">
        <f>ROUND(F25*Прил.10!$D$12,2)</f>
        <v/>
      </c>
      <c r="J25" s="174">
        <f>ROUND(I25*E25,2)</f>
        <v/>
      </c>
    </row>
    <row r="26" ht="14.25" customFormat="1" customHeight="1" s="237">
      <c r="A26" s="291" t="n"/>
      <c r="B26" s="291" t="n"/>
      <c r="C26" s="290" t="inlineStr">
        <is>
          <t>Итого основные машины и механизмы</t>
        </is>
      </c>
      <c r="D26" s="291" t="n"/>
      <c r="E26" s="372" t="n"/>
      <c r="F26" s="174" t="n"/>
      <c r="G26" s="174">
        <f>SUM(G21:G25)</f>
        <v/>
      </c>
      <c r="H26" s="295">
        <f>G26/G45</f>
        <v/>
      </c>
      <c r="I26" s="169" t="n"/>
      <c r="J26" s="174">
        <f>SUM(J21:J25)</f>
        <v/>
      </c>
    </row>
    <row r="27" ht="25.5" customFormat="1" customHeight="1" s="237">
      <c r="A27" s="291" t="n"/>
      <c r="B27" s="291" t="n"/>
      <c r="C27" s="170" t="inlineStr">
        <is>
          <t>Итого основные машины и механизмы 
(с коэффициентом на демонтаж 0,7)</t>
        </is>
      </c>
      <c r="D27" s="291" t="n"/>
      <c r="E27" s="375" t="n"/>
      <c r="F27" s="292" t="n"/>
      <c r="G27" s="174">
        <f>G26*0.7</f>
        <v/>
      </c>
      <c r="H27" s="294">
        <f>G27/G46</f>
        <v/>
      </c>
      <c r="I27" s="174" t="n"/>
      <c r="J27" s="174">
        <f>J26*0.7</f>
        <v/>
      </c>
    </row>
    <row r="28" outlineLevel="1" ht="25.5" customFormat="1" customHeight="1" s="237">
      <c r="A28" s="291" t="n">
        <v>8</v>
      </c>
      <c r="B28" s="199" t="inlineStr">
        <is>
          <t>91.14.02-001</t>
        </is>
      </c>
      <c r="C28" s="290" t="inlineStr">
        <is>
          <t>Автомобили бортовые, грузоподъемность до 5 т</t>
        </is>
      </c>
      <c r="D28" s="291" t="inlineStr">
        <is>
          <t>маш.-ч</t>
        </is>
      </c>
      <c r="E28" s="372" t="n">
        <v>0.12023395142148</v>
      </c>
      <c r="F28" s="293" t="n">
        <v>65.73999999999999</v>
      </c>
      <c r="G28" s="174">
        <f>ROUND(E28*F28,2)</f>
        <v/>
      </c>
      <c r="H28" s="294">
        <f>G28/$G$45</f>
        <v/>
      </c>
      <c r="I28" s="174">
        <f>ROUND(F28*Прил.10!$D$12,2)</f>
        <v/>
      </c>
      <c r="J28" s="174">
        <f>ROUND(I28*E28,2)</f>
        <v/>
      </c>
    </row>
    <row r="29" outlineLevel="1" ht="25.5" customFormat="1" customHeight="1" s="237">
      <c r="A29" s="291" t="n">
        <v>9</v>
      </c>
      <c r="B29" s="199" t="inlineStr">
        <is>
          <t>91.05.06-012</t>
        </is>
      </c>
      <c r="C29" s="290" t="inlineStr">
        <is>
          <t>Краны на гусеничном ходу, грузоподъемность до 16 т</t>
        </is>
      </c>
      <c r="D29" s="291" t="inlineStr">
        <is>
          <t>маш.-ч</t>
        </is>
      </c>
      <c r="E29" s="372" t="n">
        <v>0.061812129032258</v>
      </c>
      <c r="F29" s="293" t="n">
        <v>96.89</v>
      </c>
      <c r="G29" s="174">
        <f>ROUND(E29*F29,2)</f>
        <v/>
      </c>
      <c r="H29" s="294">
        <f>G29/$G$45</f>
        <v/>
      </c>
      <c r="I29" s="174">
        <f>ROUND(F29*Прил.10!$D$12,2)</f>
        <v/>
      </c>
      <c r="J29" s="174">
        <f>ROUND(I29*E29,2)</f>
        <v/>
      </c>
    </row>
    <row r="30" outlineLevel="1" ht="25.5" customFormat="1" customHeight="1" s="237">
      <c r="A30" s="291" t="n">
        <v>10</v>
      </c>
      <c r="B30" s="199" t="inlineStr">
        <is>
          <t>91.06.03-058</t>
        </is>
      </c>
      <c r="C30" s="290" t="inlineStr">
        <is>
          <t>Лебедки электрические тяговым усилием 156,96 кН (16 т)</t>
        </is>
      </c>
      <c r="D30" s="291" t="inlineStr">
        <is>
          <t>маш.-ч</t>
        </is>
      </c>
      <c r="E30" s="372" t="n">
        <v>0.024850762141085</v>
      </c>
      <c r="F30" s="293" t="n">
        <v>131.33</v>
      </c>
      <c r="G30" s="174">
        <f>ROUND(E30*F30,2)</f>
        <v/>
      </c>
      <c r="H30" s="294">
        <f>G30/$G$45</f>
        <v/>
      </c>
      <c r="I30" s="174">
        <f>ROUND(F30*Прил.10!$D$12,2)</f>
        <v/>
      </c>
      <c r="J30" s="174">
        <f>ROUND(I30*E30,2)</f>
        <v/>
      </c>
    </row>
    <row r="31" outlineLevel="1" ht="25.5" customFormat="1" customHeight="1" s="237">
      <c r="A31" s="291" t="n">
        <v>11</v>
      </c>
      <c r="B31" s="199" t="inlineStr">
        <is>
          <t>91.14.03-002</t>
        </is>
      </c>
      <c r="C31" s="290" t="inlineStr">
        <is>
          <t>Автомобиль-самосвал, грузоподъемность до 10 т</t>
        </is>
      </c>
      <c r="D31" s="291" t="inlineStr">
        <is>
          <t>маш.-ч</t>
        </is>
      </c>
      <c r="E31" s="372" t="n">
        <v>0.030040513506203</v>
      </c>
      <c r="F31" s="293" t="n">
        <v>87.55</v>
      </c>
      <c r="G31" s="174">
        <f>ROUND(E31*F31,2)</f>
        <v/>
      </c>
      <c r="H31" s="294">
        <f>G31/$G$45</f>
        <v/>
      </c>
      <c r="I31" s="174">
        <f>ROUND(F31*Прил.10!$D$12,2)</f>
        <v/>
      </c>
      <c r="J31" s="174">
        <f>ROUND(I31*E31,2)</f>
        <v/>
      </c>
    </row>
    <row r="32" outlineLevel="1" ht="51" customFormat="1" customHeight="1" s="237">
      <c r="A32" s="291" t="n">
        <v>12</v>
      </c>
      <c r="B32" s="199" t="inlineStr">
        <is>
          <t>91.21.01-014</t>
        </is>
      </c>
      <c r="C32" s="29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2" s="291" t="inlineStr">
        <is>
          <t>маш.-ч</t>
        </is>
      </c>
      <c r="E32" s="372" t="n">
        <v>0.45844396072315</v>
      </c>
      <c r="F32" s="293" t="n">
        <v>5.59</v>
      </c>
      <c r="G32" s="174">
        <f>ROUND(E32*F32,2)</f>
        <v/>
      </c>
      <c r="H32" s="294">
        <f>G32/$G$45</f>
        <v/>
      </c>
      <c r="I32" s="174">
        <f>ROUND(F32*Прил.10!$D$12,2)</f>
        <v/>
      </c>
      <c r="J32" s="174">
        <f>ROUND(I32*E32,2)</f>
        <v/>
      </c>
    </row>
    <row r="33" outlineLevel="1" ht="14.25" customFormat="1" customHeight="1" s="237">
      <c r="A33" s="291" t="n">
        <v>13</v>
      </c>
      <c r="B33" s="199" t="inlineStr">
        <is>
          <t>91.01.01-035</t>
        </is>
      </c>
      <c r="C33" s="290" t="inlineStr">
        <is>
          <t>Бульдозеры, мощность 79 кВт (108 л.с.)</t>
        </is>
      </c>
      <c r="D33" s="291" t="inlineStr">
        <is>
          <t>маш.-ч</t>
        </is>
      </c>
      <c r="E33" s="372" t="n">
        <v>0.023186796526055</v>
      </c>
      <c r="F33" s="293" t="n">
        <v>79.04000000000001</v>
      </c>
      <c r="G33" s="174">
        <f>ROUND(E33*F33,2)</f>
        <v/>
      </c>
      <c r="H33" s="294">
        <f>G33/$G$45</f>
        <v/>
      </c>
      <c r="I33" s="174">
        <f>ROUND(F33*Прил.10!$D$12,2)</f>
        <v/>
      </c>
      <c r="J33" s="174">
        <f>ROUND(I33*E33,2)</f>
        <v/>
      </c>
    </row>
    <row r="34" outlineLevel="1" ht="38.25" customFormat="1" customHeight="1" s="237">
      <c r="A34" s="291" t="n">
        <v>14</v>
      </c>
      <c r="B34" s="199" t="inlineStr">
        <is>
          <t>91.18.01-011</t>
        </is>
      </c>
      <c r="C34" s="290" t="inlineStr">
        <is>
          <t>Компрессоры передвижные с электродвигателем давлением 600 кПа (6 ат), производительность 0,5 м3/мин</t>
        </is>
      </c>
      <c r="D34" s="291" t="inlineStr">
        <is>
          <t>маш.-ч</t>
        </is>
      </c>
      <c r="E34" s="372" t="n">
        <v>0.45844396072315</v>
      </c>
      <c r="F34" s="293" t="n">
        <v>3.7</v>
      </c>
      <c r="G34" s="174">
        <f>ROUND(E34*F34,2)</f>
        <v/>
      </c>
      <c r="H34" s="294">
        <f>G34/$G$45</f>
        <v/>
      </c>
      <c r="I34" s="174">
        <f>ROUND(F34*Прил.10!$D$12,2)</f>
        <v/>
      </c>
      <c r="J34" s="174">
        <f>ROUND(I34*E34,2)</f>
        <v/>
      </c>
    </row>
    <row r="35" outlineLevel="1" ht="38.25" customFormat="1" customHeight="1" s="237">
      <c r="A35" s="291" t="n">
        <v>15</v>
      </c>
      <c r="B35" s="199" t="inlineStr">
        <is>
          <t>91.17.04-036</t>
        </is>
      </c>
      <c r="C35" s="290" t="inlineStr">
        <is>
          <t>Агрегаты сварочные передвижные с дизельным двигателем, номинальный сварочный ток 250-400 А</t>
        </is>
      </c>
      <c r="D35" s="291" t="inlineStr">
        <is>
          <t>маш.-ч</t>
        </is>
      </c>
      <c r="E35" s="372" t="n">
        <v>0.096550388160227</v>
      </c>
      <c r="F35" s="293" t="n">
        <v>14.01</v>
      </c>
      <c r="G35" s="174">
        <f>ROUND(E35*F35,2)</f>
        <v/>
      </c>
      <c r="H35" s="294">
        <f>G35/$G$45</f>
        <v/>
      </c>
      <c r="I35" s="174">
        <f>ROUND(F35*Прил.10!$D$12,2)</f>
        <v/>
      </c>
      <c r="J35" s="174">
        <f>ROUND(I35*E35,2)</f>
        <v/>
      </c>
    </row>
    <row r="36" outlineLevel="1" ht="14.25" customFormat="1" customHeight="1" s="237">
      <c r="A36" s="291" t="n">
        <v>16</v>
      </c>
      <c r="B36" s="199" t="inlineStr">
        <is>
          <t>91.08.04-021</t>
        </is>
      </c>
      <c r="C36" s="290" t="inlineStr">
        <is>
          <t>Котлы битумные передвижные 400 л</t>
        </is>
      </c>
      <c r="D36" s="291" t="inlineStr">
        <is>
          <t>маш.-ч</t>
        </is>
      </c>
      <c r="E36" s="372" t="n">
        <v>0.029075391705069</v>
      </c>
      <c r="F36" s="293" t="n">
        <v>29.99</v>
      </c>
      <c r="G36" s="174">
        <f>ROUND(E36*F36,2)</f>
        <v/>
      </c>
      <c r="H36" s="294">
        <f>G36/$G$45</f>
        <v/>
      </c>
      <c r="I36" s="174">
        <f>ROUND(F36*Прил.10!$D$12,2)</f>
        <v/>
      </c>
      <c r="J36" s="174">
        <f>ROUND(I36*E36,2)</f>
        <v/>
      </c>
    </row>
    <row r="37" outlineLevel="1" ht="14.25" customFormat="1" customHeight="1" s="237">
      <c r="A37" s="291" t="n">
        <v>17</v>
      </c>
      <c r="B37" s="199" t="inlineStr">
        <is>
          <t>91.05.01-017</t>
        </is>
      </c>
      <c r="C37" s="290" t="inlineStr">
        <is>
          <t>Краны башенные, грузоподъемность 8 т</t>
        </is>
      </c>
      <c r="D37" s="291" t="inlineStr">
        <is>
          <t>маш.-ч</t>
        </is>
      </c>
      <c r="E37" s="372" t="n">
        <v>0.0052186600496278</v>
      </c>
      <c r="F37" s="293" t="n">
        <v>86.51000000000001</v>
      </c>
      <c r="G37" s="174">
        <f>ROUND(E37*F37,2)</f>
        <v/>
      </c>
      <c r="H37" s="294">
        <f>G37/$G$45</f>
        <v/>
      </c>
      <c r="I37" s="174">
        <f>ROUND(F37*Прил.10!$D$12,2)</f>
        <v/>
      </c>
      <c r="J37" s="174">
        <f>ROUND(I37*E37,2)</f>
        <v/>
      </c>
    </row>
    <row r="38" outlineLevel="1" ht="25.5" customFormat="1" customHeight="1" s="237">
      <c r="A38" s="291" t="n">
        <v>18</v>
      </c>
      <c r="B38" s="199" t="inlineStr">
        <is>
          <t>91.08.09-023</t>
        </is>
      </c>
      <c r="C38" s="290" t="inlineStr">
        <is>
          <t>Трамбовки пневматические при работе от передвижных компрессорных станций</t>
        </is>
      </c>
      <c r="D38" s="291" t="inlineStr">
        <is>
          <t>маш.-ч</t>
        </is>
      </c>
      <c r="E38" s="372" t="n">
        <v>0.80682484853598</v>
      </c>
      <c r="F38" s="293" t="n">
        <v>0.55</v>
      </c>
      <c r="G38" s="174">
        <f>ROUND(E38*F38,2)</f>
        <v/>
      </c>
      <c r="H38" s="294">
        <f>G38/$G$45</f>
        <v/>
      </c>
      <c r="I38" s="174">
        <f>ROUND(F38*Прил.10!$D$12,2)</f>
        <v/>
      </c>
      <c r="J38" s="174">
        <f>ROUND(I38*E38,2)</f>
        <v/>
      </c>
    </row>
    <row r="39" outlineLevel="1" ht="14.25" customFormat="1" customHeight="1" s="237">
      <c r="A39" s="291" t="n">
        <v>19</v>
      </c>
      <c r="B39" s="199" t="inlineStr">
        <is>
          <t>91.07.04-001</t>
        </is>
      </c>
      <c r="C39" s="290" t="inlineStr">
        <is>
          <t>Вибратор глубинный</t>
        </is>
      </c>
      <c r="D39" s="291" t="inlineStr">
        <is>
          <t>маш.-ч</t>
        </is>
      </c>
      <c r="E39" s="372" t="n">
        <v>0.051258838709677</v>
      </c>
      <c r="F39" s="293" t="n">
        <v>1.9</v>
      </c>
      <c r="G39" s="174">
        <f>ROUND(E39*F39,2)</f>
        <v/>
      </c>
      <c r="H39" s="294">
        <f>G39/$G$45</f>
        <v/>
      </c>
      <c r="I39" s="174">
        <f>ROUND(F39*Прил.10!$D$12,2)</f>
        <v/>
      </c>
      <c r="J39" s="174">
        <f>ROUND(I39*E39,2)</f>
        <v/>
      </c>
    </row>
    <row r="40" outlineLevel="1" ht="14.25" customFormat="1" customHeight="1" s="237">
      <c r="A40" s="291" t="n">
        <v>20</v>
      </c>
      <c r="B40" s="199" t="inlineStr">
        <is>
          <t>91.06.05-011</t>
        </is>
      </c>
      <c r="C40" s="290" t="inlineStr">
        <is>
          <t>Погрузчик, грузоподъемность 5 т</t>
        </is>
      </c>
      <c r="D40" s="291" t="inlineStr">
        <is>
          <t>маш.-ч</t>
        </is>
      </c>
      <c r="E40" s="372" t="n">
        <v>0.00072688479262673</v>
      </c>
      <c r="F40" s="293" t="n">
        <v>91.17</v>
      </c>
      <c r="G40" s="174">
        <f>ROUND(E40*F40,2)</f>
        <v/>
      </c>
      <c r="H40" s="294">
        <f>G40/$G$45</f>
        <v/>
      </c>
      <c r="I40" s="174">
        <f>ROUND(F40*Прил.10!$D$12,2)</f>
        <v/>
      </c>
      <c r="J40" s="174">
        <f>ROUND(I40*E40,2)</f>
        <v/>
      </c>
    </row>
    <row r="41" outlineLevel="1" ht="25.5" customFormat="1" customHeight="1" s="237">
      <c r="A41" s="291" t="n">
        <v>21</v>
      </c>
      <c r="B41" s="199" t="inlineStr">
        <is>
          <t>91.14.02-002</t>
        </is>
      </c>
      <c r="C41" s="290" t="inlineStr">
        <is>
          <t>Автомобили бортовые, грузоподъемность до 8 т</t>
        </is>
      </c>
      <c r="D41" s="291" t="inlineStr">
        <is>
          <t>маш.-ч</t>
        </is>
      </c>
      <c r="E41" s="372" t="n">
        <v>0.00045435476781283</v>
      </c>
      <c r="F41" s="293" t="n">
        <v>86.59999999999999</v>
      </c>
      <c r="G41" s="174">
        <f>ROUND(E41*F41,2)</f>
        <v/>
      </c>
      <c r="H41" s="294">
        <f>G41/$G$45</f>
        <v/>
      </c>
      <c r="I41" s="174">
        <f>ROUND(F41*Прил.10!$D$12,2)</f>
        <v/>
      </c>
      <c r="J41" s="174">
        <f>ROUND(I41*E41,2)</f>
        <v/>
      </c>
    </row>
    <row r="42" outlineLevel="1" ht="14.25" customFormat="1" customHeight="1" s="237">
      <c r="A42" s="291" t="n">
        <v>22</v>
      </c>
      <c r="B42" s="199" t="inlineStr">
        <is>
          <t>91.07.04-002</t>
        </is>
      </c>
      <c r="C42" s="290" t="inlineStr">
        <is>
          <t>Вибратор поверхностный</t>
        </is>
      </c>
      <c r="D42" s="291" t="inlineStr">
        <is>
          <t>маш.-ч</t>
        </is>
      </c>
      <c r="E42" s="372" t="n">
        <v>0.020685774406239</v>
      </c>
      <c r="F42" s="293" t="n">
        <v>0.5</v>
      </c>
      <c r="G42" s="174">
        <f>ROUND(E42*F42,2)</f>
        <v/>
      </c>
      <c r="H42" s="294">
        <f>G42/$G$45</f>
        <v/>
      </c>
      <c r="I42" s="174">
        <f>ROUND(F42*Прил.10!$D$12,2)</f>
        <v/>
      </c>
      <c r="J42" s="174">
        <f>ROUND(I42*E42,2)</f>
        <v/>
      </c>
    </row>
    <row r="43" ht="14.25" customFormat="1" customHeight="1" s="237">
      <c r="A43" s="291" t="n"/>
      <c r="B43" s="291" t="n"/>
      <c r="C43" s="290" t="inlineStr">
        <is>
          <t>Итого прочие машины и механизмы</t>
        </is>
      </c>
      <c r="D43" s="291" t="n"/>
      <c r="E43" s="292" t="n"/>
      <c r="F43" s="174" t="n"/>
      <c r="G43" s="169">
        <f>SUM(G28:G42)</f>
        <v/>
      </c>
      <c r="H43" s="294">
        <f>G43/G45</f>
        <v/>
      </c>
      <c r="I43" s="174" t="n"/>
      <c r="J43" s="169">
        <f>SUM(J28:J42)</f>
        <v/>
      </c>
    </row>
    <row r="44" ht="25.5" customFormat="1" customHeight="1" s="237">
      <c r="A44" s="291" t="n"/>
      <c r="B44" s="291" t="n"/>
      <c r="C44" s="170" t="inlineStr">
        <is>
          <t>Итого прочие машины и механизмы 
(с коэффициентом на демонтаж 0,7)</t>
        </is>
      </c>
      <c r="D44" s="291" t="n"/>
      <c r="E44" s="292" t="n"/>
      <c r="F44" s="174" t="n"/>
      <c r="G44" s="174">
        <f>G43*0.7</f>
        <v/>
      </c>
      <c r="H44" s="294">
        <f>G44/G46</f>
        <v/>
      </c>
      <c r="I44" s="174" t="n"/>
      <c r="J44" s="174">
        <f>J43*0.7</f>
        <v/>
      </c>
    </row>
    <row r="45" ht="25.5" customFormat="1" customHeight="1" s="237">
      <c r="A45" s="291" t="n"/>
      <c r="B45" s="291" t="n"/>
      <c r="C45" s="279" t="inlineStr">
        <is>
          <t>Итого по разделу «Машины и механизмы»</t>
        </is>
      </c>
      <c r="D45" s="291" t="n"/>
      <c r="E45" s="292" t="n"/>
      <c r="F45" s="174" t="n"/>
      <c r="G45" s="174">
        <f>G43+G26</f>
        <v/>
      </c>
      <c r="H45" s="185" t="n">
        <v>1</v>
      </c>
      <c r="I45" s="186" t="n"/>
      <c r="J45" s="184">
        <f>J43+J26</f>
        <v/>
      </c>
    </row>
    <row r="46" ht="38.25" customFormat="1" customHeight="1" s="237">
      <c r="A46" s="291" t="n"/>
      <c r="B46" s="291" t="n"/>
      <c r="C46" s="181" t="inlineStr">
        <is>
          <t>Итого по разделу «Машины и механизмы»  
(с коэффициентом на демонтаж 0,7)</t>
        </is>
      </c>
      <c r="D46" s="305" t="n"/>
      <c r="E46" s="183" t="n"/>
      <c r="F46" s="184" t="n"/>
      <c r="G46" s="184">
        <f>G27+G44</f>
        <v/>
      </c>
      <c r="H46" s="185" t="n">
        <v>1</v>
      </c>
      <c r="I46" s="186" t="n"/>
      <c r="J46" s="184">
        <f>J27+J44</f>
        <v/>
      </c>
    </row>
    <row r="47" ht="14.25" customFormat="1" customHeight="1" s="237">
      <c r="A47" s="291" t="n"/>
      <c r="B47" s="279" t="inlineStr">
        <is>
          <t>Оборудование</t>
        </is>
      </c>
      <c r="C47" s="366" t="n"/>
      <c r="D47" s="366" t="n"/>
      <c r="E47" s="366" t="n"/>
      <c r="F47" s="366" t="n"/>
      <c r="G47" s="366" t="n"/>
      <c r="H47" s="367" t="n"/>
      <c r="I47" s="161" t="n"/>
      <c r="J47" s="161" t="n"/>
    </row>
    <row r="48">
      <c r="A48" s="291" t="n"/>
      <c r="B48" s="290" t="inlineStr">
        <is>
          <t>Основное оборудование</t>
        </is>
      </c>
      <c r="C48" s="366" t="n"/>
      <c r="D48" s="366" t="n"/>
      <c r="E48" s="366" t="n"/>
      <c r="F48" s="366" t="n"/>
      <c r="G48" s="366" t="n"/>
      <c r="H48" s="367" t="n"/>
      <c r="I48" s="161" t="n"/>
      <c r="J48" s="161" t="n"/>
    </row>
    <row r="49">
      <c r="A49" s="291" t="n"/>
      <c r="B49" s="291" t="n"/>
      <c r="C49" s="290" t="inlineStr">
        <is>
          <t>Итого основное оборудование</t>
        </is>
      </c>
      <c r="D49" s="291" t="n"/>
      <c r="E49" s="372" t="n"/>
      <c r="F49" s="293" t="n"/>
      <c r="G49" s="174" t="n">
        <v>0</v>
      </c>
      <c r="H49" s="295" t="n">
        <v>0</v>
      </c>
      <c r="I49" s="169" t="n"/>
      <c r="J49" s="174" t="n">
        <v>0</v>
      </c>
    </row>
    <row r="50">
      <c r="A50" s="291" t="n"/>
      <c r="B50" s="291" t="n"/>
      <c r="C50" s="290" t="inlineStr">
        <is>
          <t>Итого прочее оборудование</t>
        </is>
      </c>
      <c r="D50" s="291" t="n"/>
      <c r="E50" s="372" t="n"/>
      <c r="F50" s="293" t="n"/>
      <c r="G50" s="174" t="n">
        <v>0</v>
      </c>
      <c r="H50" s="294" t="n">
        <v>0</v>
      </c>
      <c r="I50" s="169" t="n"/>
      <c r="J50" s="174" t="n">
        <v>0</v>
      </c>
    </row>
    <row r="51">
      <c r="A51" s="291" t="n"/>
      <c r="B51" s="291" t="n"/>
      <c r="C51" s="279" t="inlineStr">
        <is>
          <t>Итого по разделу «Оборудование»</t>
        </is>
      </c>
      <c r="D51" s="291" t="n"/>
      <c r="E51" s="292" t="n"/>
      <c r="F51" s="293" t="n"/>
      <c r="G51" s="174">
        <f>G50+G49</f>
        <v/>
      </c>
      <c r="H51" s="295">
        <f>H50+H49</f>
        <v/>
      </c>
      <c r="I51" s="169" t="n"/>
      <c r="J51" s="174">
        <f>J50+J49</f>
        <v/>
      </c>
    </row>
    <row r="52" ht="25.5" customHeight="1" s="240">
      <c r="A52" s="291" t="n"/>
      <c r="B52" s="291" t="n"/>
      <c r="C52" s="290" t="inlineStr">
        <is>
          <t>в том числе технологическое оборудование</t>
        </is>
      </c>
      <c r="D52" s="291" t="n"/>
      <c r="E52" s="375" t="n"/>
      <c r="F52" s="293" t="n"/>
      <c r="G52" s="174" t="n">
        <v>0</v>
      </c>
      <c r="H52" s="295" t="n"/>
      <c r="I52" s="169" t="n"/>
      <c r="J52" s="174">
        <f>J51</f>
        <v/>
      </c>
    </row>
    <row r="53" ht="14.25" customFormat="1" customHeight="1" s="237">
      <c r="A53" s="291" t="n"/>
      <c r="B53" s="279" t="inlineStr">
        <is>
          <t>Материалы</t>
        </is>
      </c>
      <c r="C53" s="366" t="n"/>
      <c r="D53" s="366" t="n"/>
      <c r="E53" s="366" t="n"/>
      <c r="F53" s="366" t="n"/>
      <c r="G53" s="366" t="n"/>
      <c r="H53" s="367" t="n"/>
      <c r="I53" s="188" t="n"/>
      <c r="J53" s="188" t="n"/>
    </row>
    <row r="54" ht="14.25" customFormat="1" customHeight="1" s="237">
      <c r="A54" s="291" t="n"/>
      <c r="B54" s="290" t="inlineStr">
        <is>
          <t>Основные материалы</t>
        </is>
      </c>
      <c r="C54" s="366" t="n"/>
      <c r="D54" s="366" t="n"/>
      <c r="E54" s="366" t="n"/>
      <c r="F54" s="366" t="n"/>
      <c r="G54" s="366" t="n"/>
      <c r="H54" s="367" t="n"/>
      <c r="I54" s="188" t="n"/>
      <c r="J54" s="188" t="n"/>
    </row>
    <row r="55" ht="14.25" customFormat="1" customHeight="1" s="237">
      <c r="A55" s="291" t="n"/>
      <c r="B55" s="199" t="n"/>
      <c r="C55" s="290" t="inlineStr">
        <is>
          <t>Итого основные материалы</t>
        </is>
      </c>
      <c r="D55" s="291" t="n"/>
      <c r="E55" s="372" t="n"/>
      <c r="F55" s="174" t="n"/>
      <c r="G55" s="174" t="n">
        <v>0</v>
      </c>
      <c r="H55" s="294" t="n">
        <v>0</v>
      </c>
      <c r="I55" s="174" t="n"/>
      <c r="J55" s="174" t="n">
        <v>0</v>
      </c>
    </row>
    <row r="56" ht="14.25" customFormat="1" customHeight="1" s="237">
      <c r="A56" s="291" t="n"/>
      <c r="B56" s="291" t="n"/>
      <c r="C56" s="290" t="inlineStr">
        <is>
          <t>Итого прочие материалы</t>
        </is>
      </c>
      <c r="D56" s="291" t="n"/>
      <c r="E56" s="292" t="n"/>
      <c r="F56" s="293" t="n"/>
      <c r="G56" s="174" t="n">
        <v>0</v>
      </c>
      <c r="H56" s="294" t="n">
        <v>0</v>
      </c>
      <c r="I56" s="174" t="n"/>
      <c r="J56" s="174" t="n">
        <v>0</v>
      </c>
    </row>
    <row r="57" ht="14.25" customFormat="1" customHeight="1" s="237">
      <c r="A57" s="291" t="n"/>
      <c r="B57" s="291" t="n"/>
      <c r="C57" s="279" t="inlineStr">
        <is>
          <t>Итого по разделу «Материалы»</t>
        </is>
      </c>
      <c r="D57" s="291" t="n"/>
      <c r="E57" s="292" t="n"/>
      <c r="F57" s="293" t="n"/>
      <c r="G57" s="174">
        <f>G55+G56</f>
        <v/>
      </c>
      <c r="H57" s="294" t="n">
        <v>0</v>
      </c>
      <c r="I57" s="174" t="n"/>
      <c r="J57" s="174">
        <f>J55+J56</f>
        <v/>
      </c>
    </row>
    <row r="58" ht="14.25" customFormat="1" customHeight="1" s="237">
      <c r="A58" s="291" t="n"/>
      <c r="B58" s="291" t="n"/>
      <c r="C58" s="290" t="inlineStr">
        <is>
          <t>ИТОГО ПО РМ</t>
        </is>
      </c>
      <c r="D58" s="291" t="n"/>
      <c r="E58" s="292" t="n"/>
      <c r="F58" s="293" t="n"/>
      <c r="G58" s="174">
        <f>G14+G45</f>
        <v/>
      </c>
      <c r="H58" s="294" t="n"/>
      <c r="I58" s="174" t="n"/>
      <c r="J58" s="174">
        <f>J14+J45+J57</f>
        <v/>
      </c>
    </row>
    <row r="59" ht="25.5" customFormat="1" customHeight="1" s="237">
      <c r="A59" s="291" t="n"/>
      <c r="B59" s="291" t="n"/>
      <c r="C59" s="290" t="inlineStr">
        <is>
          <t>ИТОГО ПО РМ
(с коэффициентом на демонтаж 0,7)</t>
        </is>
      </c>
      <c r="D59" s="291" t="n"/>
      <c r="E59" s="292" t="n"/>
      <c r="F59" s="293" t="n"/>
      <c r="G59" s="174">
        <f>G15+G46</f>
        <v/>
      </c>
      <c r="H59" s="294" t="n"/>
      <c r="I59" s="174" t="n"/>
      <c r="J59" s="174">
        <f>J14*0.7+J45*0.7+J57</f>
        <v/>
      </c>
    </row>
    <row r="60" ht="14.25" customFormat="1" customHeight="1" s="237">
      <c r="A60" s="291" t="n"/>
      <c r="B60" s="291" t="n"/>
      <c r="C60" s="290" t="inlineStr">
        <is>
          <t>Накладные расходы</t>
        </is>
      </c>
      <c r="D60" s="191">
        <f>ROUND(G60/(G$17+$G$14),2)</f>
        <v/>
      </c>
      <c r="E60" s="292" t="n"/>
      <c r="F60" s="293" t="n"/>
      <c r="G60" s="174" t="n">
        <v>225.63</v>
      </c>
      <c r="H60" s="295" t="n"/>
      <c r="I60" s="174" t="n"/>
      <c r="J60" s="174">
        <f>ROUND(D60*(J14+J17),2)</f>
        <v/>
      </c>
    </row>
    <row r="61" ht="25.5" customFormat="1" customHeight="1" s="237">
      <c r="A61" s="291" t="n"/>
      <c r="B61" s="291" t="n"/>
      <c r="C61" s="290" t="inlineStr">
        <is>
          <t>Накладные расходы 
(с коэффициентом на демонтаж 0,7)</t>
        </is>
      </c>
      <c r="D61" s="192">
        <f>ROUND(G61/(G$18+$G$15),2)</f>
        <v/>
      </c>
      <c r="E61" s="292" t="n"/>
      <c r="F61" s="293" t="n"/>
      <c r="G61" s="174">
        <f>G60*0.7</f>
        <v/>
      </c>
      <c r="H61" s="295" t="n"/>
      <c r="I61" s="174" t="n"/>
      <c r="J61" s="174">
        <f>ROUND(D61*(J15+J18),2)</f>
        <v/>
      </c>
    </row>
    <row r="62" ht="14.25" customFormat="1" customHeight="1" s="237">
      <c r="A62" s="291" t="n"/>
      <c r="B62" s="291" t="n"/>
      <c r="C62" s="290" t="inlineStr">
        <is>
          <t>Сметная прибыль</t>
        </is>
      </c>
      <c r="D62" s="191">
        <f>ROUND(G62/(G$14+G$17),2)</f>
        <v/>
      </c>
      <c r="E62" s="292" t="n"/>
      <c r="F62" s="293" t="n"/>
      <c r="G62" s="174" t="n">
        <v>148</v>
      </c>
      <c r="H62" s="295" t="n"/>
      <c r="I62" s="174" t="n"/>
      <c r="J62" s="174">
        <f>ROUND(D62*(J14+J17),2)</f>
        <v/>
      </c>
    </row>
    <row r="63" ht="25.5" customFormat="1" customHeight="1" s="237">
      <c r="A63" s="291" t="n"/>
      <c r="B63" s="291" t="n"/>
      <c r="C63" s="290" t="inlineStr">
        <is>
          <t>Сметная прибыль 
(с коэффициентом на демонтаж 0,7)</t>
        </is>
      </c>
      <c r="D63" s="192">
        <f>ROUND(G63/(G$15+G$18),2)</f>
        <v/>
      </c>
      <c r="E63" s="292" t="n"/>
      <c r="F63" s="293" t="n"/>
      <c r="G63" s="174">
        <f>G62*0.7</f>
        <v/>
      </c>
      <c r="H63" s="295" t="n"/>
      <c r="I63" s="174" t="n"/>
      <c r="J63" s="174">
        <f>ROUND(D63*(J15+J18),2)</f>
        <v/>
      </c>
    </row>
    <row r="64" ht="25.5" customFormat="1" customHeight="1" s="237">
      <c r="A64" s="291" t="n"/>
      <c r="B64" s="291" t="n"/>
      <c r="C64" s="290" t="inlineStr">
        <is>
          <t>Итого СМР (с НР и СП) 
(с коэффициентом на демонтаж 0,7)</t>
        </is>
      </c>
      <c r="D64" s="291" t="n"/>
      <c r="E64" s="292" t="n"/>
      <c r="F64" s="293" t="n"/>
      <c r="G64" s="174">
        <f>G59+G61+G63</f>
        <v/>
      </c>
      <c r="H64" s="295" t="n"/>
      <c r="I64" s="174" t="n"/>
      <c r="J64" s="174">
        <f>ROUND((J59+J61+J63),2)</f>
        <v/>
      </c>
    </row>
    <row r="65" ht="25.5" customFormat="1" customHeight="1" s="237">
      <c r="A65" s="291" t="n"/>
      <c r="B65" s="291" t="n"/>
      <c r="C65" s="290" t="inlineStr">
        <is>
          <t>ВСЕГО СМР + ОБОРУДОВАНИЕ 
(с коэффициентом на демонтаж 0,7)</t>
        </is>
      </c>
      <c r="D65" s="291" t="n"/>
      <c r="E65" s="292" t="n"/>
      <c r="F65" s="293" t="n"/>
      <c r="G65" s="174">
        <f>G64</f>
        <v/>
      </c>
      <c r="H65" s="295" t="n"/>
      <c r="I65" s="174" t="n"/>
      <c r="J65" s="174">
        <f>J64</f>
        <v/>
      </c>
    </row>
    <row r="66" ht="34.5" customFormat="1" customHeight="1" s="237">
      <c r="A66" s="291" t="n"/>
      <c r="B66" s="291" t="n"/>
      <c r="C66" s="290" t="inlineStr">
        <is>
          <t>ИТОГО ПОКАЗАТЕЛЬ НА ЕД. ИЗМ.</t>
        </is>
      </c>
      <c r="D66" s="291" t="inlineStr">
        <is>
          <t>1 ед.</t>
        </is>
      </c>
      <c r="E66" s="292" t="n">
        <v>2</v>
      </c>
      <c r="F66" s="293" t="n"/>
      <c r="G66" s="174">
        <f>G65/E66</f>
        <v/>
      </c>
      <c r="H66" s="295" t="n"/>
      <c r="I66" s="174" t="n"/>
      <c r="J66" s="184">
        <f>J65/E66</f>
        <v/>
      </c>
    </row>
    <row r="68" ht="14.25" customFormat="1" customHeight="1" s="237">
      <c r="A68" s="239" t="inlineStr">
        <is>
          <t>Составил ______________________     Д.Ю. Нефедова</t>
        </is>
      </c>
    </row>
    <row r="69" ht="14.25" customFormat="1" customHeight="1" s="237">
      <c r="A69" s="236" t="inlineStr">
        <is>
          <t xml:space="preserve">                         (подпись, инициалы, фамилия)</t>
        </is>
      </c>
    </row>
    <row r="70" ht="14.25" customFormat="1" customHeight="1" s="237">
      <c r="A70" s="239" t="n"/>
    </row>
    <row r="71" ht="14.25" customFormat="1" customHeight="1" s="237">
      <c r="A71" s="239" t="inlineStr">
        <is>
          <t>Проверил ______________________        А.В. Костянецкая</t>
        </is>
      </c>
    </row>
    <row r="72" ht="14.25" customFormat="1" customHeight="1" s="237">
      <c r="A72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47:H47"/>
    <mergeCell ref="B54:H54"/>
    <mergeCell ref="B16:H16"/>
    <mergeCell ref="B9:B10"/>
    <mergeCell ref="D9:D10"/>
    <mergeCell ref="B12:H12"/>
    <mergeCell ref="D6:J6"/>
    <mergeCell ref="B48:H48"/>
    <mergeCell ref="A8:H8"/>
    <mergeCell ref="F9:G9"/>
    <mergeCell ref="A9:A10"/>
    <mergeCell ref="B53:H53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0" min="1" max="1"/>
    <col width="17.5703125" customWidth="1" style="240" min="2" max="2"/>
    <col width="39.140625" customWidth="1" style="240" min="3" max="3"/>
    <col width="10.7109375" customWidth="1" style="312" min="4" max="4"/>
    <col width="13.85546875" customWidth="1" style="240" min="5" max="5"/>
    <col width="13.28515625" customWidth="1" style="240" min="6" max="6"/>
    <col width="14.140625" customWidth="1" style="240" min="7" max="7"/>
  </cols>
  <sheetData>
    <row r="1">
      <c r="A1" s="306" t="inlineStr">
        <is>
          <t>Приложение №6</t>
        </is>
      </c>
    </row>
    <row r="2" ht="21.75" customHeight="1" s="240">
      <c r="A2" s="306" t="n"/>
      <c r="B2" s="306" t="n"/>
      <c r="C2" s="306" t="n"/>
      <c r="D2" s="314" t="n"/>
      <c r="E2" s="306" t="n"/>
      <c r="F2" s="306" t="n"/>
      <c r="G2" s="306" t="n"/>
    </row>
    <row r="3">
      <c r="A3" s="261" t="inlineStr">
        <is>
          <t>Расчет стоимости оборудования</t>
        </is>
      </c>
    </row>
    <row r="4" ht="25.5" customHeight="1" s="240">
      <c r="A4" s="264" t="inlineStr">
        <is>
          <t>Наименование разрабатываемого показателя УНЦ — Демонтаж однополюсного разъединителя 6-15 кВ</t>
        </is>
      </c>
    </row>
    <row r="5">
      <c r="A5" s="239" t="n"/>
      <c r="B5" s="239" t="n"/>
      <c r="C5" s="239" t="n"/>
      <c r="D5" s="314" t="n"/>
      <c r="E5" s="239" t="n"/>
      <c r="F5" s="239" t="n"/>
      <c r="G5" s="239" t="n"/>
    </row>
    <row r="6" ht="30" customHeight="1" s="240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1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7" t="n"/>
    </row>
    <row r="7">
      <c r="A7" s="369" t="n"/>
      <c r="B7" s="369" t="n"/>
      <c r="C7" s="369" t="n"/>
      <c r="D7" s="369" t="n"/>
      <c r="E7" s="369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0">
      <c r="A9" s="24" t="n"/>
      <c r="B9" s="290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27" customHeight="1" s="240">
      <c r="A10" s="291" t="n"/>
      <c r="B10" s="279" t="n"/>
      <c r="C10" s="290" t="inlineStr">
        <is>
          <t>ИТОГО ИНЖЕНЕРНОЕ ОБОРУДОВАНИЕ</t>
        </is>
      </c>
      <c r="D10" s="296" t="n"/>
      <c r="E10" s="205" t="n"/>
      <c r="F10" s="293" t="n"/>
      <c r="G10" s="293" t="n">
        <v>0</v>
      </c>
    </row>
    <row r="11">
      <c r="A11" s="291" t="n"/>
      <c r="B11" s="290" t="inlineStr">
        <is>
          <t>ТЕХНОЛОГИЧЕСКОЕ ОБОРУДОВАНИЕ</t>
        </is>
      </c>
      <c r="C11" s="366" t="n"/>
      <c r="D11" s="366" t="n"/>
      <c r="E11" s="366" t="n"/>
      <c r="F11" s="366" t="n"/>
      <c r="G11" s="367" t="n"/>
    </row>
    <row r="12" ht="25.5" customHeight="1" s="240">
      <c r="A12" s="291" t="n"/>
      <c r="B12" s="290" t="n"/>
      <c r="C12" s="290" t="inlineStr">
        <is>
          <t>ИТОГО ТЕХНОЛОГИЧЕСКОЕ ОБОРУДОВАНИЕ</t>
        </is>
      </c>
      <c r="D12" s="291" t="n"/>
      <c r="E12" s="310" t="n"/>
      <c r="F12" s="293" t="n"/>
      <c r="G12" s="174" t="n">
        <v>0</v>
      </c>
    </row>
    <row r="13" ht="19.5" customHeight="1" s="240">
      <c r="A13" s="291" t="n"/>
      <c r="B13" s="290" t="n"/>
      <c r="C13" s="290" t="inlineStr">
        <is>
          <t>Всего по разделу «Оборудование»</t>
        </is>
      </c>
      <c r="D13" s="291" t="n"/>
      <c r="E13" s="310" t="n"/>
      <c r="F13" s="293" t="n"/>
      <c r="G13" s="174">
        <f>G10+G12</f>
        <v/>
      </c>
    </row>
    <row r="14">
      <c r="A14" s="238" t="n"/>
      <c r="B14" s="234" t="n"/>
      <c r="C14" s="238" t="n"/>
      <c r="D14" s="207" t="n"/>
      <c r="E14" s="238" t="n"/>
      <c r="F14" s="238" t="n"/>
      <c r="G14" s="238" t="n"/>
    </row>
    <row r="15">
      <c r="A15" s="357" t="inlineStr">
        <is>
          <t>Составил ______________________    Д.Ю. Нефедова</t>
        </is>
      </c>
      <c r="B15" s="237" t="n"/>
      <c r="C15" s="237" t="n"/>
      <c r="D15" s="207" t="n"/>
      <c r="E15" s="238" t="n"/>
      <c r="F15" s="238" t="n"/>
      <c r="G15" s="238" t="n"/>
    </row>
    <row r="16">
      <c r="A16" s="236" t="inlineStr">
        <is>
          <t xml:space="preserve">                         (подпись, инициалы, фамилия)</t>
        </is>
      </c>
      <c r="B16" s="237" t="n"/>
      <c r="C16" s="237" t="n"/>
      <c r="D16" s="207" t="n"/>
      <c r="E16" s="238" t="n"/>
      <c r="F16" s="238" t="n"/>
      <c r="G16" s="238" t="n"/>
    </row>
    <row r="17">
      <c r="A17" s="239" t="n"/>
      <c r="B17" s="237" t="n"/>
      <c r="C17" s="237" t="n"/>
      <c r="D17" s="207" t="n"/>
      <c r="E17" s="238" t="n"/>
      <c r="F17" s="238" t="n"/>
      <c r="G17" s="238" t="n"/>
    </row>
    <row r="18">
      <c r="A18" s="239" t="inlineStr">
        <is>
          <t>Проверил ______________________        А.В. Костянецкая</t>
        </is>
      </c>
      <c r="B18" s="237" t="n"/>
      <c r="C18" s="237" t="n"/>
      <c r="D18" s="207" t="n"/>
      <c r="E18" s="238" t="n"/>
      <c r="F18" s="238" t="n"/>
      <c r="G18" s="238" t="n"/>
    </row>
    <row r="19">
      <c r="A19" s="236" t="inlineStr">
        <is>
          <t xml:space="preserve">                        (подпись, инициалы, фамилия)</t>
        </is>
      </c>
      <c r="B19" s="237" t="n"/>
      <c r="C19" s="237" t="n"/>
      <c r="D19" s="207" t="n"/>
      <c r="E19" s="238" t="n"/>
      <c r="F19" s="238" t="n"/>
      <c r="G19" s="2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0" min="1" max="1"/>
    <col width="29.7109375" customWidth="1" style="240" min="2" max="2"/>
    <col width="38.140625" customWidth="1" style="240" min="3" max="3"/>
    <col width="32.28515625" customWidth="1" style="240" min="4" max="4"/>
  </cols>
  <sheetData>
    <row r="1">
      <c r="B1" s="239" t="n"/>
      <c r="C1" s="239" t="n"/>
      <c r="D1" s="306" t="inlineStr">
        <is>
          <t>Приложение №7</t>
        </is>
      </c>
    </row>
    <row r="2">
      <c r="A2" s="306" t="n"/>
      <c r="B2" s="306" t="n"/>
      <c r="C2" s="306" t="n"/>
      <c r="D2" s="306" t="n"/>
    </row>
    <row r="3" ht="24.75" customHeight="1" s="240">
      <c r="A3" s="261" t="inlineStr">
        <is>
          <t>Расчет показателя УНЦ</t>
        </is>
      </c>
    </row>
    <row r="4" ht="24.75" customHeight="1" s="240">
      <c r="A4" s="261" t="n"/>
      <c r="B4" s="261" t="n"/>
      <c r="C4" s="261" t="n"/>
      <c r="D4" s="261" t="n"/>
    </row>
    <row r="5" ht="49.5" customHeight="1" s="240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9.9" customHeight="1" s="240">
      <c r="A6" s="264" t="inlineStr">
        <is>
          <t>Единица измерения  — 1 ед.</t>
        </is>
      </c>
      <c r="D6" s="264" t="n"/>
    </row>
    <row r="7">
      <c r="A7" s="239" t="n"/>
      <c r="B7" s="239" t="n"/>
      <c r="C7" s="239" t="n"/>
      <c r="D7" s="239" t="n"/>
    </row>
    <row r="8" ht="14.45" customHeight="1" s="240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 s="240">
      <c r="A9" s="369" t="n"/>
      <c r="B9" s="369" t="n"/>
      <c r="C9" s="369" t="n"/>
      <c r="D9" s="369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0">
      <c r="A11" s="291" t="inlineStr">
        <is>
          <t>М6-12-1</t>
        </is>
      </c>
      <c r="B11" s="291" t="inlineStr">
        <is>
          <t>УНЦ на демонтажные работы ПС</t>
        </is>
      </c>
      <c r="C11" s="230" t="inlineStr">
        <is>
          <t>Демонтаж однополюсного разъединителя 6-15 кВ</t>
        </is>
      </c>
      <c r="D11" s="231">
        <f>'Прил.4 РМ'!C41/1000</f>
        <v/>
      </c>
      <c r="E11" s="232" t="n"/>
    </row>
    <row r="12">
      <c r="A12" s="238" t="n"/>
      <c r="B12" s="234" t="n"/>
      <c r="C12" s="238" t="n"/>
      <c r="D12" s="238" t="n"/>
    </row>
    <row r="13">
      <c r="A13" s="239" t="inlineStr">
        <is>
          <t>Составил ______________________      Д.Ю. Нефедова</t>
        </is>
      </c>
      <c r="B13" s="237" t="n"/>
      <c r="C13" s="237" t="n"/>
      <c r="D13" s="238" t="n"/>
    </row>
    <row r="14">
      <c r="A14" s="236" t="inlineStr">
        <is>
          <t xml:space="preserve">                         (подпись, инициалы, фамилия)</t>
        </is>
      </c>
      <c r="B14" s="237" t="n"/>
      <c r="C14" s="237" t="n"/>
      <c r="D14" s="238" t="n"/>
    </row>
    <row r="15">
      <c r="A15" s="239" t="n"/>
      <c r="B15" s="237" t="n"/>
      <c r="C15" s="237" t="n"/>
      <c r="D15" s="238" t="n"/>
    </row>
    <row r="16">
      <c r="A16" s="239" t="inlineStr">
        <is>
          <t>Проверил ______________________        А.В. Костянецкая</t>
        </is>
      </c>
      <c r="B16" s="237" t="n"/>
      <c r="C16" s="237" t="n"/>
      <c r="D16" s="238" t="n"/>
    </row>
    <row r="17">
      <c r="A17" s="236" t="inlineStr">
        <is>
          <t xml:space="preserve">                        (подпись, инициалы, фамилия)</t>
        </is>
      </c>
      <c r="B17" s="237" t="n"/>
      <c r="C17" s="237" t="n"/>
      <c r="D17" s="2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40" min="2" max="2"/>
    <col width="37" customWidth="1" style="240" min="3" max="3"/>
    <col width="32" customWidth="1" style="240" min="4" max="4"/>
  </cols>
  <sheetData>
    <row r="4" ht="15.75" customHeight="1" s="240">
      <c r="B4" s="268" t="inlineStr">
        <is>
          <t>Приложение № 10</t>
        </is>
      </c>
    </row>
    <row r="5" ht="18.75" customHeight="1" s="240">
      <c r="B5" s="111" t="n"/>
    </row>
    <row r="6" ht="15.75" customHeight="1" s="240">
      <c r="B6" s="26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0">
      <c r="B9" s="275" t="inlineStr">
        <is>
          <t>Наименование индекса / норм сопутствующих затрат</t>
        </is>
      </c>
      <c r="C9" s="275" t="inlineStr">
        <is>
          <t>Дата применения и обоснование индекса / норм сопутствующих затрат</t>
        </is>
      </c>
      <c r="D9" s="275" t="inlineStr">
        <is>
          <t>Размер индекса / норма сопутствующих затрат</t>
        </is>
      </c>
    </row>
    <row r="10" ht="15.75" customHeight="1" s="240">
      <c r="B10" s="275" t="n">
        <v>1</v>
      </c>
      <c r="C10" s="275" t="n">
        <v>2</v>
      </c>
      <c r="D10" s="275" t="n">
        <v>3</v>
      </c>
    </row>
    <row r="11" ht="45" customHeight="1" s="240">
      <c r="B11" s="275" t="inlineStr">
        <is>
          <t xml:space="preserve">Индекс изменения сметной стоимости на 1 квартал 2023 года. ОЗП </t>
        </is>
      </c>
      <c r="C11" s="275" t="inlineStr">
        <is>
          <t>Письмо Минстроя России от 30.03.2023г. №17106-ИФ/09  прил.1</t>
        </is>
      </c>
      <c r="D11" s="275" t="n">
        <v>44.29</v>
      </c>
    </row>
    <row r="12" ht="29.25" customHeight="1" s="240">
      <c r="B12" s="275" t="inlineStr">
        <is>
          <t>Индекс изменения сметной стоимости на 1 квартал 2023 года. ЭМ</t>
        </is>
      </c>
      <c r="C12" s="275" t="inlineStr">
        <is>
          <t>Письмо Минстроя России от 30.03.2023г. №17106-ИФ/09  прил.1</t>
        </is>
      </c>
      <c r="D12" s="275" t="n">
        <v>13.47</v>
      </c>
    </row>
    <row r="13" ht="29.25" customHeight="1" s="240">
      <c r="B13" s="275" t="inlineStr">
        <is>
          <t>Индекс изменения сметной стоимости на 1 квартал 2023 года. МАТ</t>
        </is>
      </c>
      <c r="C13" s="275" t="inlineStr">
        <is>
          <t>Письмо Минстроя России от 30.03.2023г. №17106-ИФ/09  прил.1</t>
        </is>
      </c>
      <c r="D13" s="275" t="n">
        <v>8.039999999999999</v>
      </c>
    </row>
    <row r="14" ht="30.75" customHeight="1" s="240">
      <c r="B14" s="275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5" t="n">
        <v>6.26</v>
      </c>
    </row>
    <row r="15" ht="89.25" customHeight="1" s="240">
      <c r="B15" s="275" t="inlineStr">
        <is>
          <t>Временные здания и сооружения</t>
        </is>
      </c>
      <c r="C15" s="2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0.025</v>
      </c>
    </row>
    <row r="16" ht="78.75" customHeight="1" s="240">
      <c r="B16" s="275" t="inlineStr">
        <is>
          <t>Дополнительные затраты при производстве строительно-монтажных работ в зимнее время</t>
        </is>
      </c>
      <c r="C16" s="2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0">
      <c r="B17" s="275" t="inlineStr">
        <is>
          <t>Строительный контроль</t>
        </is>
      </c>
      <c r="C17" s="275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0">
      <c r="B18" s="275" t="inlineStr">
        <is>
          <t>Авторский надзор - 0,2%</t>
        </is>
      </c>
      <c r="C18" s="275" t="inlineStr">
        <is>
          <t>Приказ от 4.08.2020 № 421/пр п.173</t>
        </is>
      </c>
      <c r="D18" s="114" t="n">
        <v>0.002</v>
      </c>
    </row>
    <row r="19" ht="24" customHeight="1" s="240">
      <c r="B19" s="275" t="inlineStr">
        <is>
          <t>Непредвиденные расходы</t>
        </is>
      </c>
      <c r="C19" s="275" t="inlineStr">
        <is>
          <t>Приказ от 4.08.2020 № 421/пр п.179</t>
        </is>
      </c>
      <c r="D19" s="114" t="n">
        <v>0.03</v>
      </c>
    </row>
    <row r="20" ht="18.75" customHeight="1" s="240">
      <c r="B20" s="112" t="n"/>
    </row>
    <row r="21" ht="18.75" customHeight="1" s="240">
      <c r="B21" s="112" t="n"/>
    </row>
    <row r="22" ht="18.75" customHeight="1" s="240">
      <c r="B22" s="112" t="n"/>
    </row>
    <row r="23" ht="18.75" customHeight="1" s="240">
      <c r="B23" s="112" t="n"/>
    </row>
    <row r="26">
      <c r="B26" s="239" t="inlineStr">
        <is>
          <t>Составил ______________________        Д.Ю. Нефедова</t>
        </is>
      </c>
      <c r="C26" s="237" t="n"/>
    </row>
    <row r="27">
      <c r="B27" s="236" t="inlineStr">
        <is>
          <t xml:space="preserve">                         (подпись, инициалы, фамилия)</t>
        </is>
      </c>
      <c r="C27" s="237" t="n"/>
    </row>
    <row r="28">
      <c r="B28" s="239" t="n"/>
      <c r="C28" s="237" t="n"/>
    </row>
    <row r="29">
      <c r="B29" s="239" t="inlineStr">
        <is>
          <t>Проверил ______________________        А.В. Костянецкая</t>
        </is>
      </c>
      <c r="C29" s="237" t="n"/>
    </row>
    <row r="30">
      <c r="B30" s="236" t="inlineStr">
        <is>
          <t xml:space="preserve">                        (подпись, инициалы, фамилия)</t>
        </is>
      </c>
      <c r="C30" s="2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0" min="2" max="2"/>
    <col width="13" customWidth="1" style="240" min="3" max="3"/>
    <col width="22.85546875" customWidth="1" style="240" min="4" max="4"/>
    <col width="21.5703125" customWidth="1" style="240" min="5" max="5"/>
    <col width="43.85546875" customWidth="1" style="240" min="6" max="6"/>
  </cols>
  <sheetData>
    <row r="1" s="240"/>
    <row r="2" ht="17.25" customHeight="1" s="240">
      <c r="A2" s="269" t="inlineStr">
        <is>
          <t>Расчет размера средств на оплату труда рабочих-строителей в текущем уровне цен (ФОТр.тек.)</t>
        </is>
      </c>
    </row>
    <row r="3" s="240"/>
    <row r="4" ht="18" customHeight="1" s="240">
      <c r="A4" s="241" t="inlineStr">
        <is>
          <t>Составлен в уровне цен на 01.01.2023 г.</t>
        </is>
      </c>
      <c r="B4" s="242" t="n"/>
      <c r="C4" s="242" t="n"/>
      <c r="D4" s="242" t="n"/>
      <c r="E4" s="242" t="n"/>
      <c r="F4" s="242" t="n"/>
      <c r="G4" s="242" t="n"/>
    </row>
    <row r="5" ht="15.75" customHeight="1" s="240">
      <c r="A5" s="243" t="inlineStr">
        <is>
          <t>№ пп.</t>
        </is>
      </c>
      <c r="B5" s="243" t="inlineStr">
        <is>
          <t>Наименование элемента</t>
        </is>
      </c>
      <c r="C5" s="243" t="inlineStr">
        <is>
          <t>Обозначение</t>
        </is>
      </c>
      <c r="D5" s="243" t="inlineStr">
        <is>
          <t>Формула</t>
        </is>
      </c>
      <c r="E5" s="243" t="inlineStr">
        <is>
          <t>Величина элемента</t>
        </is>
      </c>
      <c r="F5" s="243" t="inlineStr">
        <is>
          <t>Наименования обосновывающих документов</t>
        </is>
      </c>
      <c r="G5" s="242" t="n"/>
    </row>
    <row r="6" ht="15.75" customHeight="1" s="240">
      <c r="A6" s="243" t="n">
        <v>1</v>
      </c>
      <c r="B6" s="243" t="n">
        <v>2</v>
      </c>
      <c r="C6" s="243" t="n">
        <v>3</v>
      </c>
      <c r="D6" s="243" t="n">
        <v>4</v>
      </c>
      <c r="E6" s="243" t="n">
        <v>5</v>
      </c>
      <c r="F6" s="243" t="n">
        <v>6</v>
      </c>
      <c r="G6" s="242" t="n"/>
    </row>
    <row r="7" ht="110.25" customHeight="1" s="240">
      <c r="A7" s="244" t="inlineStr">
        <is>
          <t>1.1</t>
        </is>
      </c>
      <c r="B7" s="2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47" t="n">
        <v>47872.94</v>
      </c>
      <c r="F7" s="2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2" t="n"/>
    </row>
    <row r="8" ht="31.5" customHeight="1" s="240">
      <c r="A8" s="244" t="inlineStr">
        <is>
          <t>1.2</t>
        </is>
      </c>
      <c r="B8" s="249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48">
        <f>1973/12</f>
        <v/>
      </c>
      <c r="F8" s="249" t="inlineStr">
        <is>
          <t>Производственный календарь 2023 год
(40-часов.неделя)</t>
        </is>
      </c>
      <c r="G8" s="251" t="n"/>
    </row>
    <row r="9" ht="15.75" customHeight="1" s="240">
      <c r="A9" s="244" t="inlineStr">
        <is>
          <t>1.3</t>
        </is>
      </c>
      <c r="B9" s="249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48" t="n">
        <v>1</v>
      </c>
      <c r="F9" s="249" t="n"/>
      <c r="G9" s="251" t="n"/>
    </row>
    <row r="10" ht="15.75" customHeight="1" s="240">
      <c r="A10" s="244" t="inlineStr">
        <is>
          <t>1.4</t>
        </is>
      </c>
      <c r="B10" s="249" t="inlineStr">
        <is>
          <t>Средний разряд работ</t>
        </is>
      </c>
      <c r="C10" s="275" t="n"/>
      <c r="D10" s="275" t="n"/>
      <c r="E10" s="252" t="n">
        <v>3.7</v>
      </c>
      <c r="F10" s="249" t="inlineStr">
        <is>
          <t>РТМ</t>
        </is>
      </c>
      <c r="G10" s="251" t="n"/>
    </row>
    <row r="11" ht="78.75" customHeight="1" s="240">
      <c r="A11" s="244" t="inlineStr">
        <is>
          <t>1.5</t>
        </is>
      </c>
      <c r="B11" s="249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253" t="n">
        <v>1.293</v>
      </c>
      <c r="F11" s="2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2" t="n"/>
    </row>
    <row r="12" ht="78.75" customHeight="1" s="240">
      <c r="A12" s="254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255" t="inlineStr">
        <is>
          <t>Кинф</t>
        </is>
      </c>
      <c r="D12" s="255" t="inlineStr">
        <is>
          <t>-</t>
        </is>
      </c>
      <c r="E12" s="376" t="n">
        <v>1.139</v>
      </c>
      <c r="F12" s="36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1" t="n"/>
    </row>
    <row r="13" ht="63" customHeight="1" s="240">
      <c r="A13" s="361" t="inlineStr">
        <is>
          <t>1.7</t>
        </is>
      </c>
      <c r="B13" s="36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64">
        <f>((E7*E9/E8)*E11)*E12</f>
        <v/>
      </c>
      <c r="F13" s="3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2025-01-24T12:12:09Z</dcterms:modified>
  <cp:lastModifiedBy>Nikolay Ivanov</cp:lastModifiedBy>
  <cp:lastPrinted>2023-11-29T09:39:24Z</cp:lastPrinted>
</cp:coreProperties>
</file>